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66925"/>
  <xr:revisionPtr revIDLastSave="0" documentId="13_ncr:1_{7C6934AC-6A29-46F4-BEF9-9510DB319A67}" xr6:coauthVersionLast="47" xr6:coauthVersionMax="47" xr10:uidLastSave="{00000000-0000-0000-0000-000000000000}"/>
  <bookViews>
    <workbookView xWindow="-110" yWindow="-110" windowWidth="21820" windowHeight="14020" tabRatio="496" activeTab="2" xr2:uid="{00000000-000D-0000-FFFF-FFFF00000000}"/>
  </bookViews>
  <sheets>
    <sheet name="Yearly" sheetId="9" r:id="rId1"/>
    <sheet name="Quarterly" sheetId="12" r:id="rId2"/>
    <sheet name="Notes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61" i="9" l="1"/>
  <c r="CA61" i="9" s="1"/>
  <c r="BX61" i="9"/>
  <c r="BY61" i="9" s="1"/>
  <c r="BW61" i="9"/>
  <c r="BW60" i="9"/>
  <c r="H63" i="12"/>
  <c r="G63" i="12"/>
  <c r="E63" i="12" l="1"/>
  <c r="D65" i="12"/>
  <c r="D64" i="12"/>
  <c r="AS30" i="9"/>
  <c r="AT30" i="9" s="1"/>
  <c r="AS60" i="9"/>
  <c r="AT60" i="9" s="1"/>
  <c r="AY49" i="9"/>
  <c r="AX30" i="9"/>
  <c r="AY30" i="9" s="1"/>
  <c r="AZ30" i="9" s="1"/>
  <c r="AS61" i="9"/>
  <c r="AT61" i="9" s="1"/>
  <c r="BF30" i="9"/>
  <c r="BF31" i="9"/>
  <c r="AX31" i="9"/>
  <c r="AY31" i="9" s="1"/>
  <c r="AX32" i="9"/>
  <c r="AY32" i="9" s="1"/>
  <c r="AX33" i="9"/>
  <c r="AY33" i="9" s="1"/>
  <c r="AX34" i="9"/>
  <c r="AY34" i="9" s="1"/>
  <c r="AX35" i="9"/>
  <c r="AY35" i="9" s="1"/>
  <c r="AX36" i="9"/>
  <c r="AY36" i="9" s="1"/>
  <c r="AX37" i="9"/>
  <c r="AY37" i="9" s="1"/>
  <c r="AX38" i="9"/>
  <c r="AY38" i="9" s="1"/>
  <c r="AZ38" i="9" s="1"/>
  <c r="AX39" i="9"/>
  <c r="AY39" i="9" s="1"/>
  <c r="AX40" i="9"/>
  <c r="AY40" i="9" s="1"/>
  <c r="AX41" i="9"/>
  <c r="AY41" i="9" s="1"/>
  <c r="AX42" i="9"/>
  <c r="AY42" i="9" s="1"/>
  <c r="AX43" i="9"/>
  <c r="AY43" i="9" s="1"/>
  <c r="AX44" i="9"/>
  <c r="AY44" i="9" s="1"/>
  <c r="AX45" i="9"/>
  <c r="AY45" i="9" s="1"/>
  <c r="AX46" i="9"/>
  <c r="AY46" i="9" s="1"/>
  <c r="AX47" i="9"/>
  <c r="AY47" i="9" s="1"/>
  <c r="AX48" i="9"/>
  <c r="AY48" i="9" s="1"/>
  <c r="AX49" i="9"/>
  <c r="AX50" i="9"/>
  <c r="AY50" i="9" s="1"/>
  <c r="AZ50" i="9" s="1"/>
  <c r="AX51" i="9"/>
  <c r="AY51" i="9" s="1"/>
  <c r="AX52" i="9"/>
  <c r="AY52" i="9" s="1"/>
  <c r="AX53" i="9"/>
  <c r="AY53" i="9" s="1"/>
  <c r="AX54" i="9"/>
  <c r="AY54" i="9" s="1"/>
  <c r="AX55" i="9"/>
  <c r="AY55" i="9" s="1"/>
  <c r="AX56" i="9"/>
  <c r="AY56" i="9" s="1"/>
  <c r="AX57" i="9"/>
  <c r="AY57" i="9" s="1"/>
  <c r="AX58" i="9"/>
  <c r="AY58" i="9" s="1"/>
  <c r="AX59" i="9"/>
  <c r="AY59" i="9" s="1"/>
  <c r="AX60" i="9"/>
  <c r="AY60" i="9" s="1"/>
  <c r="AX61" i="9"/>
  <c r="AY61" i="9" s="1"/>
  <c r="AS31" i="9"/>
  <c r="AT31" i="9" s="1"/>
  <c r="AS32" i="9"/>
  <c r="AT32" i="9" s="1"/>
  <c r="AS33" i="9"/>
  <c r="AT33" i="9" s="1"/>
  <c r="AS34" i="9"/>
  <c r="AT34" i="9" s="1"/>
  <c r="AS35" i="9"/>
  <c r="AT35" i="9" s="1"/>
  <c r="AS36" i="9"/>
  <c r="AT36" i="9" s="1"/>
  <c r="AS37" i="9"/>
  <c r="AT37" i="9" s="1"/>
  <c r="AS38" i="9"/>
  <c r="AT38" i="9" s="1"/>
  <c r="AS39" i="9"/>
  <c r="AT39" i="9" s="1"/>
  <c r="AS40" i="9"/>
  <c r="AT40" i="9" s="1"/>
  <c r="AS41" i="9"/>
  <c r="AT41" i="9" s="1"/>
  <c r="AS42" i="9"/>
  <c r="AT42" i="9" s="1"/>
  <c r="AS43" i="9"/>
  <c r="AT43" i="9" s="1"/>
  <c r="AS44" i="9"/>
  <c r="AT44" i="9" s="1"/>
  <c r="AS45" i="9"/>
  <c r="AT45" i="9" s="1"/>
  <c r="AS46" i="9"/>
  <c r="AT46" i="9" s="1"/>
  <c r="AS47" i="9"/>
  <c r="AT47" i="9" s="1"/>
  <c r="AS48" i="9"/>
  <c r="AT48" i="9" s="1"/>
  <c r="AS49" i="9"/>
  <c r="AT49" i="9" s="1"/>
  <c r="AS50" i="9"/>
  <c r="AT50" i="9" s="1"/>
  <c r="AS51" i="9"/>
  <c r="AT51" i="9" s="1"/>
  <c r="AS52" i="9"/>
  <c r="AT52" i="9" s="1"/>
  <c r="AS53" i="9"/>
  <c r="AT53" i="9" s="1"/>
  <c r="AS54" i="9"/>
  <c r="AT54" i="9" s="1"/>
  <c r="AS55" i="9"/>
  <c r="AT55" i="9" s="1"/>
  <c r="AS56" i="9"/>
  <c r="AT56" i="9" s="1"/>
  <c r="AS57" i="9"/>
  <c r="AT57" i="9" s="1"/>
  <c r="AS58" i="9"/>
  <c r="AT58" i="9" s="1"/>
  <c r="AS59" i="9"/>
  <c r="AT59" i="9" s="1"/>
  <c r="D2" i="12"/>
  <c r="D52" i="12"/>
  <c r="CL61" i="9"/>
  <c r="BD10" i="9"/>
  <c r="C9" i="9"/>
  <c r="N45" i="9"/>
  <c r="N44" i="9" s="1"/>
  <c r="N43" i="9" s="1"/>
  <c r="N42" i="9" s="1"/>
  <c r="M45" i="9"/>
  <c r="M44" i="9" s="1"/>
  <c r="M43" i="9" s="1"/>
  <c r="M42" i="9" s="1"/>
  <c r="BD34" i="9"/>
  <c r="CE24" i="9"/>
  <c r="CF24" i="9" s="1"/>
  <c r="CF23" i="9" s="1"/>
  <c r="CF19" i="9"/>
  <c r="CF18" i="9"/>
  <c r="CF17" i="9"/>
  <c r="CF16" i="9"/>
  <c r="CF15" i="9"/>
  <c r="CF14" i="9"/>
  <c r="CF13" i="9"/>
  <c r="CF12" i="9"/>
  <c r="CF11" i="9"/>
  <c r="CF10" i="9"/>
  <c r="CF9" i="9"/>
  <c r="CF8" i="9"/>
  <c r="CF7" i="9"/>
  <c r="CF4" i="9"/>
  <c r="CF5" i="9"/>
  <c r="CF6" i="9"/>
  <c r="CF20" i="9"/>
  <c r="CF21" i="9"/>
  <c r="CF22" i="9"/>
  <c r="CF3" i="9"/>
  <c r="BA55" i="9" l="1"/>
  <c r="AZ49" i="9"/>
  <c r="BA54" i="9"/>
  <c r="BA42" i="9"/>
  <c r="AZ61" i="9"/>
  <c r="BA37" i="9"/>
  <c r="BA60" i="9"/>
  <c r="BA53" i="9"/>
  <c r="BA41" i="9"/>
  <c r="BA52" i="9"/>
  <c r="AZ59" i="9"/>
  <c r="AZ47" i="9"/>
  <c r="BA43" i="9"/>
  <c r="AZ35" i="9"/>
  <c r="AZ57" i="9"/>
  <c r="AZ45" i="9"/>
  <c r="AZ33" i="9"/>
  <c r="BA31" i="9"/>
  <c r="BA61" i="9"/>
  <c r="BA51" i="9"/>
  <c r="BA50" i="9"/>
  <c r="BA48" i="9"/>
  <c r="BA36" i="9"/>
  <c r="BA59" i="9"/>
  <c r="BA47" i="9"/>
  <c r="BA35" i="9"/>
  <c r="BA39" i="9"/>
  <c r="BA38" i="9"/>
  <c r="BA46" i="9"/>
  <c r="BA34" i="9"/>
  <c r="BA57" i="9"/>
  <c r="BA45" i="9"/>
  <c r="BA33" i="9"/>
  <c r="BA58" i="9"/>
  <c r="BA56" i="9"/>
  <c r="BA44" i="9"/>
  <c r="BA32" i="9"/>
  <c r="AZ51" i="9"/>
  <c r="AZ39" i="9"/>
  <c r="AZ37" i="9"/>
  <c r="BA40" i="9"/>
  <c r="AZ60" i="9"/>
  <c r="AZ48" i="9"/>
  <c r="AZ36" i="9"/>
  <c r="BA49" i="9"/>
  <c r="AZ58" i="9"/>
  <c r="AZ46" i="9"/>
  <c r="AZ34" i="9"/>
  <c r="AZ56" i="9"/>
  <c r="AZ44" i="9"/>
  <c r="AZ32" i="9"/>
  <c r="AZ55" i="9"/>
  <c r="AZ43" i="9"/>
  <c r="AZ31" i="9"/>
  <c r="AZ54" i="9"/>
  <c r="AZ53" i="9"/>
  <c r="AZ41" i="9"/>
  <c r="AZ52" i="9"/>
  <c r="AZ40" i="9"/>
  <c r="AZ42" i="9"/>
  <c r="CP3" i="9"/>
  <c r="CQ3" i="9" s="1"/>
  <c r="BW57" i="9"/>
  <c r="BG61" i="9"/>
  <c r="BG60" i="9"/>
  <c r="BF61" i="9"/>
  <c r="BF60" i="9"/>
  <c r="BE61" i="9"/>
  <c r="BD61" i="9"/>
  <c r="BE10" i="9"/>
  <c r="BD26" i="9"/>
  <c r="BE25" i="9"/>
  <c r="CI39" i="9"/>
  <c r="CO39" i="9" s="1"/>
  <c r="BW56" i="9"/>
  <c r="CP24" i="9"/>
  <c r="CI25" i="9"/>
  <c r="CO25" i="9" s="1"/>
  <c r="BF10" i="9"/>
  <c r="BG10" i="9"/>
  <c r="BE11" i="9"/>
  <c r="BG11" i="9"/>
  <c r="BH61" i="9" l="1"/>
  <c r="BH10" i="9"/>
  <c r="CT3" i="9"/>
  <c r="CS3" i="9"/>
  <c r="CR3" i="9"/>
  <c r="BF20" i="9"/>
  <c r="CI45" i="9"/>
  <c r="S42" i="9"/>
  <c r="U34" i="9"/>
  <c r="U35" i="9"/>
  <c r="U36" i="9"/>
  <c r="U37" i="9"/>
  <c r="U38" i="9"/>
  <c r="U39" i="9"/>
  <c r="U40" i="9"/>
  <c r="U41" i="9"/>
  <c r="U42" i="9"/>
  <c r="AG42" i="9" s="1"/>
  <c r="AH42" i="9" s="1"/>
  <c r="S34" i="9"/>
  <c r="CK27" i="9"/>
  <c r="BF51" i="9"/>
  <c r="BH60" i="9"/>
  <c r="BD60" i="9"/>
  <c r="P8" i="12" s="1"/>
  <c r="P9" i="12" s="1"/>
  <c r="BE60" i="9"/>
  <c r="BD59" i="9"/>
  <c r="D63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G62" i="12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3" i="12"/>
  <c r="D54" i="12"/>
  <c r="D55" i="12"/>
  <c r="D56" i="12"/>
  <c r="D57" i="12"/>
  <c r="D58" i="12"/>
  <c r="D59" i="12"/>
  <c r="D60" i="12"/>
  <c r="D61" i="12"/>
  <c r="D62" i="12"/>
  <c r="BW46" i="9"/>
  <c r="U43" i="9"/>
  <c r="BE20" i="9"/>
  <c r="BE21" i="9"/>
  <c r="BE22" i="9"/>
  <c r="BE23" i="9"/>
  <c r="BE24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G17" i="9"/>
  <c r="BG23" i="9"/>
  <c r="BG12" i="9"/>
  <c r="BG59" i="9"/>
  <c r="BG58" i="9"/>
  <c r="BG57" i="9"/>
  <c r="BG56" i="9"/>
  <c r="BG55" i="9"/>
  <c r="BG54" i="9"/>
  <c r="BG53" i="9"/>
  <c r="BG52" i="9"/>
  <c r="BG51" i="9"/>
  <c r="BG50" i="9"/>
  <c r="BG49" i="9"/>
  <c r="BG48" i="9"/>
  <c r="BG47" i="9"/>
  <c r="BG46" i="9"/>
  <c r="BG45" i="9"/>
  <c r="BG44" i="9"/>
  <c r="BG43" i="9"/>
  <c r="BG42" i="9"/>
  <c r="BG41" i="9"/>
  <c r="BG40" i="9"/>
  <c r="BG39" i="9"/>
  <c r="BG38" i="9"/>
  <c r="BG37" i="9"/>
  <c r="BG36" i="9"/>
  <c r="BG35" i="9"/>
  <c r="BG34" i="9"/>
  <c r="BG33" i="9"/>
  <c r="BG32" i="9"/>
  <c r="BG31" i="9"/>
  <c r="BG30" i="9"/>
  <c r="BG29" i="9"/>
  <c r="BG28" i="9"/>
  <c r="BG27" i="9"/>
  <c r="BG26" i="9"/>
  <c r="BG25" i="9"/>
  <c r="BG24" i="9"/>
  <c r="BG22" i="9"/>
  <c r="BG21" i="9"/>
  <c r="BG20" i="9"/>
  <c r="BG19" i="9"/>
  <c r="BG18" i="9"/>
  <c r="BG16" i="9"/>
  <c r="BG15" i="9"/>
  <c r="BG14" i="9"/>
  <c r="BG13" i="9"/>
  <c r="BF11" i="9" l="1"/>
  <c r="BH11" i="9" s="1"/>
  <c r="BD11" i="9"/>
  <c r="CU14" i="9"/>
  <c r="CU3" i="9"/>
  <c r="CP5" i="9"/>
  <c r="C8" i="9"/>
  <c r="C7" i="9" s="1"/>
  <c r="C6" i="9" s="1"/>
  <c r="C5" i="9" s="1"/>
  <c r="C4" i="9" s="1"/>
  <c r="CK25" i="9"/>
  <c r="D10" i="9"/>
  <c r="E10" i="9" s="1"/>
  <c r="F10" i="9" s="1"/>
  <c r="D11" i="9"/>
  <c r="E11" i="9" s="1"/>
  <c r="F11" i="9" s="1"/>
  <c r="D12" i="9"/>
  <c r="E12" i="9" s="1"/>
  <c r="F12" i="9" s="1"/>
  <c r="D13" i="9"/>
  <c r="E13" i="9" s="1"/>
  <c r="F13" i="9" s="1"/>
  <c r="D14" i="9"/>
  <c r="E14" i="9" s="1"/>
  <c r="F14" i="9" s="1"/>
  <c r="D15" i="9"/>
  <c r="E15" i="9" s="1"/>
  <c r="F15" i="9" s="1"/>
  <c r="D16" i="9"/>
  <c r="E16" i="9" s="1"/>
  <c r="F16" i="9" s="1"/>
  <c r="D17" i="9"/>
  <c r="E17" i="9" s="1"/>
  <c r="F17" i="9" s="1"/>
  <c r="D18" i="9"/>
  <c r="E18" i="9" s="1"/>
  <c r="F18" i="9" s="1"/>
  <c r="D19" i="9"/>
  <c r="E19" i="9" s="1"/>
  <c r="F19" i="9" s="1"/>
  <c r="D20" i="9"/>
  <c r="E20" i="9" s="1"/>
  <c r="F20" i="9" s="1"/>
  <c r="D21" i="9"/>
  <c r="E21" i="9" s="1"/>
  <c r="F21" i="9" s="1"/>
  <c r="D22" i="9"/>
  <c r="E22" i="9" s="1"/>
  <c r="F22" i="9" s="1"/>
  <c r="D23" i="9"/>
  <c r="E23" i="9" s="1"/>
  <c r="F23" i="9" s="1"/>
  <c r="D24" i="9"/>
  <c r="E24" i="9" s="1"/>
  <c r="F24" i="9" s="1"/>
  <c r="D25" i="9"/>
  <c r="E25" i="9" s="1"/>
  <c r="F25" i="9" s="1"/>
  <c r="D26" i="9"/>
  <c r="E26" i="9" s="1"/>
  <c r="F26" i="9" s="1"/>
  <c r="D27" i="9"/>
  <c r="E27" i="9" s="1"/>
  <c r="F27" i="9" s="1"/>
  <c r="D28" i="9"/>
  <c r="E28" i="9" s="1"/>
  <c r="F28" i="9" s="1"/>
  <c r="D29" i="9"/>
  <c r="E29" i="9" s="1"/>
  <c r="F29" i="9" s="1"/>
  <c r="D30" i="9"/>
  <c r="E30" i="9" s="1"/>
  <c r="F30" i="9" s="1"/>
  <c r="D31" i="9"/>
  <c r="E31" i="9" s="1"/>
  <c r="F31" i="9" s="1"/>
  <c r="D32" i="9"/>
  <c r="E32" i="9" s="1"/>
  <c r="F32" i="9" s="1"/>
  <c r="D33" i="9"/>
  <c r="E33" i="9" s="1"/>
  <c r="F33" i="9" s="1"/>
  <c r="D34" i="9"/>
  <c r="E34" i="9" s="1"/>
  <c r="F34" i="9" s="1"/>
  <c r="CI59" i="9"/>
  <c r="S35" i="9"/>
  <c r="CI61" i="9"/>
  <c r="Y36" i="9"/>
  <c r="X42" i="9"/>
  <c r="Y37" i="9"/>
  <c r="Y38" i="9"/>
  <c r="Y39" i="9"/>
  <c r="Y40" i="9"/>
  <c r="Y41" i="9"/>
  <c r="Y35" i="9"/>
  <c r="D35" i="9"/>
  <c r="E35" i="9" s="1"/>
  <c r="F35" i="9" s="1"/>
  <c r="D36" i="9"/>
  <c r="E36" i="9" s="1"/>
  <c r="F36" i="9" s="1"/>
  <c r="D37" i="9"/>
  <c r="E37" i="9" s="1"/>
  <c r="F37" i="9" s="1"/>
  <c r="D38" i="9"/>
  <c r="E38" i="9" s="1"/>
  <c r="F38" i="9" s="1"/>
  <c r="D39" i="9"/>
  <c r="E39" i="9" s="1"/>
  <c r="F39" i="9" s="1"/>
  <c r="D40" i="9"/>
  <c r="E40" i="9" s="1"/>
  <c r="F40" i="9" s="1"/>
  <c r="D41" i="9"/>
  <c r="E41" i="9" s="1"/>
  <c r="F41" i="9" s="1"/>
  <c r="D42" i="9"/>
  <c r="BW48" i="9"/>
  <c r="BF12" i="9" l="1"/>
  <c r="BE12" i="9"/>
  <c r="BD12" i="9"/>
  <c r="C3" i="9"/>
  <c r="D3" i="9" s="1"/>
  <c r="E3" i="9" s="1"/>
  <c r="F3" i="9" s="1"/>
  <c r="D9" i="9"/>
  <c r="E9" i="9" s="1"/>
  <c r="F9" i="9" s="1"/>
  <c r="D7" i="9"/>
  <c r="E7" i="9" s="1"/>
  <c r="F7" i="9" s="1"/>
  <c r="D6" i="9"/>
  <c r="E6" i="9" s="1"/>
  <c r="F6" i="9" s="1"/>
  <c r="D4" i="9"/>
  <c r="E4" i="9" s="1"/>
  <c r="F4" i="9" s="1"/>
  <c r="D8" i="9"/>
  <c r="E8" i="9" s="1"/>
  <c r="F8" i="9" s="1"/>
  <c r="D5" i="9"/>
  <c r="E5" i="9" s="1"/>
  <c r="F5" i="9" s="1"/>
  <c r="CU4" i="9"/>
  <c r="CU5" i="9"/>
  <c r="CU6" i="9"/>
  <c r="CU7" i="9"/>
  <c r="CU8" i="9"/>
  <c r="CU9" i="9"/>
  <c r="CU10" i="9"/>
  <c r="CU11" i="9"/>
  <c r="CU12" i="9"/>
  <c r="CU13" i="9"/>
  <c r="CU15" i="9"/>
  <c r="CU16" i="9"/>
  <c r="CU17" i="9"/>
  <c r="CU18" i="9"/>
  <c r="CU19" i="9"/>
  <c r="CU20" i="9"/>
  <c r="CU21" i="9"/>
  <c r="CU22" i="9"/>
  <c r="CU23" i="9"/>
  <c r="CU24" i="9"/>
  <c r="CU25" i="9"/>
  <c r="CU26" i="9"/>
  <c r="CU27" i="9"/>
  <c r="CU28" i="9"/>
  <c r="CU29" i="9"/>
  <c r="CU30" i="9"/>
  <c r="CU31" i="9"/>
  <c r="CU32" i="9"/>
  <c r="CU33" i="9"/>
  <c r="CU34" i="9"/>
  <c r="CU35" i="9"/>
  <c r="CU36" i="9"/>
  <c r="CU37" i="9"/>
  <c r="CU38" i="9"/>
  <c r="CU39" i="9"/>
  <c r="CU40" i="9"/>
  <c r="CU41" i="9"/>
  <c r="CU42" i="9"/>
  <c r="CU43" i="9"/>
  <c r="CU44" i="9"/>
  <c r="CU45" i="9"/>
  <c r="CU46" i="9"/>
  <c r="CU47" i="9"/>
  <c r="CU48" i="9"/>
  <c r="CU49" i="9"/>
  <c r="CU50" i="9"/>
  <c r="CU51" i="9"/>
  <c r="CU52" i="9"/>
  <c r="CU53" i="9"/>
  <c r="CU54" i="9"/>
  <c r="CU55" i="9"/>
  <c r="CU56" i="9"/>
  <c r="CU57" i="9"/>
  <c r="CU58" i="9"/>
  <c r="CU59" i="9"/>
  <c r="CU60" i="9"/>
  <c r="CU61" i="9"/>
  <c r="CU62" i="9"/>
  <c r="CU63" i="9"/>
  <c r="CU64" i="9"/>
  <c r="CU65" i="9"/>
  <c r="CU66" i="9"/>
  <c r="CU67" i="9"/>
  <c r="CU68" i="9"/>
  <c r="CU69" i="9"/>
  <c r="CU70" i="9"/>
  <c r="CU71" i="9"/>
  <c r="CU72" i="9"/>
  <c r="CU73" i="9"/>
  <c r="CU74" i="9"/>
  <c r="CU75" i="9"/>
  <c r="CU76" i="9"/>
  <c r="CU77" i="9"/>
  <c r="CU78" i="9"/>
  <c r="CU79" i="9"/>
  <c r="CU80" i="9"/>
  <c r="CU81" i="9"/>
  <c r="CU82" i="9"/>
  <c r="CU83" i="9"/>
  <c r="CU84" i="9"/>
  <c r="CU85" i="9"/>
  <c r="CU86" i="9"/>
  <c r="CU87" i="9"/>
  <c r="CU88" i="9"/>
  <c r="CU89" i="9"/>
  <c r="CU90" i="9"/>
  <c r="CU91" i="9"/>
  <c r="CU92" i="9"/>
  <c r="CU93" i="9"/>
  <c r="CU94" i="9"/>
  <c r="CU95" i="9"/>
  <c r="CU96" i="9"/>
  <c r="CU97" i="9"/>
  <c r="CU98" i="9"/>
  <c r="CU99" i="9"/>
  <c r="CU100" i="9"/>
  <c r="CU101" i="9"/>
  <c r="CU102" i="9"/>
  <c r="CU103" i="9"/>
  <c r="CU104" i="9"/>
  <c r="CU105" i="9"/>
  <c r="CU106" i="9"/>
  <c r="CU107" i="9"/>
  <c r="CU108" i="9"/>
  <c r="CU109" i="9"/>
  <c r="CP4" i="9"/>
  <c r="CP6" i="9"/>
  <c r="CP7" i="9"/>
  <c r="CP8" i="9"/>
  <c r="CQ8" i="9" s="1"/>
  <c r="CP9" i="9"/>
  <c r="CP10" i="9"/>
  <c r="CP11" i="9"/>
  <c r="CP12" i="9"/>
  <c r="CP13" i="9"/>
  <c r="CP14" i="9"/>
  <c r="CP15" i="9"/>
  <c r="CQ15" i="9" s="1"/>
  <c r="CP16" i="9"/>
  <c r="CP17" i="9"/>
  <c r="CP18" i="9"/>
  <c r="CP19" i="9"/>
  <c r="CP20" i="9"/>
  <c r="CP21" i="9"/>
  <c r="CP22" i="9"/>
  <c r="CP23" i="9"/>
  <c r="CP25" i="9"/>
  <c r="CP26" i="9"/>
  <c r="CP27" i="9"/>
  <c r="CP28" i="9"/>
  <c r="CP29" i="9"/>
  <c r="CP30" i="9"/>
  <c r="CP31" i="9"/>
  <c r="CP32" i="9"/>
  <c r="CP33" i="9"/>
  <c r="CP34" i="9"/>
  <c r="CP35" i="9"/>
  <c r="CP36" i="9"/>
  <c r="CP37" i="9"/>
  <c r="CP38" i="9"/>
  <c r="CP39" i="9"/>
  <c r="CP40" i="9"/>
  <c r="CP41" i="9"/>
  <c r="CP42" i="9"/>
  <c r="CP43" i="9"/>
  <c r="CP44" i="9"/>
  <c r="CP45" i="9"/>
  <c r="CP46" i="9"/>
  <c r="CP47" i="9"/>
  <c r="CP48" i="9"/>
  <c r="CP49" i="9"/>
  <c r="CP50" i="9"/>
  <c r="CP51" i="9"/>
  <c r="CP52" i="9"/>
  <c r="CP53" i="9"/>
  <c r="CP54" i="9"/>
  <c r="CP55" i="9"/>
  <c r="CP56" i="9"/>
  <c r="CP57" i="9"/>
  <c r="CP58" i="9"/>
  <c r="CP59" i="9"/>
  <c r="CP60" i="9"/>
  <c r="CP61" i="9"/>
  <c r="CP62" i="9"/>
  <c r="CP63" i="9"/>
  <c r="CP64" i="9"/>
  <c r="CP65" i="9"/>
  <c r="CP66" i="9"/>
  <c r="CP67" i="9"/>
  <c r="CP68" i="9"/>
  <c r="CP69" i="9"/>
  <c r="CP70" i="9"/>
  <c r="CP71" i="9"/>
  <c r="CP72" i="9"/>
  <c r="CP73" i="9"/>
  <c r="CP74" i="9"/>
  <c r="CP75" i="9"/>
  <c r="CP76" i="9"/>
  <c r="CP77" i="9"/>
  <c r="CP78" i="9"/>
  <c r="CP79" i="9"/>
  <c r="CP80" i="9"/>
  <c r="CP81" i="9"/>
  <c r="CP82" i="9"/>
  <c r="CP83" i="9"/>
  <c r="CP84" i="9"/>
  <c r="CP85" i="9"/>
  <c r="CP86" i="9"/>
  <c r="CP87" i="9"/>
  <c r="CP88" i="9"/>
  <c r="CP89" i="9"/>
  <c r="CP90" i="9"/>
  <c r="CP91" i="9"/>
  <c r="CP92" i="9"/>
  <c r="CP93" i="9"/>
  <c r="CP94" i="9"/>
  <c r="CP95" i="9"/>
  <c r="CP96" i="9"/>
  <c r="CP97" i="9"/>
  <c r="CP98" i="9"/>
  <c r="CP99" i="9"/>
  <c r="CP100" i="9"/>
  <c r="CP101" i="9"/>
  <c r="CP102" i="9"/>
  <c r="CP103" i="9"/>
  <c r="CP104" i="9"/>
  <c r="CP105" i="9"/>
  <c r="CP106" i="9"/>
  <c r="CP107" i="9"/>
  <c r="CP108" i="9"/>
  <c r="CP109" i="9"/>
  <c r="CB57" i="9"/>
  <c r="BZ57" i="9" s="1"/>
  <c r="CB56" i="9"/>
  <c r="BZ56" i="9" s="1"/>
  <c r="CB54" i="9"/>
  <c r="BZ54" i="9" s="1"/>
  <c r="CB53" i="9"/>
  <c r="BZ53" i="9" s="1"/>
  <c r="CB52" i="9"/>
  <c r="CB49" i="9"/>
  <c r="BZ49" i="9" s="1"/>
  <c r="CM61" i="9"/>
  <c r="CM54" i="9"/>
  <c r="CM55" i="9"/>
  <c r="CM56" i="9"/>
  <c r="CM57" i="9"/>
  <c r="CM58" i="9"/>
  <c r="CM59" i="9"/>
  <c r="CM60" i="9"/>
  <c r="CM44" i="9"/>
  <c r="CM45" i="9"/>
  <c r="CM46" i="9"/>
  <c r="CM47" i="9"/>
  <c r="CM48" i="9"/>
  <c r="CM49" i="9"/>
  <c r="CM50" i="9"/>
  <c r="CM51" i="9"/>
  <c r="CM52" i="9"/>
  <c r="CM53" i="9"/>
  <c r="CM43" i="9"/>
  <c r="CL45" i="9"/>
  <c r="CL46" i="9"/>
  <c r="CL47" i="9"/>
  <c r="CL48" i="9"/>
  <c r="CL49" i="9"/>
  <c r="CL50" i="9"/>
  <c r="CL51" i="9"/>
  <c r="CL52" i="9"/>
  <c r="CL53" i="9"/>
  <c r="CL54" i="9"/>
  <c r="CL55" i="9"/>
  <c r="CL56" i="9"/>
  <c r="CL57" i="9"/>
  <c r="CL58" i="9"/>
  <c r="CL59" i="9"/>
  <c r="CL60" i="9"/>
  <c r="CL44" i="9"/>
  <c r="CL43" i="9"/>
  <c r="BX52" i="9" l="1"/>
  <c r="BY52" i="9" s="1"/>
  <c r="BZ52" i="9"/>
  <c r="BX56" i="9"/>
  <c r="BY56" i="9" s="1"/>
  <c r="BX57" i="9"/>
  <c r="BY57" i="9" s="1"/>
  <c r="CA57" i="9"/>
  <c r="BX49" i="9"/>
  <c r="BX54" i="9"/>
  <c r="BX53" i="9"/>
  <c r="BF13" i="9"/>
  <c r="BE13" i="9"/>
  <c r="BD13" i="9"/>
  <c r="CB55" i="9"/>
  <c r="BZ55" i="9" s="1"/>
  <c r="CB60" i="9"/>
  <c r="CB46" i="9"/>
  <c r="BZ46" i="9" s="1"/>
  <c r="CA46" i="9" s="1"/>
  <c r="CB50" i="9"/>
  <c r="BZ50" i="9" s="1"/>
  <c r="CB51" i="9"/>
  <c r="BZ51" i="9" s="1"/>
  <c r="CB59" i="9"/>
  <c r="BZ59" i="9" s="1"/>
  <c r="CB47" i="9"/>
  <c r="BZ47" i="9" s="1"/>
  <c r="CB48" i="9"/>
  <c r="BZ48" i="9" s="1"/>
  <c r="CB58" i="9"/>
  <c r="BZ58" i="9" s="1"/>
  <c r="CQ14" i="9"/>
  <c r="CR14" i="9"/>
  <c r="CS14" i="9"/>
  <c r="CT14" i="9"/>
  <c r="H2" i="12"/>
  <c r="H60" i="12"/>
  <c r="G8" i="12"/>
  <c r="G20" i="12"/>
  <c r="G32" i="12"/>
  <c r="G40" i="12"/>
  <c r="G48" i="12"/>
  <c r="G56" i="12"/>
  <c r="H5" i="12"/>
  <c r="H17" i="12"/>
  <c r="H25" i="12"/>
  <c r="H33" i="12"/>
  <c r="H45" i="12"/>
  <c r="H53" i="12"/>
  <c r="G10" i="12"/>
  <c r="G22" i="12"/>
  <c r="G38" i="12"/>
  <c r="G4" i="12"/>
  <c r="G24" i="12"/>
  <c r="H49" i="12"/>
  <c r="H61" i="12"/>
  <c r="G6" i="12"/>
  <c r="G18" i="12"/>
  <c r="G26" i="12"/>
  <c r="G34" i="12"/>
  <c r="G46" i="12"/>
  <c r="G58" i="12"/>
  <c r="H7" i="12"/>
  <c r="H15" i="12"/>
  <c r="H23" i="12"/>
  <c r="H27" i="12"/>
  <c r="H31" i="12"/>
  <c r="H35" i="12"/>
  <c r="H39" i="12"/>
  <c r="H43" i="12"/>
  <c r="H47" i="12"/>
  <c r="H51" i="12"/>
  <c r="H55" i="12"/>
  <c r="H59" i="12"/>
  <c r="G16" i="12"/>
  <c r="G52" i="12"/>
  <c r="H9" i="12"/>
  <c r="H41" i="12"/>
  <c r="G12" i="12"/>
  <c r="G28" i="12"/>
  <c r="G36" i="12"/>
  <c r="G44" i="12"/>
  <c r="G60" i="12"/>
  <c r="H13" i="12"/>
  <c r="H21" i="12"/>
  <c r="H29" i="12"/>
  <c r="H37" i="12"/>
  <c r="H57" i="12"/>
  <c r="G2" i="12"/>
  <c r="G14" i="12"/>
  <c r="G30" i="12"/>
  <c r="G42" i="12"/>
  <c r="G50" i="12"/>
  <c r="G54" i="12"/>
  <c r="H3" i="12"/>
  <c r="H11" i="12"/>
  <c r="H19" i="12"/>
  <c r="G5" i="12"/>
  <c r="G17" i="12"/>
  <c r="G21" i="12"/>
  <c r="G29" i="12"/>
  <c r="G41" i="12"/>
  <c r="G53" i="12"/>
  <c r="G57" i="12"/>
  <c r="H6" i="12"/>
  <c r="H14" i="12"/>
  <c r="H22" i="12"/>
  <c r="H30" i="12"/>
  <c r="H42" i="12"/>
  <c r="H62" i="12"/>
  <c r="G9" i="12"/>
  <c r="G45" i="12"/>
  <c r="H46" i="12"/>
  <c r="G3" i="12"/>
  <c r="G7" i="12"/>
  <c r="G11" i="12"/>
  <c r="G15" i="12"/>
  <c r="G19" i="12"/>
  <c r="G23" i="12"/>
  <c r="G27" i="12"/>
  <c r="G31" i="12"/>
  <c r="G35" i="12"/>
  <c r="G39" i="12"/>
  <c r="G43" i="12"/>
  <c r="G47" i="12"/>
  <c r="G51" i="12"/>
  <c r="G55" i="12"/>
  <c r="G59" i="12"/>
  <c r="G13" i="12"/>
  <c r="G25" i="12"/>
  <c r="G33" i="12"/>
  <c r="G37" i="12"/>
  <c r="G49" i="12"/>
  <c r="G61" i="12"/>
  <c r="H10" i="12"/>
  <c r="H18" i="12"/>
  <c r="H26" i="12"/>
  <c r="H34" i="12"/>
  <c r="H38" i="12"/>
  <c r="H50" i="12"/>
  <c r="H54" i="12"/>
  <c r="H58" i="12"/>
  <c r="H4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AF42" i="9"/>
  <c r="BZ60" i="9" l="1"/>
  <c r="CA60" i="9" s="1"/>
  <c r="BX60" i="9"/>
  <c r="BY60" i="9" s="1"/>
  <c r="BX59" i="9"/>
  <c r="BX51" i="9"/>
  <c r="BX47" i="9"/>
  <c r="BX46" i="9"/>
  <c r="BY46" i="9" s="1"/>
  <c r="BX55" i="9"/>
  <c r="BY55" i="9" s="1"/>
  <c r="BX48" i="9"/>
  <c r="BX50" i="9"/>
  <c r="BX58" i="9"/>
  <c r="BE14" i="9"/>
  <c r="Y42" i="9"/>
  <c r="CK61" i="9"/>
  <c r="CK60" i="9"/>
  <c r="BE15" i="9" l="1"/>
  <c r="D57" i="9"/>
  <c r="E57" i="9" s="1"/>
  <c r="CI60" i="9"/>
  <c r="BL60" i="9"/>
  <c r="BK60" i="9" s="1"/>
  <c r="BL59" i="9"/>
  <c r="D51" i="9"/>
  <c r="E51" i="9" s="1"/>
  <c r="U61" i="9"/>
  <c r="D61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X61" i="9"/>
  <c r="BE16" i="9" l="1"/>
  <c r="AG61" i="9"/>
  <c r="AH61" i="9" s="1"/>
  <c r="AF61" i="9"/>
  <c r="BD42" i="9"/>
  <c r="S36" i="9"/>
  <c r="BF59" i="9"/>
  <c r="N62" i="9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BE17" i="9" l="1"/>
  <c r="CO61" i="9"/>
  <c r="U56" i="9"/>
  <c r="AF56" i="9" s="1"/>
  <c r="BE18" i="9" l="1"/>
  <c r="AG56" i="9"/>
  <c r="AH56" i="9" s="1"/>
  <c r="BD28" i="9"/>
  <c r="BD31" i="9"/>
  <c r="BD40" i="9"/>
  <c r="BD44" i="9"/>
  <c r="BD19" i="9" l="1"/>
  <c r="BE19" i="9"/>
  <c r="BD20" i="9"/>
  <c r="BD15" i="9"/>
  <c r="CK34" i="9" l="1"/>
  <c r="CK35" i="9"/>
  <c r="CK46" i="9"/>
  <c r="CK47" i="9"/>
  <c r="CK57" i="9"/>
  <c r="CK58" i="9"/>
  <c r="CK59" i="9"/>
  <c r="CK37" i="9" l="1"/>
  <c r="CK51" i="9"/>
  <c r="CK26" i="9"/>
  <c r="CK45" i="9"/>
  <c r="CK49" i="9"/>
  <c r="CK48" i="9"/>
  <c r="CK36" i="9"/>
  <c r="CK38" i="9"/>
  <c r="CK50" i="9"/>
  <c r="CK33" i="9"/>
  <c r="CK56" i="9"/>
  <c r="CK53" i="9"/>
  <c r="CK41" i="9"/>
  <c r="CK29" i="9"/>
  <c r="CK44" i="9"/>
  <c r="CK54" i="9"/>
  <c r="CK42" i="9"/>
  <c r="CK30" i="9"/>
  <c r="CK39" i="9"/>
  <c r="CK32" i="9"/>
  <c r="CK55" i="9"/>
  <c r="CK43" i="9"/>
  <c r="CK31" i="9"/>
  <c r="CK52" i="9"/>
  <c r="CK40" i="9"/>
  <c r="CK28" i="9"/>
  <c r="D46" i="9"/>
  <c r="D47" i="9"/>
  <c r="D64" i="9"/>
  <c r="CT10" i="9" l="1"/>
  <c r="CR11" i="9"/>
  <c r="CR12" i="9"/>
  <c r="CQ13" i="9"/>
  <c r="CT15" i="9"/>
  <c r="CR23" i="9"/>
  <c r="CT24" i="9"/>
  <c r="CT25" i="9"/>
  <c r="CT26" i="9"/>
  <c r="CT27" i="9"/>
  <c r="CQ31" i="9"/>
  <c r="CQ32" i="9"/>
  <c r="CQ33" i="9"/>
  <c r="CQ34" i="9"/>
  <c r="CQ35" i="9"/>
  <c r="CS36" i="9"/>
  <c r="CR37" i="9"/>
  <c r="CT38" i="9"/>
  <c r="CT39" i="9"/>
  <c r="CS45" i="9"/>
  <c r="CS47" i="9"/>
  <c r="CR48" i="9"/>
  <c r="CR49" i="9"/>
  <c r="CT50" i="9"/>
  <c r="CT51" i="9"/>
  <c r="CS56" i="9"/>
  <c r="CS57" i="9"/>
  <c r="CS59" i="9"/>
  <c r="CT60" i="9"/>
  <c r="CS44" i="9"/>
  <c r="CT4" i="9"/>
  <c r="CS5" i="9"/>
  <c r="CT6" i="9"/>
  <c r="CT7" i="9"/>
  <c r="CQ9" i="9"/>
  <c r="CS16" i="9"/>
  <c r="CS17" i="9"/>
  <c r="CR18" i="9"/>
  <c r="CT28" i="9"/>
  <c r="CR29" i="9"/>
  <c r="CT30" i="9"/>
  <c r="CS40" i="9"/>
  <c r="CQ41" i="9"/>
  <c r="CR52" i="9"/>
  <c r="CR53" i="9"/>
  <c r="CS54" i="9"/>
  <c r="CS55" i="9"/>
  <c r="CS28" i="9"/>
  <c r="CR17" i="9"/>
  <c r="CR28" i="9"/>
  <c r="BD58" i="9"/>
  <c r="BF49" i="9"/>
  <c r="BF14" i="9"/>
  <c r="BF15" i="9"/>
  <c r="BF16" i="9"/>
  <c r="BF17" i="9"/>
  <c r="BH17" i="9" s="1"/>
  <c r="BF18" i="9"/>
  <c r="BF19" i="9"/>
  <c r="BF21" i="9"/>
  <c r="BF22" i="9"/>
  <c r="BF23" i="9"/>
  <c r="BF24" i="9"/>
  <c r="BF25" i="9"/>
  <c r="BF26" i="9"/>
  <c r="BF27" i="9"/>
  <c r="BF28" i="9"/>
  <c r="BF29" i="9"/>
  <c r="BF32" i="9"/>
  <c r="BF33" i="9"/>
  <c r="BF34" i="9"/>
  <c r="BF35" i="9"/>
  <c r="BF36" i="9"/>
  <c r="BF37" i="9"/>
  <c r="BF38" i="9"/>
  <c r="BF39" i="9"/>
  <c r="BF40" i="9"/>
  <c r="BF41" i="9"/>
  <c r="BD14" i="9"/>
  <c r="BD16" i="9"/>
  <c r="BD17" i="9"/>
  <c r="BD18" i="9"/>
  <c r="BD21" i="9"/>
  <c r="BD22" i="9"/>
  <c r="BD23" i="9"/>
  <c r="BD24" i="9"/>
  <c r="BD25" i="9"/>
  <c r="BD27" i="9"/>
  <c r="BD29" i="9"/>
  <c r="BD30" i="9"/>
  <c r="BD32" i="9"/>
  <c r="BD33" i="9"/>
  <c r="BD35" i="9"/>
  <c r="BD36" i="9"/>
  <c r="BD37" i="9"/>
  <c r="BD38" i="9"/>
  <c r="BD39" i="9"/>
  <c r="BD41" i="9"/>
  <c r="BD43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F42" i="9"/>
  <c r="BF52" i="9"/>
  <c r="BF50" i="9"/>
  <c r="CI29" i="9"/>
  <c r="CO29" i="9" s="1"/>
  <c r="CS25" i="9" l="1"/>
  <c r="CS23" i="9"/>
  <c r="CQ52" i="9"/>
  <c r="CQ28" i="9"/>
  <c r="CT31" i="9"/>
  <c r="CQ30" i="9"/>
  <c r="CQ17" i="9"/>
  <c r="CQ4" i="9"/>
  <c r="CT29" i="9"/>
  <c r="CS30" i="9"/>
  <c r="CQ29" i="9"/>
  <c r="CT37" i="9"/>
  <c r="CS35" i="9"/>
  <c r="CT36" i="9"/>
  <c r="CR47" i="9"/>
  <c r="CS12" i="9"/>
  <c r="CQ23" i="9"/>
  <c r="CS11" i="9"/>
  <c r="CT23" i="9"/>
  <c r="CQ49" i="9"/>
  <c r="CT48" i="9"/>
  <c r="CQ48" i="9"/>
  <c r="CT47" i="9"/>
  <c r="CS24" i="9"/>
  <c r="CT35" i="9"/>
  <c r="CS13" i="9"/>
  <c r="CT49" i="9"/>
  <c r="CQ47" i="9"/>
  <c r="CR60" i="9"/>
  <c r="CS29" i="9"/>
  <c r="CT41" i="9"/>
  <c r="CT5" i="9"/>
  <c r="CQ36" i="9"/>
  <c r="CR59" i="9"/>
  <c r="CT40" i="9"/>
  <c r="CS58" i="9"/>
  <c r="CR58" i="9"/>
  <c r="CS46" i="9"/>
  <c r="CT46" i="9"/>
  <c r="CR46" i="9"/>
  <c r="CS33" i="9"/>
  <c r="CR33" i="9"/>
  <c r="CT33" i="9"/>
  <c r="CR9" i="9"/>
  <c r="CS9" i="9"/>
  <c r="CR45" i="9"/>
  <c r="CT56" i="9"/>
  <c r="CR56" i="9"/>
  <c r="CS32" i="9"/>
  <c r="CT32" i="9"/>
  <c r="CR32" i="9"/>
  <c r="CR8" i="9"/>
  <c r="CS8" i="9"/>
  <c r="CS10" i="9"/>
  <c r="CT55" i="9"/>
  <c r="CR55" i="9"/>
  <c r="CS43" i="9"/>
  <c r="CQ43" i="9"/>
  <c r="CS19" i="9"/>
  <c r="CT19" i="9"/>
  <c r="CR7" i="9"/>
  <c r="CS7" i="9"/>
  <c r="CQ7" i="9"/>
  <c r="CR43" i="9"/>
  <c r="CR54" i="9"/>
  <c r="CQ54" i="9"/>
  <c r="CT54" i="9"/>
  <c r="CQ42" i="9"/>
  <c r="CS42" i="9"/>
  <c r="CR42" i="9"/>
  <c r="CT18" i="9"/>
  <c r="CS18" i="9"/>
  <c r="CR6" i="9"/>
  <c r="CQ6" i="9"/>
  <c r="CS6" i="9"/>
  <c r="CQ19" i="9"/>
  <c r="CR30" i="9"/>
  <c r="CT45" i="9"/>
  <c r="CQ46" i="9"/>
  <c r="CQ18" i="9"/>
  <c r="CT44" i="9"/>
  <c r="CT16" i="9"/>
  <c r="CR16" i="9"/>
  <c r="CQ45" i="9"/>
  <c r="CT43" i="9"/>
  <c r="CT9" i="9"/>
  <c r="CR34" i="9"/>
  <c r="CT34" i="9"/>
  <c r="CR22" i="9"/>
  <c r="CQ22" i="9"/>
  <c r="CS22" i="9"/>
  <c r="CT22" i="9"/>
  <c r="CQ57" i="9"/>
  <c r="CR57" i="9"/>
  <c r="CR21" i="9"/>
  <c r="CS21" i="9"/>
  <c r="CQ21" i="9"/>
  <c r="CT21" i="9"/>
  <c r="CR20" i="9"/>
  <c r="CQ20" i="9"/>
  <c r="CS20" i="9"/>
  <c r="CT20" i="9"/>
  <c r="CR44" i="9"/>
  <c r="CS31" i="9"/>
  <c r="CR31" i="9"/>
  <c r="CQ44" i="9"/>
  <c r="CQ16" i="9"/>
  <c r="CR19" i="9"/>
  <c r="CT42" i="9"/>
  <c r="CT8" i="9"/>
  <c r="CS53" i="9"/>
  <c r="CT53" i="9"/>
  <c r="CR41" i="9"/>
  <c r="CS52" i="9"/>
  <c r="CT52" i="9"/>
  <c r="CR5" i="9"/>
  <c r="CR4" i="9"/>
  <c r="CQ53" i="9"/>
  <c r="CQ37" i="9"/>
  <c r="CS41" i="9"/>
  <c r="CS4" i="9"/>
  <c r="CT17" i="9"/>
  <c r="CQ5" i="9"/>
  <c r="CR40" i="9"/>
  <c r="CQ40" i="9"/>
  <c r="CR13" i="9"/>
  <c r="CS37" i="9"/>
  <c r="CT59" i="9"/>
  <c r="CR24" i="9"/>
  <c r="CS34" i="9"/>
  <c r="CT13" i="9"/>
  <c r="CQ56" i="9"/>
  <c r="CQ12" i="9"/>
  <c r="CR36" i="9"/>
  <c r="CS60" i="9"/>
  <c r="CT12" i="9"/>
  <c r="CQ59" i="9"/>
  <c r="CR25" i="9"/>
  <c r="CS49" i="9"/>
  <c r="CS48" i="9"/>
  <c r="CT57" i="9"/>
  <c r="CQ55" i="9"/>
  <c r="CQ25" i="9"/>
  <c r="CQ11" i="9"/>
  <c r="CR35" i="9"/>
  <c r="CT11" i="9"/>
  <c r="CQ60" i="9"/>
  <c r="CQ58" i="9"/>
  <c r="CR10" i="9"/>
  <c r="CT58" i="9"/>
  <c r="CQ24" i="9"/>
  <c r="CQ10" i="9"/>
  <c r="CQ51" i="9"/>
  <c r="CQ39" i="9"/>
  <c r="CQ27" i="9"/>
  <c r="CR51" i="9"/>
  <c r="CR39" i="9"/>
  <c r="CR27" i="9"/>
  <c r="CR15" i="9"/>
  <c r="CS51" i="9"/>
  <c r="CS39" i="9"/>
  <c r="CS27" i="9"/>
  <c r="CS15" i="9"/>
  <c r="CQ50" i="9"/>
  <c r="CQ38" i="9"/>
  <c r="CQ26" i="9"/>
  <c r="CR50" i="9"/>
  <c r="CR38" i="9"/>
  <c r="CR26" i="9"/>
  <c r="CS50" i="9"/>
  <c r="CS38" i="9"/>
  <c r="CS26" i="9"/>
  <c r="BH59" i="9"/>
  <c r="BK59" i="9" l="1"/>
  <c r="BL58" i="9"/>
  <c r="BK58" i="9" s="1"/>
  <c r="BL57" i="9"/>
  <c r="BK57" i="9" s="1"/>
  <c r="BL56" i="9"/>
  <c r="BK56" i="9" s="1"/>
  <c r="BL55" i="9"/>
  <c r="BK55" i="9" s="1"/>
  <c r="BL54" i="9"/>
  <c r="BK54" i="9" s="1"/>
  <c r="BL53" i="9"/>
  <c r="BK53" i="9" s="1"/>
  <c r="BL52" i="9"/>
  <c r="BK52" i="9" s="1"/>
  <c r="BL51" i="9"/>
  <c r="BK51" i="9" s="1"/>
  <c r="BL50" i="9"/>
  <c r="BK50" i="9" s="1"/>
  <c r="D60" i="9"/>
  <c r="U60" i="9"/>
  <c r="U59" i="9"/>
  <c r="U58" i="9"/>
  <c r="U57" i="9"/>
  <c r="Y57" i="9" s="1"/>
  <c r="U55" i="9"/>
  <c r="U54" i="9"/>
  <c r="U53" i="9"/>
  <c r="AG53" i="9" s="1"/>
  <c r="AH53" i="9" s="1"/>
  <c r="U52" i="9"/>
  <c r="U51" i="9"/>
  <c r="U50" i="9"/>
  <c r="U49" i="9"/>
  <c r="AG49" i="9" s="1"/>
  <c r="U48" i="9"/>
  <c r="U47" i="9"/>
  <c r="U46" i="9"/>
  <c r="U45" i="9"/>
  <c r="U44" i="9"/>
  <c r="S44" i="9"/>
  <c r="S43" i="9"/>
  <c r="L109" i="9"/>
  <c r="H109" i="9"/>
  <c r="D109" i="9"/>
  <c r="E109" i="9" s="1"/>
  <c r="F109" i="9" s="1"/>
  <c r="L108" i="9"/>
  <c r="H108" i="9"/>
  <c r="D108" i="9"/>
  <c r="E108" i="9" s="1"/>
  <c r="F108" i="9" s="1"/>
  <c r="L107" i="9"/>
  <c r="H107" i="9"/>
  <c r="D107" i="9"/>
  <c r="E107" i="9" s="1"/>
  <c r="F107" i="9" s="1"/>
  <c r="L106" i="9"/>
  <c r="H106" i="9"/>
  <c r="D106" i="9"/>
  <c r="E106" i="9" s="1"/>
  <c r="F106" i="9" s="1"/>
  <c r="L105" i="9"/>
  <c r="H105" i="9"/>
  <c r="D105" i="9"/>
  <c r="E105" i="9" s="1"/>
  <c r="F105" i="9" s="1"/>
  <c r="L104" i="9"/>
  <c r="H104" i="9"/>
  <c r="D104" i="9"/>
  <c r="E104" i="9" s="1"/>
  <c r="F104" i="9" s="1"/>
  <c r="L103" i="9"/>
  <c r="H103" i="9"/>
  <c r="D103" i="9"/>
  <c r="E103" i="9" s="1"/>
  <c r="F103" i="9" s="1"/>
  <c r="L102" i="9"/>
  <c r="H102" i="9"/>
  <c r="D102" i="9"/>
  <c r="E102" i="9" s="1"/>
  <c r="F102" i="9" s="1"/>
  <c r="L101" i="9"/>
  <c r="H101" i="9"/>
  <c r="D101" i="9"/>
  <c r="E101" i="9" s="1"/>
  <c r="F101" i="9" s="1"/>
  <c r="L100" i="9"/>
  <c r="H100" i="9"/>
  <c r="D100" i="9"/>
  <c r="E100" i="9" s="1"/>
  <c r="F100" i="9" s="1"/>
  <c r="L99" i="9"/>
  <c r="H99" i="9"/>
  <c r="D99" i="9"/>
  <c r="E99" i="9" s="1"/>
  <c r="F99" i="9" s="1"/>
  <c r="L98" i="9"/>
  <c r="H98" i="9"/>
  <c r="D98" i="9"/>
  <c r="E98" i="9" s="1"/>
  <c r="F98" i="9" s="1"/>
  <c r="L97" i="9"/>
  <c r="H97" i="9"/>
  <c r="D97" i="9"/>
  <c r="E97" i="9" s="1"/>
  <c r="F97" i="9" s="1"/>
  <c r="L96" i="9"/>
  <c r="H96" i="9"/>
  <c r="D96" i="9"/>
  <c r="E96" i="9" s="1"/>
  <c r="F96" i="9" s="1"/>
  <c r="L95" i="9"/>
  <c r="H95" i="9"/>
  <c r="D95" i="9"/>
  <c r="E95" i="9" s="1"/>
  <c r="F95" i="9" s="1"/>
  <c r="L94" i="9"/>
  <c r="H94" i="9"/>
  <c r="D94" i="9"/>
  <c r="E94" i="9" s="1"/>
  <c r="F94" i="9" s="1"/>
  <c r="L93" i="9"/>
  <c r="H93" i="9"/>
  <c r="D93" i="9"/>
  <c r="E93" i="9" s="1"/>
  <c r="F93" i="9" s="1"/>
  <c r="L92" i="9"/>
  <c r="H92" i="9"/>
  <c r="D92" i="9"/>
  <c r="E92" i="9" s="1"/>
  <c r="F92" i="9" s="1"/>
  <c r="L91" i="9"/>
  <c r="H91" i="9"/>
  <c r="D91" i="9"/>
  <c r="E91" i="9" s="1"/>
  <c r="F91" i="9" s="1"/>
  <c r="L90" i="9"/>
  <c r="H90" i="9"/>
  <c r="D90" i="9"/>
  <c r="E90" i="9" s="1"/>
  <c r="F90" i="9" s="1"/>
  <c r="L89" i="9"/>
  <c r="H89" i="9"/>
  <c r="D89" i="9"/>
  <c r="E89" i="9" s="1"/>
  <c r="F89" i="9" s="1"/>
  <c r="L88" i="9"/>
  <c r="H88" i="9"/>
  <c r="D88" i="9"/>
  <c r="E88" i="9" s="1"/>
  <c r="F88" i="9" s="1"/>
  <c r="L87" i="9"/>
  <c r="H87" i="9"/>
  <c r="D87" i="9"/>
  <c r="E87" i="9" s="1"/>
  <c r="F87" i="9" s="1"/>
  <c r="L86" i="9"/>
  <c r="H86" i="9"/>
  <c r="D86" i="9"/>
  <c r="E86" i="9" s="1"/>
  <c r="F86" i="9" s="1"/>
  <c r="L85" i="9"/>
  <c r="H85" i="9"/>
  <c r="D85" i="9"/>
  <c r="E85" i="9" s="1"/>
  <c r="F85" i="9" s="1"/>
  <c r="L84" i="9"/>
  <c r="H84" i="9"/>
  <c r="D84" i="9"/>
  <c r="E84" i="9" s="1"/>
  <c r="F84" i="9" s="1"/>
  <c r="L83" i="9"/>
  <c r="H83" i="9"/>
  <c r="D83" i="9"/>
  <c r="E83" i="9" s="1"/>
  <c r="F83" i="9" s="1"/>
  <c r="L82" i="9"/>
  <c r="H82" i="9"/>
  <c r="D82" i="9"/>
  <c r="E82" i="9" s="1"/>
  <c r="F82" i="9" s="1"/>
  <c r="L81" i="9"/>
  <c r="H81" i="9"/>
  <c r="D81" i="9"/>
  <c r="E81" i="9" s="1"/>
  <c r="F81" i="9" s="1"/>
  <c r="L80" i="9"/>
  <c r="H80" i="9"/>
  <c r="D80" i="9"/>
  <c r="E80" i="9" s="1"/>
  <c r="F80" i="9" s="1"/>
  <c r="L79" i="9"/>
  <c r="H79" i="9"/>
  <c r="D79" i="9"/>
  <c r="E79" i="9" s="1"/>
  <c r="F79" i="9" s="1"/>
  <c r="L78" i="9"/>
  <c r="H78" i="9"/>
  <c r="D78" i="9"/>
  <c r="E78" i="9" s="1"/>
  <c r="F78" i="9" s="1"/>
  <c r="L77" i="9"/>
  <c r="H77" i="9"/>
  <c r="D77" i="9"/>
  <c r="E77" i="9" s="1"/>
  <c r="F77" i="9" s="1"/>
  <c r="L76" i="9"/>
  <c r="H76" i="9"/>
  <c r="D76" i="9"/>
  <c r="E76" i="9" s="1"/>
  <c r="F76" i="9" s="1"/>
  <c r="L75" i="9"/>
  <c r="H75" i="9"/>
  <c r="D75" i="9"/>
  <c r="E75" i="9" s="1"/>
  <c r="F75" i="9" s="1"/>
  <c r="L74" i="9"/>
  <c r="H74" i="9"/>
  <c r="D74" i="9"/>
  <c r="L73" i="9"/>
  <c r="H73" i="9"/>
  <c r="D73" i="9"/>
  <c r="L72" i="9"/>
  <c r="H72" i="9"/>
  <c r="D72" i="9"/>
  <c r="L71" i="9"/>
  <c r="H71" i="9"/>
  <c r="D71" i="9"/>
  <c r="L70" i="9"/>
  <c r="H70" i="9"/>
  <c r="D70" i="9"/>
  <c r="L69" i="9"/>
  <c r="H69" i="9"/>
  <c r="D69" i="9"/>
  <c r="L68" i="9"/>
  <c r="H68" i="9"/>
  <c r="D68" i="9"/>
  <c r="L67" i="9"/>
  <c r="H67" i="9"/>
  <c r="D67" i="9"/>
  <c r="L66" i="9"/>
  <c r="H66" i="9"/>
  <c r="D66" i="9"/>
  <c r="L65" i="9"/>
  <c r="H65" i="9"/>
  <c r="D65" i="9"/>
  <c r="L64" i="9"/>
  <c r="H64" i="9"/>
  <c r="L63" i="9"/>
  <c r="H63" i="9"/>
  <c r="D63" i="9"/>
  <c r="L62" i="9"/>
  <c r="H62" i="9"/>
  <c r="D62" i="9"/>
  <c r="L61" i="9"/>
  <c r="H61" i="9"/>
  <c r="L60" i="9"/>
  <c r="J60" i="9"/>
  <c r="H60" i="9"/>
  <c r="L59" i="9"/>
  <c r="J59" i="9"/>
  <c r="H59" i="9"/>
  <c r="D59" i="9"/>
  <c r="L58" i="9"/>
  <c r="J58" i="9"/>
  <c r="H58" i="9"/>
  <c r="D58" i="9"/>
  <c r="L57" i="9"/>
  <c r="J57" i="9"/>
  <c r="H57" i="9"/>
  <c r="L56" i="9"/>
  <c r="J56" i="9"/>
  <c r="H56" i="9"/>
  <c r="D56" i="9"/>
  <c r="L55" i="9"/>
  <c r="J55" i="9"/>
  <c r="H55" i="9"/>
  <c r="D55" i="9"/>
  <c r="L54" i="9"/>
  <c r="J54" i="9"/>
  <c r="H54" i="9"/>
  <c r="D54" i="9"/>
  <c r="L53" i="9"/>
  <c r="J53" i="9"/>
  <c r="H53" i="9"/>
  <c r="D53" i="9"/>
  <c r="L52" i="9"/>
  <c r="J52" i="9"/>
  <c r="H52" i="9"/>
  <c r="D52" i="9"/>
  <c r="L51" i="9"/>
  <c r="J51" i="9"/>
  <c r="H51" i="9"/>
  <c r="L50" i="9"/>
  <c r="J50" i="9"/>
  <c r="H50" i="9"/>
  <c r="D50" i="9"/>
  <c r="L49" i="9"/>
  <c r="J49" i="9"/>
  <c r="H49" i="9"/>
  <c r="D49" i="9"/>
  <c r="L48" i="9"/>
  <c r="J48" i="9"/>
  <c r="H48" i="9"/>
  <c r="D48" i="9"/>
  <c r="L47" i="9"/>
  <c r="J47" i="9"/>
  <c r="H47" i="9"/>
  <c r="E47" i="9"/>
  <c r="L46" i="9"/>
  <c r="J46" i="9"/>
  <c r="H46" i="9"/>
  <c r="E46" i="9"/>
  <c r="L45" i="9"/>
  <c r="J45" i="9"/>
  <c r="H45" i="9"/>
  <c r="D45" i="9"/>
  <c r="L44" i="9"/>
  <c r="J44" i="9"/>
  <c r="H44" i="9"/>
  <c r="D44" i="9"/>
  <c r="L43" i="9"/>
  <c r="J43" i="9"/>
  <c r="H43" i="9"/>
  <c r="D43" i="9"/>
  <c r="L42" i="9"/>
  <c r="J42" i="9"/>
  <c r="H42" i="9"/>
  <c r="Y51" i="9" l="1"/>
  <c r="Y53" i="9"/>
  <c r="AG43" i="9"/>
  <c r="AH43" i="9" s="1"/>
  <c r="Y43" i="9"/>
  <c r="Y59" i="9"/>
  <c r="AF47" i="9"/>
  <c r="Y47" i="9"/>
  <c r="Y60" i="9"/>
  <c r="Y61" i="9"/>
  <c r="Y55" i="9"/>
  <c r="Y56" i="9"/>
  <c r="Y45" i="9"/>
  <c r="AF46" i="9"/>
  <c r="Y46" i="9"/>
  <c r="Y48" i="9"/>
  <c r="Y44" i="9"/>
  <c r="Y58" i="9"/>
  <c r="Y49" i="9"/>
  <c r="Y52" i="9"/>
  <c r="Y54" i="9"/>
  <c r="Y50" i="9"/>
  <c r="AG54" i="9"/>
  <c r="AH54" i="9" s="1"/>
  <c r="AG55" i="9"/>
  <c r="AH55" i="9" s="1"/>
  <c r="AG44" i="9"/>
  <c r="AH44" i="9" s="1"/>
  <c r="AG57" i="9"/>
  <c r="AH57" i="9" s="1"/>
  <c r="AG45" i="9"/>
  <c r="AH45" i="9" s="1"/>
  <c r="AG58" i="9"/>
  <c r="AH58" i="9" s="1"/>
  <c r="AG46" i="9"/>
  <c r="AH46" i="9" s="1"/>
  <c r="AG59" i="9"/>
  <c r="AH59" i="9" s="1"/>
  <c r="AG47" i="9"/>
  <c r="AH47" i="9" s="1"/>
  <c r="AG60" i="9"/>
  <c r="AH60" i="9" s="1"/>
  <c r="AG48" i="9"/>
  <c r="AH48" i="9" s="1"/>
  <c r="AH49" i="9"/>
  <c r="AG50" i="9"/>
  <c r="AH50" i="9" s="1"/>
  <c r="AG51" i="9"/>
  <c r="AH51" i="9" s="1"/>
  <c r="AG52" i="9"/>
  <c r="AH52" i="9" s="1"/>
  <c r="AF53" i="9"/>
  <c r="AF55" i="9"/>
  <c r="AF54" i="9"/>
  <c r="AF44" i="9"/>
  <c r="AF57" i="9"/>
  <c r="AF45" i="9"/>
  <c r="AF58" i="9"/>
  <c r="AF59" i="9"/>
  <c r="AF60" i="9"/>
  <c r="AF48" i="9"/>
  <c r="AF49" i="9"/>
  <c r="AF43" i="9"/>
  <c r="AF50" i="9"/>
  <c r="AF51" i="9"/>
  <c r="AF52" i="9"/>
  <c r="CT62" i="9"/>
  <c r="F47" i="9"/>
  <c r="E59" i="9"/>
  <c r="E64" i="9"/>
  <c r="E69" i="9"/>
  <c r="E50" i="9"/>
  <c r="E67" i="9"/>
  <c r="E60" i="9"/>
  <c r="E42" i="9"/>
  <c r="E72" i="9"/>
  <c r="E44" i="9"/>
  <c r="E55" i="9"/>
  <c r="E48" i="9"/>
  <c r="E65" i="9"/>
  <c r="E43" i="9"/>
  <c r="E53" i="9"/>
  <c r="E70" i="9"/>
  <c r="E49" i="9"/>
  <c r="E71" i="9"/>
  <c r="E52" i="9"/>
  <c r="E45" i="9"/>
  <c r="E62" i="9"/>
  <c r="E74" i="9"/>
  <c r="F46" i="9"/>
  <c r="E58" i="9"/>
  <c r="E63" i="9"/>
  <c r="E66" i="9"/>
  <c r="E54" i="9"/>
  <c r="E68" i="9"/>
  <c r="E56" i="9"/>
  <c r="E61" i="9"/>
  <c r="E73" i="9"/>
  <c r="CQ61" i="9"/>
  <c r="CR61" i="9"/>
  <c r="CT61" i="9"/>
  <c r="CS61" i="9"/>
  <c r="CI56" i="9"/>
  <c r="CA48" i="9"/>
  <c r="CA47" i="9"/>
  <c r="CA59" i="9" l="1"/>
  <c r="BY59" i="9"/>
  <c r="CA55" i="9"/>
  <c r="BY53" i="9"/>
  <c r="CA51" i="9"/>
  <c r="BY51" i="9"/>
  <c r="CA52" i="9"/>
  <c r="CA54" i="9"/>
  <c r="BY54" i="9"/>
  <c r="CA56" i="9"/>
  <c r="CO56" i="9" s="1"/>
  <c r="CT63" i="9"/>
  <c r="F55" i="9"/>
  <c r="F51" i="9"/>
  <c r="F54" i="9"/>
  <c r="F62" i="9"/>
  <c r="F53" i="9"/>
  <c r="F72" i="9"/>
  <c r="F69" i="9"/>
  <c r="F44" i="9"/>
  <c r="CQ62" i="9"/>
  <c r="F73" i="9"/>
  <c r="F66" i="9"/>
  <c r="F45" i="9"/>
  <c r="F43" i="9"/>
  <c r="F42" i="9"/>
  <c r="F64" i="9"/>
  <c r="F49" i="9"/>
  <c r="F74" i="9"/>
  <c r="CR62" i="9"/>
  <c r="F50" i="9"/>
  <c r="CS62" i="9"/>
  <c r="F61" i="9"/>
  <c r="F63" i="9"/>
  <c r="F52" i="9"/>
  <c r="F65" i="9"/>
  <c r="F60" i="9"/>
  <c r="F59" i="9"/>
  <c r="F57" i="9"/>
  <c r="F68" i="9"/>
  <c r="F70" i="9"/>
  <c r="F56" i="9"/>
  <c r="F58" i="9"/>
  <c r="F71" i="9"/>
  <c r="F48" i="9"/>
  <c r="F67" i="9"/>
  <c r="BY47" i="9"/>
  <c r="CA49" i="9"/>
  <c r="CA50" i="9"/>
  <c r="CA58" i="9"/>
  <c r="CA53" i="9"/>
  <c r="CO60" i="9"/>
  <c r="BY48" i="9"/>
  <c r="BY49" i="9"/>
  <c r="BY50" i="9"/>
  <c r="BY58" i="9"/>
  <c r="CQ63" i="9" l="1"/>
  <c r="CQ64" i="9"/>
  <c r="CS63" i="9"/>
  <c r="CR63" i="9"/>
  <c r="CQ65" i="9" l="1"/>
  <c r="CR64" i="9"/>
  <c r="CS64" i="9"/>
  <c r="CT64" i="9"/>
  <c r="BT54" i="9"/>
  <c r="BS59" i="9"/>
  <c r="BT59" i="9"/>
  <c r="BU59" i="9"/>
  <c r="BS58" i="9"/>
  <c r="BT58" i="9"/>
  <c r="BU58" i="9"/>
  <c r="BS57" i="9"/>
  <c r="BT57" i="9"/>
  <c r="BU57" i="9"/>
  <c r="BS56" i="9"/>
  <c r="BT56" i="9"/>
  <c r="BU56" i="9"/>
  <c r="BS55" i="9"/>
  <c r="BT55" i="9"/>
  <c r="BU55" i="9"/>
  <c r="BS54" i="9"/>
  <c r="BU54" i="9"/>
  <c r="BS53" i="9"/>
  <c r="BT53" i="9"/>
  <c r="BU53" i="9"/>
  <c r="BR59" i="9"/>
  <c r="BR58" i="9"/>
  <c r="BR57" i="9"/>
  <c r="BR56" i="9"/>
  <c r="BR55" i="9"/>
  <c r="BR54" i="9"/>
  <c r="BR53" i="9"/>
  <c r="BS52" i="9"/>
  <c r="BT52" i="9"/>
  <c r="BU52" i="9"/>
  <c r="BR52" i="9"/>
  <c r="BW59" i="9"/>
  <c r="BW58" i="9"/>
  <c r="BW55" i="9"/>
  <c r="BW54" i="9"/>
  <c r="BW53" i="9"/>
  <c r="BW52" i="9"/>
  <c r="BW51" i="9"/>
  <c r="BW50" i="9"/>
  <c r="BW49" i="9"/>
  <c r="BW47" i="9"/>
  <c r="CS65" i="9" l="1"/>
  <c r="CR65" i="9"/>
  <c r="CT65" i="9"/>
  <c r="CR66" i="9"/>
  <c r="CR67" i="9" l="1"/>
  <c r="CT66" i="9"/>
  <c r="CS66" i="9"/>
  <c r="CQ66" i="9"/>
  <c r="CT68" i="9" l="1"/>
  <c r="CT67" i="9"/>
  <c r="CQ67" i="9"/>
  <c r="CS67" i="9"/>
  <c r="CT69" i="9" l="1"/>
  <c r="CQ68" i="9"/>
  <c r="CR68" i="9"/>
  <c r="CS68" i="9"/>
  <c r="CT70" i="9" l="1"/>
  <c r="CS69" i="9"/>
  <c r="CQ69" i="9"/>
  <c r="CR69" i="9"/>
  <c r="CI58" i="9"/>
  <c r="CO58" i="9" s="1"/>
  <c r="CR70" i="9" l="1"/>
  <c r="CQ70" i="9"/>
  <c r="CS70" i="9"/>
  <c r="CT71" i="9"/>
  <c r="CE25" i="9"/>
  <c r="CE26" i="9" l="1"/>
  <c r="CE27" i="9" s="1"/>
  <c r="CF25" i="9"/>
  <c r="CJ25" i="9" s="1"/>
  <c r="CS72" i="9"/>
  <c r="CS71" i="9"/>
  <c r="CR71" i="9"/>
  <c r="CQ71" i="9"/>
  <c r="CQ72" i="9"/>
  <c r="BH29" i="9"/>
  <c r="BH41" i="9"/>
  <c r="CT72" i="9" l="1"/>
  <c r="CR72" i="9"/>
  <c r="CR73" i="9"/>
  <c r="CT74" i="9" l="1"/>
  <c r="CQ73" i="9"/>
  <c r="CS73" i="9"/>
  <c r="CT73" i="9"/>
  <c r="CO59" i="9"/>
  <c r="CQ74" i="9" l="1"/>
  <c r="CR74" i="9"/>
  <c r="CS74" i="9"/>
  <c r="CT75" i="9"/>
  <c r="CI30" i="9"/>
  <c r="CO30" i="9" s="1"/>
  <c r="CI53" i="9"/>
  <c r="CO53" i="9" s="1"/>
  <c r="CQ75" i="9" l="1"/>
  <c r="CR75" i="9"/>
  <c r="CS76" i="9"/>
  <c r="CS75" i="9"/>
  <c r="S38" i="9"/>
  <c r="CT77" i="9" l="1"/>
  <c r="CQ76" i="9"/>
  <c r="CR76" i="9"/>
  <c r="CT76" i="9"/>
  <c r="BH12" i="9"/>
  <c r="CI52" i="9"/>
  <c r="CO52" i="9" s="1"/>
  <c r="CO45" i="9"/>
  <c r="CT78" i="9" l="1"/>
  <c r="CQ77" i="9"/>
  <c r="CR77" i="9"/>
  <c r="CS77" i="9"/>
  <c r="BH13" i="9"/>
  <c r="BH14" i="9"/>
  <c r="CR79" i="9" l="1"/>
  <c r="CQ78" i="9"/>
  <c r="CS78" i="9"/>
  <c r="CR78" i="9"/>
  <c r="CQ79" i="9" l="1"/>
  <c r="CT80" i="9"/>
  <c r="CS79" i="9"/>
  <c r="CT79" i="9"/>
  <c r="BH15" i="9"/>
  <c r="CR81" i="9" l="1"/>
  <c r="CQ80" i="9"/>
  <c r="CS80" i="9"/>
  <c r="CR80" i="9"/>
  <c r="BH16" i="9"/>
  <c r="S37" i="9"/>
  <c r="S39" i="9"/>
  <c r="S40" i="9"/>
  <c r="S41" i="9"/>
  <c r="CT82" i="9" l="1"/>
  <c r="CS81" i="9"/>
  <c r="CQ81" i="9"/>
  <c r="CT81" i="9"/>
  <c r="CI26" i="9"/>
  <c r="CO26" i="9" s="1"/>
  <c r="CI31" i="9"/>
  <c r="CO31" i="9" s="1"/>
  <c r="CI27" i="9"/>
  <c r="CS83" i="9" l="1"/>
  <c r="CO27" i="9"/>
  <c r="CR82" i="9"/>
  <c r="CQ82" i="9"/>
  <c r="CS82" i="9"/>
  <c r="BH18" i="9"/>
  <c r="CR83" i="9" l="1"/>
  <c r="CQ83" i="9"/>
  <c r="CT84" i="9"/>
  <c r="CT83" i="9"/>
  <c r="BH19" i="9"/>
  <c r="CI28" i="9"/>
  <c r="CO28" i="9" s="1"/>
  <c r="CI32" i="9"/>
  <c r="CO32" i="9" s="1"/>
  <c r="CI33" i="9"/>
  <c r="CI34" i="9"/>
  <c r="CI35" i="9"/>
  <c r="CI36" i="9"/>
  <c r="CO36" i="9" s="1"/>
  <c r="CI37" i="9"/>
  <c r="CI38" i="9"/>
  <c r="CI40" i="9"/>
  <c r="CI41" i="9"/>
  <c r="CI42" i="9"/>
  <c r="CI43" i="9"/>
  <c r="CI44" i="9"/>
  <c r="CI46" i="9"/>
  <c r="CO46" i="9" s="1"/>
  <c r="CI47" i="9"/>
  <c r="CO47" i="9" s="1"/>
  <c r="CI48" i="9"/>
  <c r="CO48" i="9" s="1"/>
  <c r="CI49" i="9"/>
  <c r="CO49" i="9" s="1"/>
  <c r="CI50" i="9"/>
  <c r="CO50" i="9" s="1"/>
  <c r="CI51" i="9"/>
  <c r="CO51" i="9" s="1"/>
  <c r="CI54" i="9"/>
  <c r="CO54" i="9" s="1"/>
  <c r="CI55" i="9"/>
  <c r="CO55" i="9" s="1"/>
  <c r="CI57" i="9"/>
  <c r="CO57" i="9" s="1"/>
  <c r="CR84" i="9" l="1"/>
  <c r="CQ84" i="9"/>
  <c r="CR85" i="9"/>
  <c r="CO42" i="9"/>
  <c r="CO41" i="9"/>
  <c r="CO33" i="9"/>
  <c r="CO40" i="9"/>
  <c r="CO38" i="9"/>
  <c r="CO35" i="9"/>
  <c r="CO44" i="9"/>
  <c r="CO37" i="9"/>
  <c r="CO34" i="9"/>
  <c r="CO43" i="9"/>
  <c r="CS84" i="9"/>
  <c r="BH20" i="9"/>
  <c r="CT86" i="9" l="1"/>
  <c r="CT85" i="9"/>
  <c r="CS85" i="9"/>
  <c r="CQ85" i="9"/>
  <c r="BH21" i="9"/>
  <c r="CT87" i="9" l="1"/>
  <c r="CQ86" i="9"/>
  <c r="CR86" i="9"/>
  <c r="CS86" i="9"/>
  <c r="BH22" i="9"/>
  <c r="CQ88" i="9" l="1"/>
  <c r="CQ87" i="9"/>
  <c r="CR87" i="9"/>
  <c r="CS87" i="9"/>
  <c r="BH23" i="9"/>
  <c r="CT88" i="9" l="1"/>
  <c r="CR88" i="9"/>
  <c r="CT89" i="9"/>
  <c r="CS88" i="9"/>
  <c r="BH24" i="9"/>
  <c r="CR89" i="9" l="1"/>
  <c r="CQ89" i="9"/>
  <c r="CR90" i="9"/>
  <c r="CS89" i="9"/>
  <c r="BH25" i="9"/>
  <c r="CS90" i="9" l="1"/>
  <c r="CQ91" i="9"/>
  <c r="CT90" i="9"/>
  <c r="CQ90" i="9"/>
  <c r="BH26" i="9"/>
  <c r="CE28" i="9"/>
  <c r="CE29" i="9" s="1"/>
  <c r="CF26" i="9"/>
  <c r="CE30" i="9" l="1"/>
  <c r="CF30" i="9" s="1"/>
  <c r="CF29" i="9"/>
  <c r="CS91" i="9"/>
  <c r="CT91" i="9"/>
  <c r="CR92" i="9"/>
  <c r="CR91" i="9"/>
  <c r="CT92" i="9"/>
  <c r="BH27" i="9"/>
  <c r="CF28" i="9"/>
  <c r="CJ26" i="9"/>
  <c r="CF27" i="9"/>
  <c r="CE31" i="9" l="1"/>
  <c r="CE32" i="9" s="1"/>
  <c r="CE33" i="9" s="1"/>
  <c r="CE34" i="9" s="1"/>
  <c r="CE35" i="9" s="1"/>
  <c r="CE36" i="9" s="1"/>
  <c r="CE37" i="9" s="1"/>
  <c r="CE38" i="9" s="1"/>
  <c r="CE39" i="9" s="1"/>
  <c r="CE40" i="9" s="1"/>
  <c r="CE41" i="9" s="1"/>
  <c r="CE42" i="9" s="1"/>
  <c r="CE43" i="9" s="1"/>
  <c r="CE44" i="9" s="1"/>
  <c r="CE45" i="9" s="1"/>
  <c r="CE46" i="9" s="1"/>
  <c r="CE47" i="9" s="1"/>
  <c r="CE48" i="9" s="1"/>
  <c r="CE49" i="9" s="1"/>
  <c r="CE50" i="9" s="1"/>
  <c r="CR93" i="9"/>
  <c r="CS92" i="9"/>
  <c r="CQ92" i="9"/>
  <c r="CJ28" i="9"/>
  <c r="BH28" i="9"/>
  <c r="CJ29" i="9"/>
  <c r="CJ27" i="9"/>
  <c r="CR94" i="9" l="1"/>
  <c r="CS93" i="9"/>
  <c r="CT93" i="9"/>
  <c r="CQ93" i="9"/>
  <c r="CE51" i="9"/>
  <c r="CE52" i="9" s="1"/>
  <c r="CE53" i="9" s="1"/>
  <c r="CE54" i="9" s="1"/>
  <c r="CE55" i="9" s="1"/>
  <c r="CF50" i="9"/>
  <c r="CJ30" i="9"/>
  <c r="CF31" i="9"/>
  <c r="CR95" i="9" l="1"/>
  <c r="CS94" i="9"/>
  <c r="CT94" i="9"/>
  <c r="CQ94" i="9"/>
  <c r="CE56" i="9"/>
  <c r="CE57" i="9" s="1"/>
  <c r="CE58" i="9" s="1"/>
  <c r="CE59" i="9" s="1"/>
  <c r="CE60" i="9" s="1"/>
  <c r="CJ31" i="9"/>
  <c r="BH30" i="9"/>
  <c r="CF32" i="9"/>
  <c r="CF60" i="9" l="1"/>
  <c r="CE61" i="9"/>
  <c r="CF61" i="9" s="1"/>
  <c r="CT96" i="9"/>
  <c r="CQ95" i="9"/>
  <c r="CS95" i="9"/>
  <c r="CT95" i="9"/>
  <c r="CF59" i="9"/>
  <c r="CJ32" i="9"/>
  <c r="BH31" i="9"/>
  <c r="CF33" i="9"/>
  <c r="CJ60" i="9" l="1"/>
  <c r="CJ61" i="9"/>
  <c r="CR97" i="9"/>
  <c r="CR96" i="9"/>
  <c r="CQ96" i="9"/>
  <c r="CS96" i="9"/>
  <c r="CJ33" i="9"/>
  <c r="BH32" i="9"/>
  <c r="CF34" i="9"/>
  <c r="CT98" i="9" l="1"/>
  <c r="CT97" i="9"/>
  <c r="CQ97" i="9"/>
  <c r="CS97" i="9"/>
  <c r="CJ34" i="9"/>
  <c r="BH33" i="9"/>
  <c r="CF35" i="9"/>
  <c r="CT99" i="9" l="1"/>
  <c r="CR98" i="9"/>
  <c r="CS98" i="9"/>
  <c r="CQ98" i="9"/>
  <c r="CJ35" i="9"/>
  <c r="BH34" i="9"/>
  <c r="CF36" i="9"/>
  <c r="CS99" i="9" l="1"/>
  <c r="CR100" i="9"/>
  <c r="CQ99" i="9"/>
  <c r="CR99" i="9"/>
  <c r="CJ36" i="9"/>
  <c r="BH35" i="9"/>
  <c r="CF37" i="9"/>
  <c r="CS101" i="9" l="1"/>
  <c r="CQ100" i="9"/>
  <c r="CT100" i="9"/>
  <c r="CS100" i="9"/>
  <c r="CJ37" i="9"/>
  <c r="BH36" i="9"/>
  <c r="CF38" i="9"/>
  <c r="CR102" i="9" l="1"/>
  <c r="CQ101" i="9"/>
  <c r="CT101" i="9"/>
  <c r="CR101" i="9"/>
  <c r="CJ38" i="9"/>
  <c r="BH37" i="9"/>
  <c r="CF39" i="9"/>
  <c r="CG61" i="9" l="1"/>
  <c r="CT102" i="9"/>
  <c r="CS102" i="9"/>
  <c r="CQ102" i="9"/>
  <c r="CQ103" i="9"/>
  <c r="CT103" i="9"/>
  <c r="CG24" i="9"/>
  <c r="CG39" i="9"/>
  <c r="CG60" i="9"/>
  <c r="CG59" i="9"/>
  <c r="BH38" i="9"/>
  <c r="CG29" i="9"/>
  <c r="CG30" i="9"/>
  <c r="CG26" i="9"/>
  <c r="CG27" i="9"/>
  <c r="CG33" i="9"/>
  <c r="CJ39" i="9"/>
  <c r="CG25" i="9"/>
  <c r="CG50" i="9"/>
  <c r="CG28" i="9"/>
  <c r="CG31" i="9"/>
  <c r="CG32" i="9"/>
  <c r="CG34" i="9"/>
  <c r="CG35" i="9"/>
  <c r="CG36" i="9"/>
  <c r="CG37" i="9"/>
  <c r="CG38" i="9"/>
  <c r="CF40" i="9"/>
  <c r="CH61" i="9" l="1"/>
  <c r="CT104" i="9"/>
  <c r="CS103" i="9"/>
  <c r="CR103" i="9"/>
  <c r="CH26" i="9"/>
  <c r="CG40" i="9"/>
  <c r="CH40" i="9" s="1"/>
  <c r="CJ40" i="9"/>
  <c r="CH60" i="9"/>
  <c r="CH33" i="9"/>
  <c r="CH30" i="9"/>
  <c r="BH39" i="9"/>
  <c r="BH40" i="9"/>
  <c r="CH27" i="9"/>
  <c r="CH37" i="9"/>
  <c r="CH35" i="9"/>
  <c r="CH25" i="9"/>
  <c r="CH38" i="9"/>
  <c r="CH34" i="9"/>
  <c r="CH28" i="9"/>
  <c r="CH29" i="9"/>
  <c r="CH32" i="9"/>
  <c r="CH36" i="9"/>
  <c r="CH31" i="9"/>
  <c r="CH39" i="9"/>
  <c r="CF41" i="9"/>
  <c r="CQ104" i="9" l="1"/>
  <c r="CS104" i="9"/>
  <c r="CR104" i="9"/>
  <c r="CS105" i="9"/>
  <c r="CJ41" i="9"/>
  <c r="CG41" i="9"/>
  <c r="CH41" i="9" s="1"/>
  <c r="CF42" i="9"/>
  <c r="CS106" i="9" l="1"/>
  <c r="CR105" i="9"/>
  <c r="CQ105" i="9"/>
  <c r="CT105" i="9"/>
  <c r="CJ42" i="9"/>
  <c r="CG42" i="9"/>
  <c r="CH42" i="9" s="1"/>
  <c r="CF43" i="9"/>
  <c r="CR106" i="9" l="1"/>
  <c r="CT106" i="9"/>
  <c r="CQ107" i="9"/>
  <c r="CQ106" i="9"/>
  <c r="CJ43" i="9"/>
  <c r="BH42" i="9"/>
  <c r="CG43" i="9"/>
  <c r="CF44" i="9"/>
  <c r="CQ108" i="9" l="1"/>
  <c r="CT107" i="9"/>
  <c r="CR107" i="9"/>
  <c r="CS107" i="9"/>
  <c r="CJ44" i="9"/>
  <c r="BF43" i="9"/>
  <c r="BH43" i="9" s="1"/>
  <c r="CH43" i="9"/>
  <c r="CG44" i="9"/>
  <c r="CH44" i="9" s="1"/>
  <c r="CF45" i="9"/>
  <c r="CR109" i="9" l="1"/>
  <c r="CR108" i="9"/>
  <c r="CS108" i="9"/>
  <c r="CT108" i="9"/>
  <c r="CJ45" i="9"/>
  <c r="BF44" i="9"/>
  <c r="BH44" i="9" s="1"/>
  <c r="CG45" i="9"/>
  <c r="CF46" i="9"/>
  <c r="CT109" i="9" l="1"/>
  <c r="CQ109" i="9"/>
  <c r="CS109" i="9"/>
  <c r="CJ46" i="9"/>
  <c r="BF45" i="9"/>
  <c r="BH45" i="9" s="1"/>
  <c r="CH45" i="9"/>
  <c r="CG46" i="9"/>
  <c r="CH46" i="9" s="1"/>
  <c r="CF47" i="9"/>
  <c r="CJ47" i="9" l="1"/>
  <c r="BF46" i="9"/>
  <c r="BH46" i="9" s="1"/>
  <c r="CG47" i="9"/>
  <c r="CF48" i="9"/>
  <c r="CJ48" i="9" l="1"/>
  <c r="BF47" i="9"/>
  <c r="BH47" i="9" s="1"/>
  <c r="CH47" i="9"/>
  <c r="CG48" i="9"/>
  <c r="CH48" i="9" s="1"/>
  <c r="CF49" i="9"/>
  <c r="BF48" i="9" l="1"/>
  <c r="BH48" i="9" s="1"/>
  <c r="CJ49" i="9"/>
  <c r="CJ50" i="9"/>
  <c r="CG49" i="9"/>
  <c r="BH49" i="9" l="1"/>
  <c r="CH49" i="9"/>
  <c r="CH50" i="9"/>
  <c r="CF51" i="9"/>
  <c r="BH50" i="9" l="1"/>
  <c r="CJ51" i="9"/>
  <c r="CG51" i="9"/>
  <c r="CH51" i="9" s="1"/>
  <c r="CF52" i="9"/>
  <c r="CG52" i="9" l="1"/>
  <c r="CH52" i="9" s="1"/>
  <c r="BH51" i="9"/>
  <c r="CJ52" i="9"/>
  <c r="CF53" i="9"/>
  <c r="CJ53" i="9" l="1"/>
  <c r="BH52" i="9"/>
  <c r="CG53" i="9"/>
  <c r="CH53" i="9" s="1"/>
  <c r="CF54" i="9"/>
  <c r="CJ54" i="9" l="1"/>
  <c r="BF53" i="9"/>
  <c r="BH53" i="9" s="1"/>
  <c r="CG54" i="9"/>
  <c r="CH54" i="9" s="1"/>
  <c r="CF55" i="9"/>
  <c r="BF54" i="9" l="1"/>
  <c r="BH54" i="9" s="1"/>
  <c r="CJ55" i="9"/>
  <c r="CG55" i="9"/>
  <c r="CH55" i="9" s="1"/>
  <c r="CF56" i="9"/>
  <c r="BF55" i="9" l="1"/>
  <c r="BH55" i="9" s="1"/>
  <c r="CJ56" i="9"/>
  <c r="CG56" i="9"/>
  <c r="CH56" i="9" s="1"/>
  <c r="CF57" i="9"/>
  <c r="BF56" i="9" l="1"/>
  <c r="BH56" i="9" s="1"/>
  <c r="CJ57" i="9"/>
  <c r="CG57" i="9"/>
  <c r="CH57" i="9" s="1"/>
  <c r="CF58" i="9"/>
  <c r="CJ59" i="9" l="1"/>
  <c r="BF57" i="9"/>
  <c r="BH57" i="9" s="1"/>
  <c r="CG58" i="9"/>
  <c r="CJ58" i="9"/>
  <c r="BF58" i="9" l="1"/>
  <c r="BH58" i="9" s="1"/>
  <c r="CH58" i="9"/>
  <c r="CH59" i="9"/>
</calcChain>
</file>

<file path=xl/sharedStrings.xml><?xml version="1.0" encoding="utf-8"?>
<sst xmlns="http://schemas.openxmlformats.org/spreadsheetml/2006/main" count="202" uniqueCount="201">
  <si>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</si>
  <si>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</si>
  <si>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</si>
  <si>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</si>
  <si>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</si>
  <si>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</si>
  <si>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</si>
  <si>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</si>
  <si>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</si>
  <si>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</si>
  <si>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</si>
  <si>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</si>
  <si>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</si>
  <si>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</si>
  <si>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</si>
  <si>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</si>
  <si>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</si>
  <si>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</si>
  <si>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</si>
  <si>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</si>
  <si>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</si>
  <si>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</si>
  <si>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</si>
  <si>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</si>
  <si>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</si>
  <si>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</si>
  <si>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</si>
  <si>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</si>
  <si>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</si>
  <si>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</si>
  <si>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</si>
  <si>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</si>
  <si>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</si>
  <si>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</t>
  </si>
  <si>
    <t>2011T3</t>
  </si>
  <si>
    <t>2011T2</t>
  </si>
  <si>
    <t>2011T1</t>
  </si>
  <si>
    <t>2010T4</t>
  </si>
  <si>
    <t>2010T3</t>
  </si>
  <si>
    <t>2010T2</t>
  </si>
  <si>
    <t>2010T1</t>
  </si>
  <si>
    <t>2009T4</t>
  </si>
  <si>
    <t>2009T3</t>
  </si>
  <si>
    <t>2009T2</t>
  </si>
  <si>
    <t>2009T1</t>
  </si>
  <si>
    <t>2008T4</t>
  </si>
  <si>
    <t>2008T3</t>
  </si>
  <si>
    <t>2008T2</t>
  </si>
  <si>
    <t>2008T1</t>
  </si>
  <si>
    <t>2007T4</t>
  </si>
  <si>
    <t>2007T3</t>
  </si>
  <si>
    <t>2007T2</t>
  </si>
  <si>
    <t>2007T1</t>
  </si>
  <si>
    <t>2020T2</t>
  </si>
  <si>
    <t>2020T3</t>
  </si>
  <si>
    <t>2020T4</t>
  </si>
  <si>
    <t>2021T1</t>
  </si>
  <si>
    <t>2021T2</t>
  </si>
  <si>
    <t>2021T3</t>
  </si>
  <si>
    <t>2021T4</t>
  </si>
  <si>
    <t>40/2</t>
  </si>
  <si>
    <t>2001-2020</t>
  </si>
  <si>
    <t>1981-2000</t>
  </si>
  <si>
    <t>1961-1980</t>
  </si>
  <si>
    <t>1941-1960</t>
  </si>
  <si>
    <t>1921-1940</t>
  </si>
  <si>
    <t>Before 1921</t>
  </si>
  <si>
    <t>Rainbow curve</t>
  </si>
  <si>
    <t>Rent ROI Gross</t>
  </si>
  <si>
    <t>Rent ROI Net</t>
  </si>
  <si>
    <t>EP+50</t>
  </si>
  <si>
    <t>EP-50</t>
  </si>
  <si>
    <t>EP+100</t>
  </si>
  <si>
    <t>EP-100</t>
  </si>
  <si>
    <t>Total Population</t>
  </si>
  <si>
    <t>Alt. Rainbow</t>
  </si>
  <si>
    <t>2021-2040</t>
  </si>
  <si>
    <t>Creditor subrogation</t>
  </si>
  <si>
    <t>Consumer subrogation</t>
  </si>
  <si>
    <t>2022T1</t>
  </si>
  <si>
    <t>2022T2</t>
  </si>
  <si>
    <t>2022T3</t>
  </si>
  <si>
    <t>2022T4</t>
  </si>
  <si>
    <t>Credit cycle</t>
  </si>
  <si>
    <t>Disposable income</t>
  </si>
  <si>
    <t>30/2</t>
  </si>
  <si>
    <t>50/2</t>
  </si>
  <si>
    <t>Tenure</t>
  </si>
  <si>
    <t>Building permits</t>
  </si>
  <si>
    <t>Buyers</t>
  </si>
  <si>
    <t>Multivariate model</t>
  </si>
  <si>
    <t>Build</t>
  </si>
  <si>
    <t>Reform</t>
  </si>
  <si>
    <t>Demolish</t>
  </si>
  <si>
    <t>Price of urban land</t>
  </si>
  <si>
    <t>Tx of land</t>
  </si>
  <si>
    <t>Price %</t>
  </si>
  <si>
    <t>Owned</t>
  </si>
  <si>
    <t>Mortgaged</t>
  </si>
  <si>
    <t>Rented</t>
  </si>
  <si>
    <t>Freely loaned</t>
  </si>
  <si>
    <t>Owned (%)</t>
  </si>
  <si>
    <t>Mortgaged (%)</t>
  </si>
  <si>
    <t>Rented (%)</t>
  </si>
  <si>
    <t>Freely loaned (%)</t>
  </si>
  <si>
    <t>Home sales</t>
  </si>
  <si>
    <t>Inheritances</t>
  </si>
  <si>
    <t>Donations</t>
  </si>
  <si>
    <t>Swaps</t>
  </si>
  <si>
    <t>Others</t>
  </si>
  <si>
    <t>Upper limit</t>
  </si>
  <si>
    <t>Lower limit</t>
  </si>
  <si>
    <t>Optimal</t>
  </si>
  <si>
    <t>Legal entity</t>
  </si>
  <si>
    <t>Nationals</t>
  </si>
  <si>
    <t>Foreigners</t>
  </si>
  <si>
    <t>Approved</t>
  </si>
  <si>
    <t>Releases</t>
  </si>
  <si>
    <t>Average amount</t>
  </si>
  <si>
    <t>Total amount</t>
  </si>
  <si>
    <t>Land</t>
  </si>
  <si>
    <t>Foreigner (raw)</t>
  </si>
  <si>
    <t>Years to fully pay</t>
  </si>
  <si>
    <t>Ideal wage</t>
  </si>
  <si>
    <t>Ratio M/S</t>
  </si>
  <si>
    <t>W/M disconnect</t>
  </si>
  <si>
    <t>Price (e/m2)</t>
  </si>
  <si>
    <t>Inflation</t>
  </si>
  <si>
    <t>Accum. Inflation</t>
  </si>
  <si>
    <t>Real price</t>
  </si>
  <si>
    <t>Nominal price (%)</t>
  </si>
  <si>
    <t>(%)Real price</t>
  </si>
  <si>
    <t>Pop.(%)</t>
  </si>
  <si>
    <t>Sales(%)</t>
  </si>
  <si>
    <t>Credit (%)</t>
  </si>
  <si>
    <t>Unemployment</t>
  </si>
  <si>
    <t>Net ROI (%)</t>
  </si>
  <si>
    <t>New homes</t>
  </si>
  <si>
    <t>Total homes</t>
  </si>
  <si>
    <t>Homes per 1000</t>
  </si>
  <si>
    <t>(%)New homes</t>
  </si>
  <si>
    <t>% Pop.</t>
  </si>
  <si>
    <t>Balance</t>
  </si>
  <si>
    <t>Cement (mT)</t>
  </si>
  <si>
    <t>Population (25-50)</t>
  </si>
  <si>
    <t>Data</t>
  </si>
  <si>
    <t>Year</t>
  </si>
  <si>
    <t>HPI</t>
  </si>
  <si>
    <t>Sales</t>
  </si>
  <si>
    <t>Spread</t>
  </si>
  <si>
    <t>Sharp change</t>
  </si>
  <si>
    <t>Construction period</t>
  </si>
  <si>
    <t>SUM</t>
  </si>
  <si>
    <t>Sales and Inheritances</t>
  </si>
  <si>
    <t>Wage</t>
  </si>
  <si>
    <t>Mortgages and interest rates</t>
  </si>
  <si>
    <t>Demographic limits</t>
  </si>
  <si>
    <t>Real HPI</t>
  </si>
  <si>
    <t>Alt. HPI</t>
  </si>
  <si>
    <t>Unemployment(%)</t>
  </si>
  <si>
    <t>Minimum wage</t>
  </si>
  <si>
    <t>Stock and cement</t>
  </si>
  <si>
    <t>Rainbow model</t>
  </si>
  <si>
    <t>Rent (source: idealista)</t>
  </si>
  <si>
    <t>Rent price (e/m2)</t>
  </si>
  <si>
    <t>Idealista price(m2)</t>
  </si>
  <si>
    <t>Age 30</t>
  </si>
  <si>
    <t>Age 40</t>
  </si>
  <si>
    <t>Age 50</t>
  </si>
  <si>
    <t>Quarter</t>
  </si>
  <si>
    <t>Price Idealista</t>
  </si>
  <si>
    <t>Price Notaries</t>
  </si>
  <si>
    <t>Ide.1</t>
  </si>
  <si>
    <t>Ide.2</t>
  </si>
  <si>
    <t>Ide.3</t>
  </si>
  <si>
    <t>Not.1</t>
  </si>
  <si>
    <t>Not.2</t>
  </si>
  <si>
    <t>Not.3</t>
  </si>
  <si>
    <t>Cells in red implies that the data is provisional or future projections.</t>
  </si>
  <si>
    <t>Cells in pink imply that the data are past projections.</t>
  </si>
  <si>
    <t>Rent ROI Net %</t>
  </si>
  <si>
    <t>Rent ROI Gross %</t>
  </si>
  <si>
    <t>Houses by type and cost of building</t>
  </si>
  <si>
    <t>Cost Edification</t>
  </si>
  <si>
    <t>SF Average cost</t>
  </si>
  <si>
    <t>Condo Av. Cost</t>
  </si>
  <si>
    <t>Single family m2</t>
  </si>
  <si>
    <t>Condos m2</t>
  </si>
  <si>
    <t>SF cost per m2</t>
  </si>
  <si>
    <t>Condos cost per m2</t>
  </si>
  <si>
    <t>Ratio price/cost</t>
  </si>
  <si>
    <t>%  cost production</t>
  </si>
  <si>
    <t>Single family</t>
  </si>
  <si>
    <t>SF cost (PEM)</t>
  </si>
  <si>
    <t>Condo cost</t>
  </si>
  <si>
    <t>Condominiums</t>
  </si>
  <si>
    <t>Years mortgage</t>
  </si>
  <si>
    <t>Euribor 1-year</t>
  </si>
  <si>
    <t>Average mortgage rate</t>
  </si>
  <si>
    <t>Fixed mortgages</t>
  </si>
  <si>
    <t>Variable mortgages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</si>
</sst>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[$-10409]#,##0;\-#,##0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i/>
      <sz val="12"/>
      <color rgb="FF000000"/>
      <name val="Courier New"/>
      <family val="3"/>
    </font>
    <font>
      <i/>
      <sz val="12"/>
      <color rgb="FF000000"/>
      <name val="Courier New"/>
      <family val="3"/>
    </font>
    <font>
      <sz val="12"/>
      <color rgb="FF000000"/>
      <name val="Courier New"/>
      <family val="3"/>
    </font>
    <font>
      <u/>
      <sz val="12"/>
      <color theme="10"/>
      <name val="Courier New"/>
      <family val="3"/>
    </font>
    <font>
      <sz val="12"/>
      <name val="Courier New"/>
      <family val="3"/>
    </font>
    <font>
      <sz val="12"/>
      <color rgb="FFFF0000"/>
      <name val="Courier New"/>
      <family val="3"/>
    </font>
    <font>
      <sz val="12"/>
      <color theme="1"/>
      <name val="Courier New"/>
      <family val="3"/>
    </font>
    <font>
      <b/>
      <sz val="16"/>
      <color rgb="FF000000"/>
      <name val="Courier New"/>
      <family val="3"/>
    </font>
    <font>
      <sz val="12"/>
      <color rgb="FFFF00FF"/>
      <name val="Courier New"/>
      <family val="3"/>
    </font>
    <font>
      <b/>
      <sz val="14"/>
      <color theme="0"/>
      <name val="Calibri"/>
      <family val="2"/>
    </font>
    <font>
      <sz val="14"/>
      <color rgb="FF000000"/>
      <name val="Calibri"/>
      <family val="2"/>
    </font>
    <font>
      <i/>
      <sz val="12"/>
      <color theme="9"/>
      <name val="Courier New"/>
      <family val="3"/>
    </font>
    <font>
      <sz val="12"/>
      <color theme="9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0" xfId="2"/>
    <xf numFmtId="0" fontId="6" fillId="2" borderId="1" xfId="0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65" fontId="9" fillId="0" borderId="1" xfId="0" applyNumberFormat="1" applyFont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11" fillId="4" borderId="7" xfId="0" applyFont="1" applyFill="1" applyBorder="1"/>
    <xf numFmtId="0" fontId="11" fillId="6" borderId="7" xfId="0" applyFont="1" applyFill="1" applyBorder="1"/>
    <xf numFmtId="0" fontId="11" fillId="3" borderId="7" xfId="0" applyFont="1" applyFill="1" applyBorder="1"/>
    <xf numFmtId="0" fontId="6" fillId="5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7" fillId="5" borderId="1" xfId="1" applyFont="1" applyFill="1" applyBorder="1" applyAlignment="1">
      <alignment horizontal="right"/>
    </xf>
    <xf numFmtId="164" fontId="12" fillId="0" borderId="5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2" fontId="10" fillId="0" borderId="1" xfId="2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10" fillId="0" borderId="1" xfId="2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1" xfId="2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2" fontId="9" fillId="0" borderId="2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6" fillId="0" borderId="0" xfId="0" applyFont="1"/>
    <xf numFmtId="0" fontId="11" fillId="7" borderId="7" xfId="0" applyFont="1" applyFill="1" applyBorder="1"/>
    <xf numFmtId="0" fontId="6" fillId="8" borderId="1" xfId="0" applyFont="1" applyFill="1" applyBorder="1"/>
    <xf numFmtId="1" fontId="6" fillId="8" borderId="1" xfId="0" applyNumberFormat="1" applyFont="1" applyFill="1" applyBorder="1"/>
    <xf numFmtId="0" fontId="6" fillId="9" borderId="1" xfId="0" applyFont="1" applyFill="1" applyBorder="1"/>
    <xf numFmtId="1" fontId="6" fillId="9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right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1" fontId="8" fillId="0" borderId="1" xfId="0" applyNumberFormat="1" applyFont="1" applyBorder="1"/>
    <xf numFmtId="164" fontId="8" fillId="0" borderId="1" xfId="0" applyNumberFormat="1" applyFont="1" applyBorder="1"/>
    <xf numFmtId="0" fontId="13" fillId="12" borderId="0" xfId="0" applyFont="1" applyFill="1"/>
    <xf numFmtId="0" fontId="13" fillId="13" borderId="0" xfId="0" applyFont="1" applyFill="1"/>
    <xf numFmtId="0" fontId="14" fillId="12" borderId="0" xfId="0" applyFont="1" applyFill="1"/>
    <xf numFmtId="0" fontId="14" fillId="0" borderId="0" xfId="0" applyFont="1"/>
    <xf numFmtId="0" fontId="14" fillId="13" borderId="0" xfId="0" applyFont="1" applyFill="1"/>
    <xf numFmtId="1" fontId="9" fillId="0" borderId="1" xfId="0" applyNumberFormat="1" applyFont="1" applyBorder="1" applyAlignment="1">
      <alignment horizontal="center"/>
    </xf>
    <xf numFmtId="1" fontId="6" fillId="5" borderId="1" xfId="0" applyNumberFormat="1" applyFont="1" applyFill="1" applyBorder="1" applyAlignment="1">
      <alignment horizontal="right"/>
    </xf>
    <xf numFmtId="0" fontId="15" fillId="5" borderId="5" xfId="0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164" fontId="5" fillId="5" borderId="5" xfId="0" applyNumberFormat="1" applyFont="1" applyFill="1" applyBorder="1" applyAlignment="1">
      <alignment horizontal="right"/>
    </xf>
    <xf numFmtId="166" fontId="5" fillId="5" borderId="5" xfId="0" applyNumberFormat="1" applyFont="1" applyFill="1" applyBorder="1" applyAlignment="1">
      <alignment horizontal="right"/>
    </xf>
    <xf numFmtId="164" fontId="0" fillId="0" borderId="0" xfId="0" applyNumberFormat="1"/>
    <xf numFmtId="164" fontId="7" fillId="5" borderId="1" xfId="1" applyNumberFormat="1" applyFont="1" applyFill="1" applyBorder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164" fontId="12" fillId="5" borderId="1" xfId="0" applyNumberFormat="1" applyFont="1" applyFill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1" fontId="9" fillId="5" borderId="1" xfId="0" applyNumberFormat="1" applyFont="1" applyFill="1" applyBorder="1" applyAlignment="1">
      <alignment horizontal="right"/>
    </xf>
    <xf numFmtId="0" fontId="11" fillId="14" borderId="7" xfId="0" applyFont="1" applyFill="1" applyBorder="1"/>
    <xf numFmtId="1" fontId="8" fillId="5" borderId="1" xfId="0" applyNumberFormat="1" applyFont="1" applyFill="1" applyBorder="1" applyAlignment="1">
      <alignment horizontal="right"/>
    </xf>
    <xf numFmtId="167" fontId="8" fillId="0" borderId="8" xfId="0" applyNumberFormat="1" applyFont="1" applyBorder="1" applyAlignment="1" applyProtection="1">
      <alignment horizontal="right" vertical="top" wrapText="1" readingOrder="1"/>
      <protection locked="0"/>
    </xf>
    <xf numFmtId="167" fontId="9" fillId="5" borderId="1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/>
    </xf>
    <xf numFmtId="2" fontId="9" fillId="5" borderId="1" xfId="0" applyNumberFormat="1" applyFont="1" applyFill="1" applyBorder="1" applyAlignment="1">
      <alignment horizontal="right"/>
    </xf>
    <xf numFmtId="2" fontId="9" fillId="0" borderId="1" xfId="2" applyNumberFormat="1" applyFont="1" applyBorder="1" applyAlignment="1">
      <alignment horizontal="right"/>
    </xf>
    <xf numFmtId="1" fontId="10" fillId="0" borderId="1" xfId="2" applyNumberFormat="1" applyFont="1" applyBorder="1" applyAlignment="1">
      <alignment horizontal="right"/>
    </xf>
    <xf numFmtId="0" fontId="6" fillId="15" borderId="1" xfId="0" applyFont="1" applyFill="1" applyBorder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BFBFBF"/>
      <color rgb="FFFFFFFF"/>
      <color rgb="FF4472C4"/>
      <color rgb="FFFF99FF"/>
      <color rgb="FFFF5050"/>
      <color rgb="FFC00000"/>
      <color rgb="FFFF0000"/>
      <color rgb="FF385723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e.es/jaxiT3/Tabla.htm?t=10256" TargetMode="External"/><Relationship Id="rId1" Type="http://schemas.openxmlformats.org/officeDocument/2006/relationships/hyperlink" Target="https://www.ine.es/jaxiT3/Tabla.htm?t=9681&amp;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B0BD-52DB-4489-B150-254A1D421995}">
  <dimension ref="A1:CV109"/>
  <sheetViews>
    <sheetView topLeftCell="A25" zoomScale="65" zoomScaleNormal="65" workbookViewId="0">
      <selection activeCell="I12" sqref="I12"/>
    </sheetView>
  </sheetViews>
  <sheetFormatPr defaultColWidth="8.7265625" defaultRowHeight="14.5" x14ac:dyDescent="0.35"/>
  <cols>
    <col min="1" max="1" width="13.08984375" customWidth="1"/>
    <col min="2" max="2" width="15.90625" customWidth="1"/>
    <col min="3" max="3" width="13.81640625" customWidth="1"/>
    <col min="4" max="4" width="12.7265625" customWidth="1"/>
    <col min="5" max="5" width="11.81640625" customWidth="1"/>
    <col min="6" max="6" width="10" customWidth="1"/>
    <col min="7" max="7" width="12.36328125" bestFit="1" customWidth="1"/>
    <col min="8" max="8" width="10.7265625" customWidth="1"/>
    <col min="9" max="9" width="14.54296875" bestFit="1" customWidth="1"/>
    <col min="10" max="10" width="12.54296875" bestFit="1" customWidth="1"/>
    <col min="11" max="11" width="11.54296875" customWidth="1"/>
    <col min="12" max="12" width="10.453125" customWidth="1"/>
    <col min="13" max="14" width="13.81640625" bestFit="1" customWidth="1"/>
    <col min="15" max="15" width="15.90625" bestFit="1" customWidth="1"/>
    <col min="16" max="17" width="13.81640625" bestFit="1" customWidth="1"/>
    <col min="18" max="18" width="14.54296875" bestFit="1" customWidth="1"/>
    <col min="19" max="19" width="11.81640625" style="2" customWidth="1"/>
    <col min="20" max="20" width="14.08984375" customWidth="1"/>
    <col min="21" max="21" width="11.6328125" bestFit="1" customWidth="1"/>
    <col min="22" max="22" width="15.453125" customWidth="1"/>
    <col min="23" max="23" width="15.90625" customWidth="1"/>
    <col min="24" max="24" width="9.7265625" customWidth="1"/>
    <col min="25" max="25" width="12" customWidth="1"/>
    <col min="26" max="26" width="11.36328125" customWidth="1"/>
    <col min="27" max="29" width="19.1796875" customWidth="1"/>
    <col min="30" max="30" width="11.36328125" customWidth="1"/>
    <col min="31" max="31" width="16.36328125" customWidth="1"/>
    <col min="32" max="32" width="15.81640625" customWidth="1"/>
    <col min="33" max="33" width="11.81640625" customWidth="1"/>
    <col min="34" max="34" width="16.1796875" customWidth="1"/>
    <col min="35" max="35" width="13.1796875" customWidth="1"/>
    <col min="36" max="36" width="16.26953125" customWidth="1"/>
    <col min="37" max="37" width="10.26953125" customWidth="1"/>
    <col min="38" max="38" width="17.26953125" customWidth="1"/>
    <col min="39" max="39" width="15.1796875" customWidth="1"/>
    <col min="40" max="40" width="13" customWidth="1"/>
    <col min="41" max="54" width="16.26953125" customWidth="1"/>
    <col min="55" max="55" width="13.1796875" customWidth="1"/>
    <col min="56" max="56" width="12.453125" customWidth="1"/>
    <col min="57" max="57" width="13.90625" customWidth="1"/>
    <col min="58" max="58" width="10.90625" customWidth="1"/>
    <col min="59" max="59" width="8.81640625" bestFit="1" customWidth="1"/>
    <col min="60" max="60" width="11.26953125" customWidth="1"/>
    <col min="61" max="61" width="12.08984375" customWidth="1"/>
    <col min="62" max="62" width="13.81640625" bestFit="1" customWidth="1"/>
    <col min="63" max="63" width="14.54296875" bestFit="1" customWidth="1"/>
    <col min="64" max="64" width="12.36328125" bestFit="1" customWidth="1"/>
    <col min="65" max="66" width="13.81640625" bestFit="1" customWidth="1"/>
    <col min="67" max="67" width="15.90625" bestFit="1" customWidth="1"/>
    <col min="68" max="68" width="15.26953125" bestFit="1" customWidth="1"/>
    <col min="69" max="69" width="11.54296875" customWidth="1"/>
    <col min="70" max="70" width="18.08984375" bestFit="1" customWidth="1"/>
    <col min="71" max="71" width="15.26953125" bestFit="1" customWidth="1"/>
    <col min="72" max="72" width="13.81640625" bestFit="1" customWidth="1"/>
    <col min="73" max="73" width="15.90625" bestFit="1" customWidth="1"/>
    <col min="74" max="74" width="15.453125" customWidth="1"/>
    <col min="75" max="75" width="10.54296875" customWidth="1"/>
    <col min="76" max="76" width="15" customWidth="1"/>
    <col min="77" max="77" width="12.26953125" customWidth="1"/>
    <col min="78" max="78" width="15.90625" bestFit="1" customWidth="1"/>
    <col min="79" max="79" width="12.90625" customWidth="1"/>
    <col min="80" max="80" width="16.1796875" customWidth="1"/>
    <col min="81" max="81" width="10.6328125" customWidth="1"/>
    <col min="82" max="82" width="14" customWidth="1"/>
    <col min="83" max="83" width="13.54296875" customWidth="1"/>
    <col min="84" max="84" width="10.1796875" customWidth="1"/>
    <col min="85" max="85" width="8.81640625" bestFit="1" customWidth="1"/>
    <col min="86" max="86" width="10.54296875" style="1" customWidth="1"/>
    <col min="87" max="87" width="14.08984375" customWidth="1"/>
    <col min="88" max="88" width="12.36328125" customWidth="1"/>
    <col min="89" max="89" width="11" customWidth="1"/>
    <col min="90" max="90" width="11.36328125" customWidth="1"/>
    <col min="91" max="91" width="12.08984375" customWidth="1"/>
    <col min="92" max="92" width="12.453125" customWidth="1"/>
    <col min="93" max="93" width="10.7265625" customWidth="1"/>
    <col min="94" max="94" width="11.1796875" customWidth="1"/>
    <col min="95" max="95" width="10" customWidth="1"/>
    <col min="96" max="96" width="10.6328125" customWidth="1"/>
    <col min="97" max="97" width="10.36328125" customWidth="1"/>
    <col min="98" max="98" width="11" customWidth="1"/>
    <col min="99" max="99" width="10.36328125" customWidth="1"/>
    <col min="100" max="100" width="8.7265625" style="81"/>
  </cols>
  <sheetData>
    <row r="1" spans="1:99" ht="19" customHeight="1" x14ac:dyDescent="0.55000000000000004">
      <c r="A1" s="17" t="s">
        <v>146</v>
      </c>
      <c r="B1" s="22" t="s">
        <v>156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54" t="s">
        <v>153</v>
      </c>
      <c r="N1" s="54"/>
      <c r="O1" s="54"/>
      <c r="P1" s="54"/>
      <c r="Q1" s="54"/>
      <c r="R1" s="23" t="s">
        <v>155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1" t="s">
        <v>154</v>
      </c>
      <c r="AF1" s="21"/>
      <c r="AG1" s="21"/>
      <c r="AH1" s="21"/>
      <c r="AI1" s="21"/>
      <c r="AJ1" s="22" t="s">
        <v>120</v>
      </c>
      <c r="AK1" s="22"/>
      <c r="AL1" s="54" t="s">
        <v>88</v>
      </c>
      <c r="AM1" s="54"/>
      <c r="AN1" s="54"/>
      <c r="AO1" s="54"/>
      <c r="AP1" s="87" t="s">
        <v>182</v>
      </c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21" t="s">
        <v>161</v>
      </c>
      <c r="BD1" s="21"/>
      <c r="BE1" s="21"/>
      <c r="BF1" s="21"/>
      <c r="BG1" s="21"/>
      <c r="BH1" s="21"/>
      <c r="BI1" s="21"/>
      <c r="BJ1" s="22" t="s">
        <v>89</v>
      </c>
      <c r="BK1" s="22"/>
      <c r="BL1" s="22"/>
      <c r="BM1" s="22"/>
      <c r="BN1" s="54" t="s">
        <v>87</v>
      </c>
      <c r="BO1" s="54"/>
      <c r="BP1" s="54"/>
      <c r="BQ1" s="54"/>
      <c r="BR1" s="54"/>
      <c r="BS1" s="54"/>
      <c r="BT1" s="54"/>
      <c r="BU1" s="54"/>
      <c r="BV1" s="87" t="s">
        <v>163</v>
      </c>
      <c r="BW1" s="87"/>
      <c r="BX1" s="87"/>
      <c r="BY1" s="87"/>
      <c r="BZ1" s="87"/>
      <c r="CA1" s="87"/>
      <c r="CB1" s="87"/>
      <c r="CC1" s="21" t="s">
        <v>90</v>
      </c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2" t="s">
        <v>162</v>
      </c>
      <c r="CQ1" s="22"/>
      <c r="CR1" s="22"/>
      <c r="CS1" s="22"/>
      <c r="CT1" s="22"/>
      <c r="CU1" s="22"/>
    </row>
    <row r="2" spans="1:99" ht="32" x14ac:dyDescent="0.35">
      <c r="A2" s="17" t="s">
        <v>145</v>
      </c>
      <c r="B2" s="20" t="s">
        <v>74</v>
      </c>
      <c r="C2" s="20" t="s">
        <v>144</v>
      </c>
      <c r="D2" s="18" t="s">
        <v>110</v>
      </c>
      <c r="E2" s="18" t="s">
        <v>111</v>
      </c>
      <c r="F2" s="19" t="s">
        <v>112</v>
      </c>
      <c r="G2" s="19" t="s">
        <v>166</v>
      </c>
      <c r="H2" s="19" t="s">
        <v>85</v>
      </c>
      <c r="I2" s="19" t="s">
        <v>167</v>
      </c>
      <c r="J2" s="19" t="s">
        <v>60</v>
      </c>
      <c r="K2" s="19" t="s">
        <v>168</v>
      </c>
      <c r="L2" s="19" t="s">
        <v>86</v>
      </c>
      <c r="M2" s="18" t="s">
        <v>105</v>
      </c>
      <c r="N2" s="18" t="s">
        <v>106</v>
      </c>
      <c r="O2" s="19" t="s">
        <v>107</v>
      </c>
      <c r="P2" s="19" t="s">
        <v>108</v>
      </c>
      <c r="Q2" s="19" t="s">
        <v>109</v>
      </c>
      <c r="R2" s="19" t="s">
        <v>116</v>
      </c>
      <c r="S2" s="19" t="s">
        <v>117</v>
      </c>
      <c r="T2" s="18" t="s">
        <v>119</v>
      </c>
      <c r="U2" s="18" t="s">
        <v>118</v>
      </c>
      <c r="V2" s="18" t="s">
        <v>77</v>
      </c>
      <c r="W2" s="18" t="s">
        <v>78</v>
      </c>
      <c r="X2" s="18" t="s">
        <v>124</v>
      </c>
      <c r="Y2" s="100" t="s">
        <v>83</v>
      </c>
      <c r="Z2" s="101" t="s">
        <v>197</v>
      </c>
      <c r="AA2" s="18" t="s">
        <v>198</v>
      </c>
      <c r="AB2" s="18" t="s">
        <v>199</v>
      </c>
      <c r="AC2" s="18" t="s">
        <v>200</v>
      </c>
      <c r="AD2" s="18" t="s">
        <v>196</v>
      </c>
      <c r="AE2" s="18" t="s">
        <v>84</v>
      </c>
      <c r="AF2" s="18" t="s">
        <v>122</v>
      </c>
      <c r="AG2" s="18" t="s">
        <v>123</v>
      </c>
      <c r="AH2" s="18" t="s">
        <v>125</v>
      </c>
      <c r="AI2" s="18" t="s">
        <v>160</v>
      </c>
      <c r="AJ2" s="18" t="s">
        <v>94</v>
      </c>
      <c r="AK2" s="18" t="s">
        <v>95</v>
      </c>
      <c r="AL2" s="26" t="s">
        <v>88</v>
      </c>
      <c r="AM2" s="19" t="s">
        <v>91</v>
      </c>
      <c r="AN2" s="19" t="s">
        <v>92</v>
      </c>
      <c r="AO2" s="19" t="s">
        <v>93</v>
      </c>
      <c r="AP2" s="18" t="s">
        <v>192</v>
      </c>
      <c r="AQ2" s="18" t="s">
        <v>186</v>
      </c>
      <c r="AR2" s="18" t="s">
        <v>193</v>
      </c>
      <c r="AS2" s="18" t="s">
        <v>184</v>
      </c>
      <c r="AT2" s="18" t="s">
        <v>188</v>
      </c>
      <c r="AU2" s="18" t="s">
        <v>195</v>
      </c>
      <c r="AV2" s="18" t="s">
        <v>187</v>
      </c>
      <c r="AW2" s="18" t="s">
        <v>194</v>
      </c>
      <c r="AX2" s="18" t="s">
        <v>185</v>
      </c>
      <c r="AY2" s="18" t="s">
        <v>189</v>
      </c>
      <c r="AZ2" s="18" t="s">
        <v>190</v>
      </c>
      <c r="BA2" s="18" t="s">
        <v>191</v>
      </c>
      <c r="BB2" s="18" t="s">
        <v>183</v>
      </c>
      <c r="BC2" s="18" t="s">
        <v>138</v>
      </c>
      <c r="BD2" s="18" t="s">
        <v>137</v>
      </c>
      <c r="BE2" s="18" t="s">
        <v>139</v>
      </c>
      <c r="BF2" s="18" t="s">
        <v>140</v>
      </c>
      <c r="BG2" s="19" t="s">
        <v>141</v>
      </c>
      <c r="BH2" s="18" t="s">
        <v>142</v>
      </c>
      <c r="BI2" s="101" t="s">
        <v>143</v>
      </c>
      <c r="BJ2" s="26" t="s">
        <v>113</v>
      </c>
      <c r="BK2" s="27" t="s">
        <v>114</v>
      </c>
      <c r="BL2" s="19" t="s">
        <v>115</v>
      </c>
      <c r="BM2" s="18" t="s">
        <v>121</v>
      </c>
      <c r="BN2" s="19" t="s">
        <v>97</v>
      </c>
      <c r="BO2" s="19" t="s">
        <v>98</v>
      </c>
      <c r="BP2" s="19" t="s">
        <v>99</v>
      </c>
      <c r="BQ2" s="18" t="s">
        <v>100</v>
      </c>
      <c r="BR2" s="19" t="s">
        <v>101</v>
      </c>
      <c r="BS2" s="18" t="s">
        <v>102</v>
      </c>
      <c r="BT2" s="19" t="s">
        <v>103</v>
      </c>
      <c r="BU2" s="18" t="s">
        <v>104</v>
      </c>
      <c r="BV2" s="18" t="s">
        <v>164</v>
      </c>
      <c r="BW2" s="19" t="s">
        <v>96</v>
      </c>
      <c r="BX2" s="18" t="s">
        <v>68</v>
      </c>
      <c r="BY2" s="18" t="s">
        <v>181</v>
      </c>
      <c r="BZ2" s="18" t="s">
        <v>69</v>
      </c>
      <c r="CA2" s="18" t="s">
        <v>180</v>
      </c>
      <c r="CB2" s="18" t="s">
        <v>165</v>
      </c>
      <c r="CC2" s="18" t="s">
        <v>126</v>
      </c>
      <c r="CD2" s="18" t="s">
        <v>127</v>
      </c>
      <c r="CE2" s="28" t="s">
        <v>128</v>
      </c>
      <c r="CF2" s="28" t="s">
        <v>129</v>
      </c>
      <c r="CG2" s="18" t="s">
        <v>157</v>
      </c>
      <c r="CH2" s="18" t="s">
        <v>158</v>
      </c>
      <c r="CI2" s="18" t="s">
        <v>130</v>
      </c>
      <c r="CJ2" s="18" t="s">
        <v>131</v>
      </c>
      <c r="CK2" s="19" t="s">
        <v>132</v>
      </c>
      <c r="CL2" s="19" t="s">
        <v>133</v>
      </c>
      <c r="CM2" s="18" t="s">
        <v>134</v>
      </c>
      <c r="CN2" s="18" t="s">
        <v>159</v>
      </c>
      <c r="CO2" s="18" t="s">
        <v>136</v>
      </c>
      <c r="CP2" s="18" t="s">
        <v>67</v>
      </c>
      <c r="CQ2" s="19" t="s">
        <v>70</v>
      </c>
      <c r="CR2" s="19" t="s">
        <v>71</v>
      </c>
      <c r="CS2" s="19" t="s">
        <v>72</v>
      </c>
      <c r="CT2" s="19" t="s">
        <v>73</v>
      </c>
      <c r="CU2" s="18" t="s">
        <v>75</v>
      </c>
    </row>
    <row r="3" spans="1:99" ht="16" x14ac:dyDescent="0.4">
      <c r="A3" s="18">
        <v>1964</v>
      </c>
      <c r="B3" s="7">
        <v>31723000</v>
      </c>
      <c r="C3" s="34">
        <f t="shared" ref="C3:C8" si="0">C4*B3/B4</f>
        <v>10721598.911503393</v>
      </c>
      <c r="D3" s="34">
        <f t="shared" ref="D3:D9" si="1">C3/26</f>
        <v>412369.18890397664</v>
      </c>
      <c r="E3" s="34">
        <f t="shared" ref="E3:E9" si="2">D3/2</f>
        <v>206184.59445198832</v>
      </c>
      <c r="F3" s="34">
        <f t="shared" ref="F3:F34" si="3">E3*1.5</f>
        <v>309276.89167798246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30"/>
      <c r="S3" s="24"/>
      <c r="T3" s="24"/>
      <c r="U3" s="24"/>
      <c r="V3" s="24"/>
      <c r="W3" s="24"/>
      <c r="X3" s="24"/>
      <c r="Y3" s="24"/>
      <c r="Z3" s="31"/>
      <c r="AA3" s="31"/>
      <c r="AB3" s="31"/>
      <c r="AC3" s="31"/>
      <c r="AD3" s="31"/>
      <c r="AE3" s="24"/>
      <c r="AF3" s="24"/>
      <c r="AG3" s="24"/>
      <c r="AH3" s="24"/>
      <c r="AI3" s="31"/>
      <c r="AJ3" s="30"/>
      <c r="AK3" s="30"/>
      <c r="AL3" s="29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1"/>
      <c r="BD3" s="31"/>
      <c r="BE3" s="31"/>
      <c r="BF3" s="31"/>
      <c r="BG3" s="31"/>
      <c r="BH3" s="31"/>
      <c r="BI3" s="9">
        <v>9917.2000000000007</v>
      </c>
      <c r="BJ3" s="29"/>
      <c r="BK3" s="29"/>
      <c r="BL3" s="30"/>
      <c r="BM3" s="30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76"/>
      <c r="BZ3" s="83"/>
      <c r="CA3" s="24"/>
      <c r="CB3" s="24"/>
      <c r="CC3" s="34"/>
      <c r="CD3" s="36">
        <v>6.95</v>
      </c>
      <c r="CE3" s="85"/>
      <c r="CF3" s="32">
        <f>BI3/88</f>
        <v>112.69545454545455</v>
      </c>
      <c r="CG3" s="82"/>
      <c r="CH3" s="82"/>
      <c r="CI3" s="31"/>
      <c r="CJ3" s="31"/>
      <c r="CK3" s="31"/>
      <c r="CL3" s="31"/>
      <c r="CM3" s="31"/>
      <c r="CN3" s="31"/>
      <c r="CO3" s="31"/>
      <c r="CP3" s="33">
        <f t="shared" ref="CP3:CP34" si="4">-0.06*((A3-1963)^2)+8.5*(A3-1963)+140</f>
        <v>148.44</v>
      </c>
      <c r="CQ3" s="33">
        <f>CP3+50</f>
        <v>198.44</v>
      </c>
      <c r="CR3" s="33">
        <f>CP3-50</f>
        <v>98.44</v>
      </c>
      <c r="CS3" s="33">
        <f>CP3+100</f>
        <v>248.44</v>
      </c>
      <c r="CT3" s="33">
        <f>CP3-100</f>
        <v>48.44</v>
      </c>
      <c r="CU3" s="33">
        <f t="shared" ref="CU3:CU34" si="5">-0.025*((A3-1963)^2)+5.5*(A3-1963)+175</f>
        <v>180.47499999999999</v>
      </c>
    </row>
    <row r="4" spans="1:99" ht="16" x14ac:dyDescent="0.4">
      <c r="A4" s="18">
        <v>1965</v>
      </c>
      <c r="B4" s="7">
        <v>32056000</v>
      </c>
      <c r="C4" s="34">
        <f t="shared" si="0"/>
        <v>10834144.775309799</v>
      </c>
      <c r="D4" s="34">
        <f t="shared" si="1"/>
        <v>416697.8759734538</v>
      </c>
      <c r="E4" s="34">
        <f t="shared" si="2"/>
        <v>208348.9379867269</v>
      </c>
      <c r="F4" s="34">
        <f t="shared" si="3"/>
        <v>312523.40698009037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30"/>
      <c r="S4" s="24"/>
      <c r="T4" s="24"/>
      <c r="U4" s="24"/>
      <c r="V4" s="24"/>
      <c r="W4" s="24"/>
      <c r="X4" s="24"/>
      <c r="Y4" s="24"/>
      <c r="Z4" s="31"/>
      <c r="AA4" s="31"/>
      <c r="AB4" s="31"/>
      <c r="AC4" s="31"/>
      <c r="AD4" s="31"/>
      <c r="AE4" s="24"/>
      <c r="AF4" s="24"/>
      <c r="AG4" s="24"/>
      <c r="AH4" s="24"/>
      <c r="AI4" s="31"/>
      <c r="AJ4" s="30"/>
      <c r="AK4" s="30"/>
      <c r="AL4" s="29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1"/>
      <c r="BD4" s="31"/>
      <c r="BE4" s="31"/>
      <c r="BF4" s="31"/>
      <c r="BG4" s="31"/>
      <c r="BH4" s="31"/>
      <c r="BI4" s="9">
        <v>11388.9</v>
      </c>
      <c r="BJ4" s="29"/>
      <c r="BK4" s="29"/>
      <c r="BL4" s="30"/>
      <c r="BM4" s="30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76"/>
      <c r="BZ4" s="83"/>
      <c r="CA4" s="24"/>
      <c r="CB4" s="24"/>
      <c r="CC4" s="34"/>
      <c r="CD4" s="36">
        <v>13.32</v>
      </c>
      <c r="CE4" s="85"/>
      <c r="CF4" s="32">
        <f t="shared" ref="CF4:CF22" si="6">BI4/88</f>
        <v>129.41931818181817</v>
      </c>
      <c r="CG4" s="82"/>
      <c r="CH4" s="82"/>
      <c r="CI4" s="31"/>
      <c r="CJ4" s="31"/>
      <c r="CK4" s="31"/>
      <c r="CL4" s="31"/>
      <c r="CM4" s="31"/>
      <c r="CN4" s="31"/>
      <c r="CO4" s="31"/>
      <c r="CP4" s="33">
        <f t="shared" si="4"/>
        <v>156.76</v>
      </c>
      <c r="CQ4" s="33">
        <f t="shared" ref="CQ4:CQ67" si="7">CP4+50</f>
        <v>206.76</v>
      </c>
      <c r="CR4" s="33">
        <f t="shared" ref="CR4:CR67" si="8">CP4-50</f>
        <v>106.75999999999999</v>
      </c>
      <c r="CS4" s="33">
        <f t="shared" ref="CS4:CS67" si="9">CP4+100</f>
        <v>256.76</v>
      </c>
      <c r="CT4" s="33">
        <f t="shared" ref="CT4:CT67" si="10">CP4-100</f>
        <v>56.759999999999991</v>
      </c>
      <c r="CU4" s="33">
        <f t="shared" si="5"/>
        <v>185.9</v>
      </c>
    </row>
    <row r="5" spans="1:99" ht="16" x14ac:dyDescent="0.4">
      <c r="A5" s="18">
        <v>1966</v>
      </c>
      <c r="B5" s="7">
        <v>32394000</v>
      </c>
      <c r="C5" s="34">
        <f t="shared" si="0"/>
        <v>10948380.516951136</v>
      </c>
      <c r="D5" s="34">
        <f t="shared" si="1"/>
        <v>421091.55834427447</v>
      </c>
      <c r="E5" s="34">
        <f t="shared" si="2"/>
        <v>210545.77917213723</v>
      </c>
      <c r="F5" s="34">
        <f t="shared" si="3"/>
        <v>315818.66875820584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30"/>
      <c r="S5" s="24"/>
      <c r="T5" s="24"/>
      <c r="U5" s="24"/>
      <c r="V5" s="24"/>
      <c r="W5" s="24"/>
      <c r="X5" s="24"/>
      <c r="Y5" s="24"/>
      <c r="Z5" s="31"/>
      <c r="AA5" s="31"/>
      <c r="AB5" s="31"/>
      <c r="AC5" s="31"/>
      <c r="AD5" s="31"/>
      <c r="AE5" s="24"/>
      <c r="AF5" s="24"/>
      <c r="AG5" s="24"/>
      <c r="AH5" s="24"/>
      <c r="AI5" s="31"/>
      <c r="AJ5" s="30"/>
      <c r="AK5" s="30"/>
      <c r="AL5" s="29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1"/>
      <c r="BD5" s="31"/>
      <c r="BE5" s="31"/>
      <c r="BF5" s="31"/>
      <c r="BG5" s="31"/>
      <c r="BH5" s="31"/>
      <c r="BI5" s="9">
        <v>13053.4</v>
      </c>
      <c r="BJ5" s="29"/>
      <c r="BK5" s="29"/>
      <c r="BL5" s="30"/>
      <c r="BM5" s="30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76"/>
      <c r="BZ5" s="83"/>
      <c r="CA5" s="24"/>
      <c r="CB5" s="24"/>
      <c r="CC5" s="34"/>
      <c r="CD5" s="36">
        <v>6.25</v>
      </c>
      <c r="CE5" s="85"/>
      <c r="CF5" s="32">
        <f t="shared" si="6"/>
        <v>148.33409090909092</v>
      </c>
      <c r="CG5" s="82"/>
      <c r="CH5" s="82"/>
      <c r="CI5" s="31"/>
      <c r="CJ5" s="31"/>
      <c r="CK5" s="31"/>
      <c r="CL5" s="31"/>
      <c r="CM5" s="31"/>
      <c r="CN5" s="31"/>
      <c r="CO5" s="31"/>
      <c r="CP5" s="33">
        <f t="shared" si="4"/>
        <v>164.96</v>
      </c>
      <c r="CQ5" s="33">
        <f t="shared" si="7"/>
        <v>214.96</v>
      </c>
      <c r="CR5" s="33">
        <f t="shared" si="8"/>
        <v>114.96000000000001</v>
      </c>
      <c r="CS5" s="33">
        <f t="shared" si="9"/>
        <v>264.96000000000004</v>
      </c>
      <c r="CT5" s="33">
        <f t="shared" si="10"/>
        <v>64.960000000000008</v>
      </c>
      <c r="CU5" s="33">
        <f t="shared" si="5"/>
        <v>191.27500000000001</v>
      </c>
    </row>
    <row r="6" spans="1:99" ht="16" x14ac:dyDescent="0.4">
      <c r="A6" s="18">
        <v>1967</v>
      </c>
      <c r="B6" s="7">
        <v>32734000</v>
      </c>
      <c r="C6" s="34">
        <f t="shared" si="0"/>
        <v>11063292.209726445</v>
      </c>
      <c r="D6" s="34">
        <f t="shared" si="1"/>
        <v>425511.23883563251</v>
      </c>
      <c r="E6" s="34">
        <f t="shared" si="2"/>
        <v>212755.61941781626</v>
      </c>
      <c r="F6" s="34">
        <f t="shared" si="3"/>
        <v>319133.42912672437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30"/>
      <c r="S6" s="24"/>
      <c r="T6" s="24"/>
      <c r="U6" s="24"/>
      <c r="V6" s="24"/>
      <c r="W6" s="24"/>
      <c r="X6" s="24"/>
      <c r="Y6" s="24"/>
      <c r="Z6" s="31"/>
      <c r="AA6" s="31"/>
      <c r="AB6" s="31"/>
      <c r="AC6" s="31"/>
      <c r="AD6" s="31"/>
      <c r="AE6" s="24"/>
      <c r="AF6" s="24"/>
      <c r="AG6" s="24"/>
      <c r="AH6" s="24"/>
      <c r="AI6" s="31"/>
      <c r="AJ6" s="30"/>
      <c r="AK6" s="30"/>
      <c r="AL6" s="29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1"/>
      <c r="BD6" s="31"/>
      <c r="BE6" s="31"/>
      <c r="BF6" s="31"/>
      <c r="BG6" s="31"/>
      <c r="BH6" s="31"/>
      <c r="BI6" s="9">
        <v>14071.399999999996</v>
      </c>
      <c r="BJ6" s="29"/>
      <c r="BK6" s="29"/>
      <c r="BL6" s="30"/>
      <c r="BM6" s="30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76"/>
      <c r="BZ6" s="83"/>
      <c r="CA6" s="24"/>
      <c r="CB6" s="24"/>
      <c r="CC6" s="34"/>
      <c r="CD6" s="36">
        <v>6.39</v>
      </c>
      <c r="CE6" s="85"/>
      <c r="CF6" s="32">
        <f t="shared" si="6"/>
        <v>159.90227272727267</v>
      </c>
      <c r="CG6" s="82"/>
      <c r="CH6" s="82"/>
      <c r="CI6" s="31"/>
      <c r="CJ6" s="31"/>
      <c r="CK6" s="31"/>
      <c r="CL6" s="31"/>
      <c r="CM6" s="31"/>
      <c r="CN6" s="31"/>
      <c r="CO6" s="31"/>
      <c r="CP6" s="33">
        <f t="shared" si="4"/>
        <v>173.04</v>
      </c>
      <c r="CQ6" s="33">
        <f t="shared" si="7"/>
        <v>223.04</v>
      </c>
      <c r="CR6" s="33">
        <f t="shared" si="8"/>
        <v>123.03999999999999</v>
      </c>
      <c r="CS6" s="33">
        <f t="shared" si="9"/>
        <v>273.03999999999996</v>
      </c>
      <c r="CT6" s="33">
        <f t="shared" si="10"/>
        <v>73.039999999999992</v>
      </c>
      <c r="CU6" s="33">
        <f t="shared" si="5"/>
        <v>196.6</v>
      </c>
    </row>
    <row r="7" spans="1:99" ht="16" x14ac:dyDescent="0.4">
      <c r="A7" s="18">
        <v>1968</v>
      </c>
      <c r="B7" s="7">
        <v>33079000</v>
      </c>
      <c r="C7" s="34">
        <f t="shared" si="0"/>
        <v>11179893.780336685</v>
      </c>
      <c r="D7" s="34">
        <f t="shared" si="1"/>
        <v>429995.91462833405</v>
      </c>
      <c r="E7" s="34">
        <f t="shared" si="2"/>
        <v>214997.95731416703</v>
      </c>
      <c r="F7" s="34">
        <f t="shared" si="3"/>
        <v>322496.93597125052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30"/>
      <c r="S7" s="24"/>
      <c r="T7" s="24"/>
      <c r="U7" s="24"/>
      <c r="V7" s="24"/>
      <c r="W7" s="24"/>
      <c r="X7" s="24"/>
      <c r="Y7" s="24"/>
      <c r="Z7" s="31"/>
      <c r="AA7" s="31"/>
      <c r="AB7" s="31"/>
      <c r="AC7" s="31"/>
      <c r="AD7" s="31"/>
      <c r="AE7" s="24"/>
      <c r="AF7" s="24"/>
      <c r="AG7" s="24"/>
      <c r="AH7" s="24"/>
      <c r="AI7" s="31"/>
      <c r="AJ7" s="30"/>
      <c r="AK7" s="30"/>
      <c r="AL7" s="29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1"/>
      <c r="BD7" s="31"/>
      <c r="BE7" s="31"/>
      <c r="BF7" s="31"/>
      <c r="BG7" s="31"/>
      <c r="BH7" s="31"/>
      <c r="BI7" s="9">
        <v>15284.300000000001</v>
      </c>
      <c r="BJ7" s="29"/>
      <c r="BK7" s="29"/>
      <c r="BL7" s="30"/>
      <c r="BM7" s="30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76"/>
      <c r="BZ7" s="83"/>
      <c r="CA7" s="83"/>
      <c r="CB7" s="24"/>
      <c r="CC7" s="34"/>
      <c r="CD7" s="36">
        <v>4.9800000000000004</v>
      </c>
      <c r="CE7" s="85"/>
      <c r="CF7" s="32">
        <f>BI7/76</f>
        <v>201.10921052631579</v>
      </c>
      <c r="CG7" s="82"/>
      <c r="CH7" s="82"/>
      <c r="CI7" s="31"/>
      <c r="CJ7" s="31"/>
      <c r="CK7" s="31"/>
      <c r="CL7" s="31"/>
      <c r="CM7" s="31"/>
      <c r="CN7" s="31"/>
      <c r="CO7" s="31"/>
      <c r="CP7" s="33">
        <f t="shared" si="4"/>
        <v>181</v>
      </c>
      <c r="CQ7" s="33">
        <f t="shared" si="7"/>
        <v>231</v>
      </c>
      <c r="CR7" s="33">
        <f t="shared" si="8"/>
        <v>131</v>
      </c>
      <c r="CS7" s="33">
        <f t="shared" si="9"/>
        <v>281</v>
      </c>
      <c r="CT7" s="33">
        <f t="shared" si="10"/>
        <v>81</v>
      </c>
      <c r="CU7" s="33">
        <f t="shared" si="5"/>
        <v>201.875</v>
      </c>
    </row>
    <row r="8" spans="1:99" ht="16" x14ac:dyDescent="0.4">
      <c r="A8" s="18">
        <v>1969</v>
      </c>
      <c r="B8" s="7">
        <v>33427000</v>
      </c>
      <c r="C8" s="34">
        <f t="shared" si="0"/>
        <v>11297509.277647885</v>
      </c>
      <c r="D8" s="34">
        <f t="shared" si="1"/>
        <v>434519.58760184172</v>
      </c>
      <c r="E8" s="34">
        <f t="shared" si="2"/>
        <v>217259.79380092086</v>
      </c>
      <c r="F8" s="34">
        <f t="shared" si="3"/>
        <v>325889.6907013813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30"/>
      <c r="S8" s="24"/>
      <c r="T8" s="24"/>
      <c r="U8" s="24"/>
      <c r="V8" s="24"/>
      <c r="W8" s="24"/>
      <c r="X8" s="24"/>
      <c r="Y8" s="24"/>
      <c r="Z8" s="31"/>
      <c r="AA8" s="31"/>
      <c r="AB8" s="31"/>
      <c r="AC8" s="31"/>
      <c r="AD8" s="31"/>
      <c r="AE8" s="24"/>
      <c r="AF8" s="24"/>
      <c r="AG8" s="24"/>
      <c r="AH8" s="24"/>
      <c r="AI8" s="31"/>
      <c r="AJ8" s="30"/>
      <c r="AK8" s="30"/>
      <c r="AL8" s="29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1"/>
      <c r="BD8" s="31"/>
      <c r="BE8" s="31"/>
      <c r="BF8" s="31"/>
      <c r="BG8" s="31"/>
      <c r="BH8" s="31"/>
      <c r="BI8" s="9">
        <v>16222.3</v>
      </c>
      <c r="BJ8" s="79"/>
      <c r="BK8" s="29"/>
      <c r="BL8" s="30"/>
      <c r="BM8" s="30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76"/>
      <c r="BZ8" s="83"/>
      <c r="CA8" s="24"/>
      <c r="CB8" s="24"/>
      <c r="CC8" s="34"/>
      <c r="CD8" s="36">
        <v>2.16</v>
      </c>
      <c r="CE8" s="85"/>
      <c r="CF8" s="32">
        <f>BI8/76</f>
        <v>213.45131578947368</v>
      </c>
      <c r="CG8" s="82"/>
      <c r="CH8" s="82"/>
      <c r="CI8" s="31"/>
      <c r="CJ8" s="31"/>
      <c r="CK8" s="31"/>
      <c r="CL8" s="31"/>
      <c r="CM8" s="31"/>
      <c r="CN8" s="31"/>
      <c r="CO8" s="31"/>
      <c r="CP8" s="33">
        <f t="shared" si="4"/>
        <v>188.84</v>
      </c>
      <c r="CQ8" s="33">
        <f>CP8+50</f>
        <v>238.84</v>
      </c>
      <c r="CR8" s="33">
        <f t="shared" si="8"/>
        <v>138.84</v>
      </c>
      <c r="CS8" s="33">
        <f t="shared" si="9"/>
        <v>288.84000000000003</v>
      </c>
      <c r="CT8" s="33">
        <f t="shared" si="10"/>
        <v>88.84</v>
      </c>
      <c r="CU8" s="33">
        <f t="shared" si="5"/>
        <v>207.1</v>
      </c>
    </row>
    <row r="9" spans="1:99" ht="16" x14ac:dyDescent="0.4">
      <c r="A9" s="18">
        <v>1970</v>
      </c>
      <c r="B9" s="7">
        <v>33779000</v>
      </c>
      <c r="C9" s="34">
        <f>C10*B9/B10</f>
        <v>11416476.677227028</v>
      </c>
      <c r="D9" s="34">
        <f t="shared" si="1"/>
        <v>439095.25681642414</v>
      </c>
      <c r="E9" s="34">
        <f t="shared" si="2"/>
        <v>219547.62840821207</v>
      </c>
      <c r="F9" s="34">
        <f t="shared" si="3"/>
        <v>329321.44261231809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30"/>
      <c r="S9" s="24"/>
      <c r="T9" s="24"/>
      <c r="U9" s="24"/>
      <c r="V9" s="24"/>
      <c r="W9" s="24"/>
      <c r="X9" s="24"/>
      <c r="Y9" s="24"/>
      <c r="Z9" s="31"/>
      <c r="AA9" s="31"/>
      <c r="AB9" s="31"/>
      <c r="AC9" s="31"/>
      <c r="AD9" s="31"/>
      <c r="AE9" s="24"/>
      <c r="AF9" s="24"/>
      <c r="AG9" s="24"/>
      <c r="AH9" s="24"/>
      <c r="AI9" s="31"/>
      <c r="AJ9" s="30"/>
      <c r="AK9" s="30"/>
      <c r="AL9" s="29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25">
        <v>10658882</v>
      </c>
      <c r="BD9" s="34"/>
      <c r="BE9" s="31"/>
      <c r="BF9" s="31"/>
      <c r="BG9" s="31"/>
      <c r="BH9" s="31"/>
      <c r="BI9" s="9">
        <v>16573.400000000001</v>
      </c>
      <c r="BJ9" s="29"/>
      <c r="BK9" s="29"/>
      <c r="BL9" s="30"/>
      <c r="BM9" s="30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76"/>
      <c r="BZ9" s="83"/>
      <c r="CA9" s="24"/>
      <c r="CB9" s="24"/>
      <c r="CC9" s="34"/>
      <c r="CD9" s="36">
        <v>5.72</v>
      </c>
      <c r="CE9" s="85"/>
      <c r="CF9" s="32">
        <f>BI9/71</f>
        <v>233.42816901408452</v>
      </c>
      <c r="CG9" s="82"/>
      <c r="CH9" s="82"/>
      <c r="CI9" s="31"/>
      <c r="CJ9" s="31"/>
      <c r="CK9" s="31"/>
      <c r="CL9" s="31"/>
      <c r="CM9" s="31"/>
      <c r="CN9" s="31"/>
      <c r="CO9" s="31"/>
      <c r="CP9" s="33">
        <f t="shared" si="4"/>
        <v>196.56</v>
      </c>
      <c r="CQ9" s="33">
        <f t="shared" si="7"/>
        <v>246.56</v>
      </c>
      <c r="CR9" s="33">
        <f t="shared" si="8"/>
        <v>146.56</v>
      </c>
      <c r="CS9" s="33">
        <f t="shared" si="9"/>
        <v>296.56</v>
      </c>
      <c r="CT9" s="33">
        <f t="shared" si="10"/>
        <v>96.56</v>
      </c>
      <c r="CU9" s="33">
        <f t="shared" si="5"/>
        <v>212.27500000000001</v>
      </c>
    </row>
    <row r="10" spans="1:99" ht="16" x14ac:dyDescent="0.4">
      <c r="A10" s="18">
        <v>1971</v>
      </c>
      <c r="B10" s="7">
        <v>34216000</v>
      </c>
      <c r="C10" s="7">
        <v>11564172</v>
      </c>
      <c r="D10" s="9">
        <f t="shared" ref="D10:D33" si="11">C10/26</f>
        <v>444775.84615384613</v>
      </c>
      <c r="E10" s="9">
        <f t="shared" ref="E10:E33" si="12">D10/2</f>
        <v>222387.92307692306</v>
      </c>
      <c r="F10" s="9">
        <f t="shared" si="3"/>
        <v>333581.88461538462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30"/>
      <c r="S10" s="24"/>
      <c r="T10" s="24"/>
      <c r="U10" s="24"/>
      <c r="V10" s="24"/>
      <c r="W10" s="24"/>
      <c r="X10" s="24"/>
      <c r="Y10" s="24"/>
      <c r="Z10" s="31"/>
      <c r="AA10" s="31"/>
      <c r="AB10" s="31"/>
      <c r="AC10" s="31"/>
      <c r="AD10" s="31"/>
      <c r="AE10" s="24"/>
      <c r="AF10" s="24"/>
      <c r="AG10" s="24"/>
      <c r="AH10" s="24"/>
      <c r="AI10" s="31"/>
      <c r="AJ10" s="30"/>
      <c r="AK10" s="30"/>
      <c r="AL10" s="29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4">
        <v>11042601.752</v>
      </c>
      <c r="BD10" s="34">
        <f>BC10-BC9</f>
        <v>383719.75200000033</v>
      </c>
      <c r="BE10" s="9">
        <f t="shared" ref="BE10:BE41" si="13">(BC10/(B10))*1000</f>
        <v>322.73210638297871</v>
      </c>
      <c r="BF10" s="33">
        <f>(BC10*100/BC9)-100</f>
        <v>3.6000000000000085</v>
      </c>
      <c r="BG10" s="33">
        <f t="shared" ref="BG10:BG41" si="14">(B10*100/B9)-100</f>
        <v>1.2937031883714667</v>
      </c>
      <c r="BH10" s="33">
        <f>BF10-BG10</f>
        <v>2.3062968116285418</v>
      </c>
      <c r="BI10" s="9">
        <v>16604.8</v>
      </c>
      <c r="BJ10" s="33"/>
      <c r="BK10" s="80"/>
      <c r="BL10" s="30"/>
      <c r="BM10" s="30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76"/>
      <c r="BZ10" s="83"/>
      <c r="CA10" s="24"/>
      <c r="CB10" s="24"/>
      <c r="CC10" s="34"/>
      <c r="CD10" s="36">
        <v>8.24</v>
      </c>
      <c r="CE10" s="85"/>
      <c r="CF10" s="32">
        <f>BI10/69</f>
        <v>240.64927536231883</v>
      </c>
      <c r="CG10" s="82"/>
      <c r="CH10" s="82"/>
      <c r="CI10" s="31"/>
      <c r="CJ10" s="31"/>
      <c r="CK10" s="31"/>
      <c r="CL10" s="31"/>
      <c r="CM10" s="31"/>
      <c r="CN10" s="31"/>
      <c r="CO10" s="31"/>
      <c r="CP10" s="33">
        <f t="shared" si="4"/>
        <v>204.16</v>
      </c>
      <c r="CQ10" s="33">
        <f t="shared" si="7"/>
        <v>254.16</v>
      </c>
      <c r="CR10" s="33">
        <f t="shared" si="8"/>
        <v>154.16</v>
      </c>
      <c r="CS10" s="33">
        <f t="shared" si="9"/>
        <v>304.15999999999997</v>
      </c>
      <c r="CT10" s="33">
        <f t="shared" si="10"/>
        <v>104.16</v>
      </c>
      <c r="CU10" s="33">
        <f t="shared" si="5"/>
        <v>217.4</v>
      </c>
    </row>
    <row r="11" spans="1:99" ht="16" x14ac:dyDescent="0.4">
      <c r="A11" s="18">
        <v>1972</v>
      </c>
      <c r="B11" s="7">
        <v>34572000</v>
      </c>
      <c r="C11" s="7">
        <v>11620299</v>
      </c>
      <c r="D11" s="9">
        <f t="shared" si="11"/>
        <v>446934.57692307694</v>
      </c>
      <c r="E11" s="9">
        <f t="shared" si="12"/>
        <v>223467.28846153847</v>
      </c>
      <c r="F11" s="9">
        <f t="shared" si="3"/>
        <v>335200.93269230769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30"/>
      <c r="S11" s="24"/>
      <c r="T11" s="24"/>
      <c r="U11" s="24"/>
      <c r="V11" s="24"/>
      <c r="W11" s="24"/>
      <c r="X11" s="24"/>
      <c r="Y11" s="24"/>
      <c r="Z11" s="31"/>
      <c r="AA11" s="31"/>
      <c r="AB11" s="31"/>
      <c r="AC11" s="31"/>
      <c r="AD11" s="31"/>
      <c r="AE11" s="24"/>
      <c r="AF11" s="24"/>
      <c r="AG11" s="24"/>
      <c r="AH11" s="24"/>
      <c r="AI11" s="31"/>
      <c r="AJ11" s="30"/>
      <c r="AK11" s="30"/>
      <c r="AL11" s="29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4">
        <v>11462220.618576001</v>
      </c>
      <c r="BD11" s="34">
        <f>BC11-BC10</f>
        <v>419618.86657600105</v>
      </c>
      <c r="BE11" s="9">
        <f t="shared" si="13"/>
        <v>331.54635596945508</v>
      </c>
      <c r="BF11" s="33">
        <f>(BC11*100/BC10)-100</f>
        <v>3.8000000000000114</v>
      </c>
      <c r="BG11" s="33">
        <f t="shared" si="14"/>
        <v>1.0404489127893441</v>
      </c>
      <c r="BH11" s="33">
        <f>BF11-BG11</f>
        <v>2.7595510872106672</v>
      </c>
      <c r="BI11" s="9">
        <v>18872.100000000002</v>
      </c>
      <c r="BJ11" s="33"/>
      <c r="BK11" s="80"/>
      <c r="BL11" s="30"/>
      <c r="BM11" s="30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76"/>
      <c r="BZ11" s="83"/>
      <c r="CA11" s="24"/>
      <c r="CB11" s="24"/>
      <c r="CC11" s="34"/>
      <c r="CD11" s="36">
        <v>8.27</v>
      </c>
      <c r="CE11" s="85"/>
      <c r="CF11" s="32">
        <f>BI11/69</f>
        <v>273.50869565217397</v>
      </c>
      <c r="CG11" s="82"/>
      <c r="CH11" s="82"/>
      <c r="CI11" s="31"/>
      <c r="CJ11" s="31"/>
      <c r="CK11" s="31"/>
      <c r="CL11" s="31"/>
      <c r="CM11" s="31"/>
      <c r="CN11" s="31"/>
      <c r="CO11" s="31"/>
      <c r="CP11" s="33">
        <f t="shared" si="4"/>
        <v>211.64</v>
      </c>
      <c r="CQ11" s="33">
        <f t="shared" si="7"/>
        <v>261.64</v>
      </c>
      <c r="CR11" s="33">
        <f t="shared" si="8"/>
        <v>161.63999999999999</v>
      </c>
      <c r="CS11" s="33">
        <f t="shared" si="9"/>
        <v>311.64</v>
      </c>
      <c r="CT11" s="33">
        <f t="shared" si="10"/>
        <v>111.63999999999999</v>
      </c>
      <c r="CU11" s="33">
        <f t="shared" si="5"/>
        <v>222.47499999999999</v>
      </c>
    </row>
    <row r="12" spans="1:99" ht="16" x14ac:dyDescent="0.4">
      <c r="A12" s="18">
        <v>1973</v>
      </c>
      <c r="B12" s="7">
        <v>34921000</v>
      </c>
      <c r="C12" s="7">
        <v>11702665</v>
      </c>
      <c r="D12" s="9">
        <f t="shared" si="11"/>
        <v>450102.5</v>
      </c>
      <c r="E12" s="9">
        <f t="shared" si="12"/>
        <v>225051.25</v>
      </c>
      <c r="F12" s="9">
        <f t="shared" si="3"/>
        <v>337576.875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30"/>
      <c r="S12" s="24"/>
      <c r="T12" s="24"/>
      <c r="U12" s="24"/>
      <c r="V12" s="24"/>
      <c r="W12" s="24"/>
      <c r="X12" s="24"/>
      <c r="Y12" s="24"/>
      <c r="Z12" s="31"/>
      <c r="AA12" s="31"/>
      <c r="AB12" s="31"/>
      <c r="AC12" s="31"/>
      <c r="AD12" s="31"/>
      <c r="AE12" s="24"/>
      <c r="AF12" s="24"/>
      <c r="AG12" s="24"/>
      <c r="AH12" s="24"/>
      <c r="AI12" s="31"/>
      <c r="AJ12" s="30"/>
      <c r="AK12" s="30"/>
      <c r="AL12" s="29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4">
        <v>11909247.222700465</v>
      </c>
      <c r="BD12" s="34">
        <f t="shared" ref="BD12:BD42" si="15">BC12-BC11</f>
        <v>447026.60412446409</v>
      </c>
      <c r="BE12" s="9">
        <f t="shared" si="13"/>
        <v>341.0339687494764</v>
      </c>
      <c r="BF12" s="33">
        <f>(BC12*100/BC11)-100</f>
        <v>3.8999999999999915</v>
      </c>
      <c r="BG12" s="33">
        <f t="shared" si="14"/>
        <v>1.0094874464884924</v>
      </c>
      <c r="BH12" s="33">
        <f t="shared" ref="BH12:BH42" si="16">BF12-BG12</f>
        <v>2.890512553511499</v>
      </c>
      <c r="BI12" s="9">
        <v>21606.800000000003</v>
      </c>
      <c r="BJ12" s="33"/>
      <c r="BK12" s="80"/>
      <c r="BL12" s="30"/>
      <c r="BM12" s="30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76"/>
      <c r="BZ12" s="83"/>
      <c r="CA12" s="24"/>
      <c r="CB12" s="24"/>
      <c r="CC12" s="34"/>
      <c r="CD12" s="36">
        <v>11.37</v>
      </c>
      <c r="CE12" s="85"/>
      <c r="CF12" s="32">
        <f>BI12/69</f>
        <v>313.1420289855073</v>
      </c>
      <c r="CG12" s="82"/>
      <c r="CH12" s="82"/>
      <c r="CI12" s="31"/>
      <c r="CJ12" s="31"/>
      <c r="CK12" s="31"/>
      <c r="CL12" s="31"/>
      <c r="CM12" s="31"/>
      <c r="CN12" s="31"/>
      <c r="CO12" s="31"/>
      <c r="CP12" s="33">
        <f t="shared" si="4"/>
        <v>219</v>
      </c>
      <c r="CQ12" s="33">
        <f t="shared" si="7"/>
        <v>269</v>
      </c>
      <c r="CR12" s="33">
        <f t="shared" si="8"/>
        <v>169</v>
      </c>
      <c r="CS12" s="33">
        <f t="shared" si="9"/>
        <v>319</v>
      </c>
      <c r="CT12" s="33">
        <f t="shared" si="10"/>
        <v>119</v>
      </c>
      <c r="CU12" s="33">
        <f t="shared" si="5"/>
        <v>227.5</v>
      </c>
    </row>
    <row r="13" spans="1:99" ht="16" x14ac:dyDescent="0.4">
      <c r="A13" s="18">
        <v>1974</v>
      </c>
      <c r="B13" s="7">
        <v>35288000</v>
      </c>
      <c r="C13" s="7">
        <v>11800401</v>
      </c>
      <c r="D13" s="9">
        <f t="shared" si="11"/>
        <v>453861.57692307694</v>
      </c>
      <c r="E13" s="9">
        <f t="shared" si="12"/>
        <v>226930.78846153847</v>
      </c>
      <c r="F13" s="9">
        <f t="shared" si="3"/>
        <v>340396.18269230769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30"/>
      <c r="S13" s="24"/>
      <c r="T13" s="24"/>
      <c r="U13" s="24"/>
      <c r="V13" s="24"/>
      <c r="W13" s="24"/>
      <c r="X13" s="24"/>
      <c r="Y13" s="24"/>
      <c r="Z13" s="31"/>
      <c r="AA13" s="31"/>
      <c r="AB13" s="31"/>
      <c r="AC13" s="31"/>
      <c r="AD13" s="31"/>
      <c r="AE13" s="24"/>
      <c r="AF13" s="24"/>
      <c r="AG13" s="24"/>
      <c r="AH13" s="24"/>
      <c r="AI13" s="31"/>
      <c r="AJ13" s="30"/>
      <c r="AK13" s="30"/>
      <c r="AL13" s="29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4">
        <v>12326070.875494981</v>
      </c>
      <c r="BD13" s="34">
        <f t="shared" si="15"/>
        <v>416823.65279451571</v>
      </c>
      <c r="BE13" s="9">
        <f t="shared" si="13"/>
        <v>349.29922000382516</v>
      </c>
      <c r="BF13" s="33">
        <f>(BC13*100/BC12)-100</f>
        <v>3.4999999999999858</v>
      </c>
      <c r="BG13" s="33">
        <f t="shared" si="14"/>
        <v>1.0509435583173428</v>
      </c>
      <c r="BH13" s="33">
        <f t="shared" si="16"/>
        <v>2.449056441682643</v>
      </c>
      <c r="BI13" s="9">
        <v>22147.3</v>
      </c>
      <c r="BJ13" s="33"/>
      <c r="BK13" s="80"/>
      <c r="BL13" s="30"/>
      <c r="BM13" s="30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76"/>
      <c r="BZ13" s="83"/>
      <c r="CA13" s="24"/>
      <c r="CB13" s="24"/>
      <c r="CC13" s="34"/>
      <c r="CD13" s="36">
        <v>15.66</v>
      </c>
      <c r="CE13" s="85"/>
      <c r="CF13" s="32">
        <f>BI13/69</f>
        <v>320.97536231884055</v>
      </c>
      <c r="CG13" s="82"/>
      <c r="CH13" s="82"/>
      <c r="CI13" s="31"/>
      <c r="CJ13" s="31"/>
      <c r="CK13" s="31"/>
      <c r="CL13" s="31"/>
      <c r="CM13" s="31"/>
      <c r="CN13" s="31"/>
      <c r="CO13" s="31"/>
      <c r="CP13" s="33">
        <f t="shared" si="4"/>
        <v>226.24</v>
      </c>
      <c r="CQ13" s="33">
        <f t="shared" si="7"/>
        <v>276.24</v>
      </c>
      <c r="CR13" s="33">
        <f t="shared" si="8"/>
        <v>176.24</v>
      </c>
      <c r="CS13" s="33">
        <f t="shared" si="9"/>
        <v>326.24</v>
      </c>
      <c r="CT13" s="33">
        <f t="shared" si="10"/>
        <v>126.24000000000001</v>
      </c>
      <c r="CU13" s="33">
        <f t="shared" si="5"/>
        <v>232.47499999999999</v>
      </c>
    </row>
    <row r="14" spans="1:99" ht="16" x14ac:dyDescent="0.4">
      <c r="A14" s="18">
        <v>1975</v>
      </c>
      <c r="B14" s="7">
        <v>35688000</v>
      </c>
      <c r="C14" s="7">
        <v>11872022</v>
      </c>
      <c r="D14" s="9">
        <f t="shared" si="11"/>
        <v>456616.23076923075</v>
      </c>
      <c r="E14" s="9">
        <f t="shared" si="12"/>
        <v>228308.11538461538</v>
      </c>
      <c r="F14" s="9">
        <f t="shared" si="3"/>
        <v>342462.17307692306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30"/>
      <c r="S14" s="24"/>
      <c r="T14" s="24"/>
      <c r="U14" s="24"/>
      <c r="V14" s="24"/>
      <c r="W14" s="24"/>
      <c r="X14" s="24"/>
      <c r="Y14" s="24"/>
      <c r="Z14" s="31"/>
      <c r="AA14" s="31"/>
      <c r="AB14" s="31"/>
      <c r="AC14" s="31"/>
      <c r="AD14" s="31"/>
      <c r="AE14" s="24"/>
      <c r="AF14" s="24"/>
      <c r="AG14" s="24"/>
      <c r="AH14" s="24"/>
      <c r="AI14" s="31"/>
      <c r="AJ14" s="30"/>
      <c r="AK14" s="30"/>
      <c r="AL14" s="29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4">
        <v>12695853.001759831</v>
      </c>
      <c r="BD14" s="34">
        <f t="shared" si="15"/>
        <v>369782.12626484968</v>
      </c>
      <c r="BE14" s="9">
        <f t="shared" si="13"/>
        <v>355.74571289396522</v>
      </c>
      <c r="BF14" s="33">
        <f t="shared" ref="BF14:BF42" si="17">(BC14*100/BC13)-100</f>
        <v>3.0000000000000142</v>
      </c>
      <c r="BG14" s="33">
        <f t="shared" si="14"/>
        <v>1.1335298118340518</v>
      </c>
      <c r="BH14" s="33">
        <f t="shared" si="16"/>
        <v>1.8664701881659624</v>
      </c>
      <c r="BI14" s="9">
        <v>20849.3</v>
      </c>
      <c r="BJ14" s="33"/>
      <c r="BK14" s="80"/>
      <c r="BL14" s="30"/>
      <c r="BM14" s="30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76"/>
      <c r="BZ14" s="83"/>
      <c r="CA14" s="24"/>
      <c r="CB14" s="24"/>
      <c r="CC14" s="34"/>
      <c r="CD14" s="36">
        <v>17.02</v>
      </c>
      <c r="CE14" s="85"/>
      <c r="CF14" s="32">
        <f>BI14/63</f>
        <v>330.94126984126984</v>
      </c>
      <c r="CG14" s="82"/>
      <c r="CH14" s="82"/>
      <c r="CI14" s="31"/>
      <c r="CJ14" s="31"/>
      <c r="CK14" s="31"/>
      <c r="CL14" s="31"/>
      <c r="CM14" s="31"/>
      <c r="CN14" s="31"/>
      <c r="CO14" s="31"/>
      <c r="CP14" s="33">
        <f t="shared" si="4"/>
        <v>233.36</v>
      </c>
      <c r="CQ14" s="33">
        <f>CP14+50</f>
        <v>283.36</v>
      </c>
      <c r="CR14" s="33">
        <f>CP14-50</f>
        <v>183.36</v>
      </c>
      <c r="CS14" s="33">
        <f>CP14+100</f>
        <v>333.36</v>
      </c>
      <c r="CT14" s="33">
        <f>CP14-100</f>
        <v>133.36000000000001</v>
      </c>
      <c r="CU14" s="33">
        <f t="shared" si="5"/>
        <v>237.4</v>
      </c>
    </row>
    <row r="15" spans="1:99" ht="16" x14ac:dyDescent="0.4">
      <c r="A15" s="18">
        <v>1976</v>
      </c>
      <c r="B15" s="7">
        <v>36118000</v>
      </c>
      <c r="C15" s="7">
        <v>11926333</v>
      </c>
      <c r="D15" s="9">
        <f t="shared" si="11"/>
        <v>458705.11538461538</v>
      </c>
      <c r="E15" s="9">
        <f t="shared" si="12"/>
        <v>229352.55769230769</v>
      </c>
      <c r="F15" s="9">
        <f t="shared" si="3"/>
        <v>344028.8365384615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30"/>
      <c r="S15" s="24"/>
      <c r="T15" s="24"/>
      <c r="U15" s="24"/>
      <c r="V15" s="24"/>
      <c r="W15" s="24"/>
      <c r="X15" s="24"/>
      <c r="Y15" s="24"/>
      <c r="Z15" s="31"/>
      <c r="AA15" s="31"/>
      <c r="AB15" s="31"/>
      <c r="AC15" s="31"/>
      <c r="AD15" s="31"/>
      <c r="AE15" s="24"/>
      <c r="AF15" s="24"/>
      <c r="AG15" s="24"/>
      <c r="AH15" s="24"/>
      <c r="AI15" s="31"/>
      <c r="AJ15" s="30"/>
      <c r="AK15" s="30"/>
      <c r="AL15" s="29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4">
        <v>13064032.738810865</v>
      </c>
      <c r="BD15" s="34">
        <f t="shared" si="15"/>
        <v>368179.73705103435</v>
      </c>
      <c r="BE15" s="9">
        <f t="shared" si="13"/>
        <v>361.70421227119073</v>
      </c>
      <c r="BF15" s="33">
        <f t="shared" si="17"/>
        <v>2.9000000000000057</v>
      </c>
      <c r="BG15" s="33">
        <f t="shared" si="14"/>
        <v>1.2048867966823593</v>
      </c>
      <c r="BH15" s="33">
        <f t="shared" si="16"/>
        <v>1.6951132033176464</v>
      </c>
      <c r="BI15" s="9">
        <v>21293</v>
      </c>
      <c r="BJ15" s="33"/>
      <c r="BK15" s="80"/>
      <c r="BL15" s="30"/>
      <c r="BM15" s="30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76"/>
      <c r="BZ15" s="83"/>
      <c r="CA15" s="24"/>
      <c r="CB15" s="24"/>
      <c r="CC15" s="34"/>
      <c r="CD15" s="36">
        <v>17.559999999999999</v>
      </c>
      <c r="CE15" s="85"/>
      <c r="CF15" s="32">
        <f>BI15/66</f>
        <v>322.62121212121212</v>
      </c>
      <c r="CG15" s="82"/>
      <c r="CH15" s="82"/>
      <c r="CI15" s="31"/>
      <c r="CJ15" s="31"/>
      <c r="CK15" s="31"/>
      <c r="CL15" s="31"/>
      <c r="CM15" s="31"/>
      <c r="CN15" s="31"/>
      <c r="CO15" s="31"/>
      <c r="CP15" s="33">
        <f t="shared" si="4"/>
        <v>240.36</v>
      </c>
      <c r="CQ15" s="33">
        <f>CP15+50</f>
        <v>290.36</v>
      </c>
      <c r="CR15" s="33">
        <f t="shared" si="8"/>
        <v>190.36</v>
      </c>
      <c r="CS15" s="33">
        <f t="shared" si="9"/>
        <v>340.36</v>
      </c>
      <c r="CT15" s="33">
        <f t="shared" si="10"/>
        <v>140.36000000000001</v>
      </c>
      <c r="CU15" s="33">
        <f t="shared" si="5"/>
        <v>242.27500000000001</v>
      </c>
    </row>
    <row r="16" spans="1:99" ht="16" x14ac:dyDescent="0.4">
      <c r="A16" s="18">
        <v>1977</v>
      </c>
      <c r="B16" s="7">
        <v>36564000</v>
      </c>
      <c r="C16" s="7">
        <v>11966578</v>
      </c>
      <c r="D16" s="9">
        <f t="shared" si="11"/>
        <v>460253</v>
      </c>
      <c r="E16" s="9">
        <f t="shared" si="12"/>
        <v>230126.5</v>
      </c>
      <c r="F16" s="9">
        <f t="shared" si="3"/>
        <v>345189.75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30"/>
      <c r="S16" s="24"/>
      <c r="T16" s="24"/>
      <c r="U16" s="24"/>
      <c r="V16" s="24"/>
      <c r="W16" s="24"/>
      <c r="X16" s="24"/>
      <c r="Y16" s="24"/>
      <c r="Z16" s="31"/>
      <c r="AA16" s="31"/>
      <c r="AB16" s="31"/>
      <c r="AC16" s="31"/>
      <c r="AD16" s="31"/>
      <c r="AE16" s="24"/>
      <c r="AF16" s="24"/>
      <c r="AG16" s="24"/>
      <c r="AH16" s="24"/>
      <c r="AI16" s="31"/>
      <c r="AJ16" s="30"/>
      <c r="AK16" s="30"/>
      <c r="AL16" s="29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4">
        <v>13429825.65549757</v>
      </c>
      <c r="BD16" s="34">
        <f t="shared" si="15"/>
        <v>365792.91668670438</v>
      </c>
      <c r="BE16" s="9">
        <f t="shared" si="13"/>
        <v>367.29640234923886</v>
      </c>
      <c r="BF16" s="33">
        <f t="shared" si="17"/>
        <v>2.8000000000000114</v>
      </c>
      <c r="BG16" s="33">
        <f t="shared" si="14"/>
        <v>1.234841353341821</v>
      </c>
      <c r="BH16" s="33">
        <f t="shared" si="16"/>
        <v>1.5651586466581904</v>
      </c>
      <c r="BI16" s="9">
        <v>21710</v>
      </c>
      <c r="BJ16" s="33"/>
      <c r="BK16" s="80"/>
      <c r="BL16" s="30"/>
      <c r="BM16" s="30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76"/>
      <c r="BZ16" s="83"/>
      <c r="CA16" s="24"/>
      <c r="CB16" s="24"/>
      <c r="CC16" s="34"/>
      <c r="CD16" s="36">
        <v>24.44</v>
      </c>
      <c r="CE16" s="85"/>
      <c r="CF16" s="32">
        <f>BI16/69</f>
        <v>314.63768115942031</v>
      </c>
      <c r="CG16" s="82"/>
      <c r="CH16" s="82"/>
      <c r="CI16" s="31"/>
      <c r="CJ16" s="31"/>
      <c r="CK16" s="31"/>
      <c r="CL16" s="31"/>
      <c r="CM16" s="31"/>
      <c r="CN16" s="31"/>
      <c r="CO16" s="31"/>
      <c r="CP16" s="33">
        <f t="shared" si="4"/>
        <v>247.24</v>
      </c>
      <c r="CQ16" s="33">
        <f t="shared" si="7"/>
        <v>297.24</v>
      </c>
      <c r="CR16" s="33">
        <f t="shared" si="8"/>
        <v>197.24</v>
      </c>
      <c r="CS16" s="33">
        <f t="shared" si="9"/>
        <v>347.24</v>
      </c>
      <c r="CT16" s="33">
        <f t="shared" si="10"/>
        <v>147.24</v>
      </c>
      <c r="CU16" s="33">
        <f t="shared" si="5"/>
        <v>247.1</v>
      </c>
    </row>
    <row r="17" spans="1:99" ht="16" x14ac:dyDescent="0.4">
      <c r="A17" s="18">
        <v>1978</v>
      </c>
      <c r="B17" s="7">
        <v>36741000</v>
      </c>
      <c r="C17" s="7">
        <v>12024081</v>
      </c>
      <c r="D17" s="9">
        <f t="shared" si="11"/>
        <v>462464.65384615387</v>
      </c>
      <c r="E17" s="9">
        <f t="shared" si="12"/>
        <v>231232.32692307694</v>
      </c>
      <c r="F17" s="9">
        <f t="shared" si="3"/>
        <v>346848.49038461538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30"/>
      <c r="S17" s="24"/>
      <c r="T17" s="24"/>
      <c r="U17" s="24"/>
      <c r="V17" s="24"/>
      <c r="W17" s="24"/>
      <c r="X17" s="24"/>
      <c r="Y17" s="24"/>
      <c r="Z17" s="31"/>
      <c r="AA17" s="31"/>
      <c r="AB17" s="31"/>
      <c r="AC17" s="31"/>
      <c r="AD17" s="31"/>
      <c r="AE17" s="24"/>
      <c r="AF17" s="24"/>
      <c r="AG17" s="24"/>
      <c r="AH17" s="24"/>
      <c r="AI17" s="31"/>
      <c r="AJ17" s="30"/>
      <c r="AK17" s="30"/>
      <c r="AL17" s="29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4">
        <v>13792430.948196003</v>
      </c>
      <c r="BD17" s="34">
        <f t="shared" si="15"/>
        <v>362605.29269843362</v>
      </c>
      <c r="BE17" s="9">
        <f t="shared" si="13"/>
        <v>375.39617724601953</v>
      </c>
      <c r="BF17" s="33">
        <f t="shared" si="17"/>
        <v>2.7000000000000028</v>
      </c>
      <c r="BG17" s="33">
        <f t="shared" si="14"/>
        <v>0.48408270429931122</v>
      </c>
      <c r="BH17" s="33">
        <f>BF17-BG17</f>
        <v>2.2159172957006916</v>
      </c>
      <c r="BI17" s="9">
        <v>22028</v>
      </c>
      <c r="BJ17" s="33"/>
      <c r="BK17" s="80"/>
      <c r="BL17" s="30"/>
      <c r="BM17" s="30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76"/>
      <c r="BZ17" s="83"/>
      <c r="CA17" s="24"/>
      <c r="CB17" s="24"/>
      <c r="CC17" s="34"/>
      <c r="CD17" s="36">
        <v>19.98</v>
      </c>
      <c r="CE17" s="85"/>
      <c r="CF17" s="32">
        <f>BI17/76</f>
        <v>289.84210526315792</v>
      </c>
      <c r="CG17" s="82"/>
      <c r="CH17" s="82"/>
      <c r="CI17" s="31"/>
      <c r="CJ17" s="31"/>
      <c r="CK17" s="31"/>
      <c r="CL17" s="31"/>
      <c r="CM17" s="31"/>
      <c r="CN17" s="31"/>
      <c r="CO17" s="31"/>
      <c r="CP17" s="33">
        <f t="shared" si="4"/>
        <v>254</v>
      </c>
      <c r="CQ17" s="33">
        <f t="shared" si="7"/>
        <v>304</v>
      </c>
      <c r="CR17" s="33">
        <f t="shared" si="8"/>
        <v>204</v>
      </c>
      <c r="CS17" s="33">
        <f t="shared" si="9"/>
        <v>354</v>
      </c>
      <c r="CT17" s="33">
        <f t="shared" si="10"/>
        <v>154</v>
      </c>
      <c r="CU17" s="33">
        <f t="shared" si="5"/>
        <v>251.875</v>
      </c>
    </row>
    <row r="18" spans="1:99" ht="16" x14ac:dyDescent="0.4">
      <c r="A18" s="18">
        <v>1979</v>
      </c>
      <c r="B18" s="7">
        <v>37289000</v>
      </c>
      <c r="C18" s="7">
        <v>12074990</v>
      </c>
      <c r="D18" s="9">
        <f t="shared" si="11"/>
        <v>464422.69230769231</v>
      </c>
      <c r="E18" s="9">
        <f t="shared" si="12"/>
        <v>232211.34615384616</v>
      </c>
      <c r="F18" s="9">
        <f t="shared" si="3"/>
        <v>348317.01923076925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30"/>
      <c r="S18" s="24"/>
      <c r="T18" s="24"/>
      <c r="U18" s="24"/>
      <c r="V18" s="24"/>
      <c r="W18" s="24"/>
      <c r="X18" s="24"/>
      <c r="Y18" s="24"/>
      <c r="Z18" s="31"/>
      <c r="AA18" s="31"/>
      <c r="AB18" s="31"/>
      <c r="AC18" s="31"/>
      <c r="AD18" s="31"/>
      <c r="AE18" s="24"/>
      <c r="AF18" s="24"/>
      <c r="AG18" s="24"/>
      <c r="AH18" s="24"/>
      <c r="AI18" s="31"/>
      <c r="AJ18" s="30"/>
      <c r="AK18" s="30"/>
      <c r="AL18" s="29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4">
        <v>14137241.721900903</v>
      </c>
      <c r="BD18" s="34">
        <f t="shared" si="15"/>
        <v>344810.77370489947</v>
      </c>
      <c r="BE18" s="9">
        <f t="shared" si="13"/>
        <v>379.12633006787263</v>
      </c>
      <c r="BF18" s="33">
        <f t="shared" si="17"/>
        <v>2.4999999999999858</v>
      </c>
      <c r="BG18" s="33">
        <f t="shared" si="14"/>
        <v>1.491521733213574</v>
      </c>
      <c r="BH18" s="33">
        <f t="shared" si="16"/>
        <v>1.0084782667864118</v>
      </c>
      <c r="BI18" s="9">
        <v>20773</v>
      </c>
      <c r="BJ18" s="33"/>
      <c r="BK18" s="80"/>
      <c r="BL18" s="30"/>
      <c r="BM18" s="30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76"/>
      <c r="BZ18" s="83"/>
      <c r="CA18" s="24"/>
      <c r="CB18" s="24"/>
      <c r="CC18" s="34"/>
      <c r="CD18" s="36">
        <v>15.68</v>
      </c>
      <c r="CE18" s="85"/>
      <c r="CF18" s="32">
        <f>BI18/76</f>
        <v>273.32894736842104</v>
      </c>
      <c r="CG18" s="82"/>
      <c r="CH18" s="82"/>
      <c r="CI18" s="31"/>
      <c r="CJ18" s="31"/>
      <c r="CK18" s="31"/>
      <c r="CL18" s="31"/>
      <c r="CM18" s="31"/>
      <c r="CN18" s="31"/>
      <c r="CO18" s="31"/>
      <c r="CP18" s="33">
        <f t="shared" si="4"/>
        <v>260.64</v>
      </c>
      <c r="CQ18" s="33">
        <f t="shared" si="7"/>
        <v>310.64</v>
      </c>
      <c r="CR18" s="33">
        <f t="shared" si="8"/>
        <v>210.64</v>
      </c>
      <c r="CS18" s="33">
        <f t="shared" si="9"/>
        <v>360.64</v>
      </c>
      <c r="CT18" s="33">
        <f t="shared" si="10"/>
        <v>160.63999999999999</v>
      </c>
      <c r="CU18" s="33">
        <f t="shared" si="5"/>
        <v>256.60000000000002</v>
      </c>
    </row>
    <row r="19" spans="1:99" ht="16" x14ac:dyDescent="0.4">
      <c r="A19" s="18">
        <v>1980</v>
      </c>
      <c r="B19" s="7">
        <v>37527000</v>
      </c>
      <c r="C19" s="7">
        <v>12092821</v>
      </c>
      <c r="D19" s="9">
        <f t="shared" si="11"/>
        <v>465108.5</v>
      </c>
      <c r="E19" s="9">
        <f t="shared" si="12"/>
        <v>232554.25</v>
      </c>
      <c r="F19" s="9">
        <f t="shared" si="3"/>
        <v>348831.375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/>
      <c r="S19" s="24"/>
      <c r="T19" s="24"/>
      <c r="U19" s="24"/>
      <c r="V19" s="24"/>
      <c r="W19" s="24"/>
      <c r="X19" s="24"/>
      <c r="Y19" s="24"/>
      <c r="Z19" s="31"/>
      <c r="AA19" s="31"/>
      <c r="AB19" s="31"/>
      <c r="AC19" s="31"/>
      <c r="AD19" s="31"/>
      <c r="AE19" s="24"/>
      <c r="AF19" s="24"/>
      <c r="AG19" s="24"/>
      <c r="AH19" s="24"/>
      <c r="AI19" s="31"/>
      <c r="AJ19" s="30"/>
      <c r="AK19" s="30"/>
      <c r="AL19" s="29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4">
        <v>14476535.523226524</v>
      </c>
      <c r="BD19" s="34">
        <f>BC19-BC18</f>
        <v>339293.80132562108</v>
      </c>
      <c r="BE19" s="9">
        <f t="shared" si="13"/>
        <v>385.76319778363643</v>
      </c>
      <c r="BF19" s="33">
        <f t="shared" si="17"/>
        <v>2.3999999999999915</v>
      </c>
      <c r="BG19" s="33">
        <f t="shared" si="14"/>
        <v>0.6382579312934098</v>
      </c>
      <c r="BH19" s="33">
        <f t="shared" si="16"/>
        <v>1.7617420687065817</v>
      </c>
      <c r="BI19" s="9">
        <v>19725</v>
      </c>
      <c r="BJ19" s="33"/>
      <c r="BK19" s="80"/>
      <c r="BL19" s="30"/>
      <c r="BM19" s="30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76"/>
      <c r="BZ19" s="83"/>
      <c r="CA19" s="24"/>
      <c r="CB19" s="24"/>
      <c r="CC19" s="34"/>
      <c r="CD19" s="36">
        <v>15.59</v>
      </c>
      <c r="CE19" s="85"/>
      <c r="CF19" s="32">
        <f>BI19/76</f>
        <v>259.53947368421052</v>
      </c>
      <c r="CG19" s="82"/>
      <c r="CH19" s="82"/>
      <c r="CI19" s="31"/>
      <c r="CJ19" s="31"/>
      <c r="CK19" s="31"/>
      <c r="CL19" s="31"/>
      <c r="CM19" s="31"/>
      <c r="CN19" s="31"/>
      <c r="CO19" s="31"/>
      <c r="CP19" s="33">
        <f t="shared" si="4"/>
        <v>267.15999999999997</v>
      </c>
      <c r="CQ19" s="33">
        <f t="shared" si="7"/>
        <v>317.15999999999997</v>
      </c>
      <c r="CR19" s="33">
        <f t="shared" si="8"/>
        <v>217.15999999999997</v>
      </c>
      <c r="CS19" s="33">
        <f t="shared" si="9"/>
        <v>367.15999999999997</v>
      </c>
      <c r="CT19" s="33">
        <f t="shared" si="10"/>
        <v>167.15999999999997</v>
      </c>
      <c r="CU19" s="33">
        <f t="shared" si="5"/>
        <v>261.27499999999998</v>
      </c>
    </row>
    <row r="20" spans="1:99" ht="16" x14ac:dyDescent="0.4">
      <c r="A20" s="18">
        <v>1981</v>
      </c>
      <c r="B20" s="7">
        <v>37741000</v>
      </c>
      <c r="C20" s="7">
        <v>12135566</v>
      </c>
      <c r="D20" s="9">
        <f t="shared" si="11"/>
        <v>466752.53846153844</v>
      </c>
      <c r="E20" s="9">
        <f t="shared" si="12"/>
        <v>233376.26923076922</v>
      </c>
      <c r="F20" s="9">
        <f t="shared" si="3"/>
        <v>350064.40384615381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30"/>
      <c r="S20" s="24"/>
      <c r="T20" s="24"/>
      <c r="U20" s="24"/>
      <c r="V20" s="24"/>
      <c r="W20" s="24"/>
      <c r="X20" s="24"/>
      <c r="Y20" s="24"/>
      <c r="Z20" s="31"/>
      <c r="AA20" s="31"/>
      <c r="AB20" s="31"/>
      <c r="AC20" s="31"/>
      <c r="AD20" s="31"/>
      <c r="AE20" s="24"/>
      <c r="AF20" s="24"/>
      <c r="AG20" s="24"/>
      <c r="AH20" s="24"/>
      <c r="AI20" s="31"/>
      <c r="AJ20" s="30"/>
      <c r="AK20" s="30"/>
      <c r="AL20" s="29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25">
        <v>14726000</v>
      </c>
      <c r="BD20" s="34">
        <f>BC20-BC19</f>
        <v>249464.47677347623</v>
      </c>
      <c r="BE20" s="9">
        <f t="shared" si="13"/>
        <v>390.18573964653825</v>
      </c>
      <c r="BF20" s="33">
        <f>(BC20*100/BC19)-100</f>
        <v>1.7232332720299581</v>
      </c>
      <c r="BG20" s="33">
        <f t="shared" si="14"/>
        <v>0.57025608228741476</v>
      </c>
      <c r="BH20" s="33">
        <f t="shared" si="16"/>
        <v>1.1529771897425434</v>
      </c>
      <c r="BI20" s="9">
        <v>18487</v>
      </c>
      <c r="BJ20" s="79"/>
      <c r="BK20" s="29"/>
      <c r="BL20" s="30"/>
      <c r="BM20" s="30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76"/>
      <c r="BZ20" s="83"/>
      <c r="CA20" s="24"/>
      <c r="CB20" s="24"/>
      <c r="CC20" s="34"/>
      <c r="CD20" s="36">
        <v>14.56</v>
      </c>
      <c r="CE20" s="85"/>
      <c r="CF20" s="32">
        <f t="shared" si="6"/>
        <v>210.07954545454547</v>
      </c>
      <c r="CG20" s="82"/>
      <c r="CH20" s="82"/>
      <c r="CI20" s="31"/>
      <c r="CJ20" s="31"/>
      <c r="CK20" s="31"/>
      <c r="CL20" s="31"/>
      <c r="CM20" s="31"/>
      <c r="CN20" s="31"/>
      <c r="CO20" s="31"/>
      <c r="CP20" s="33">
        <f t="shared" si="4"/>
        <v>273.56</v>
      </c>
      <c r="CQ20" s="33">
        <f t="shared" si="7"/>
        <v>323.56</v>
      </c>
      <c r="CR20" s="33">
        <f t="shared" si="8"/>
        <v>223.56</v>
      </c>
      <c r="CS20" s="33">
        <f t="shared" si="9"/>
        <v>373.56</v>
      </c>
      <c r="CT20" s="33">
        <f t="shared" si="10"/>
        <v>173.56</v>
      </c>
      <c r="CU20" s="33">
        <f t="shared" si="5"/>
        <v>265.89999999999998</v>
      </c>
    </row>
    <row r="21" spans="1:99" ht="16" x14ac:dyDescent="0.4">
      <c r="A21" s="18">
        <v>1982</v>
      </c>
      <c r="B21" s="7">
        <v>37942000</v>
      </c>
      <c r="C21" s="7">
        <v>12166940</v>
      </c>
      <c r="D21" s="9">
        <f t="shared" si="11"/>
        <v>467959.23076923075</v>
      </c>
      <c r="E21" s="9">
        <f t="shared" si="12"/>
        <v>233979.61538461538</v>
      </c>
      <c r="F21" s="9">
        <f t="shared" si="3"/>
        <v>350969.42307692306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30"/>
      <c r="S21" s="24"/>
      <c r="T21" s="24"/>
      <c r="U21" s="24"/>
      <c r="V21" s="24"/>
      <c r="W21" s="24"/>
      <c r="X21" s="24"/>
      <c r="Y21" s="24"/>
      <c r="Z21" s="31"/>
      <c r="AA21" s="31"/>
      <c r="AB21" s="31"/>
      <c r="AC21" s="31"/>
      <c r="AD21" s="31"/>
      <c r="AE21" s="24"/>
      <c r="AF21" s="24"/>
      <c r="AG21" s="24"/>
      <c r="AH21" s="24"/>
      <c r="AI21" s="31"/>
      <c r="AJ21" s="30"/>
      <c r="AK21" s="30"/>
      <c r="AL21" s="29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4">
        <v>14951835.891732119</v>
      </c>
      <c r="BD21" s="34">
        <f t="shared" si="15"/>
        <v>225835.89173211902</v>
      </c>
      <c r="BE21" s="9">
        <f t="shared" si="13"/>
        <v>394.07084212039746</v>
      </c>
      <c r="BF21" s="33">
        <f t="shared" si="17"/>
        <v>1.5335861179690227</v>
      </c>
      <c r="BG21" s="33">
        <f t="shared" si="14"/>
        <v>0.53257730319811003</v>
      </c>
      <c r="BH21" s="33">
        <f t="shared" si="16"/>
        <v>1.0010088147709126</v>
      </c>
      <c r="BI21" s="9">
        <v>18528</v>
      </c>
      <c r="BJ21" s="29"/>
      <c r="BK21" s="29"/>
      <c r="BL21" s="30"/>
      <c r="BM21" s="30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76"/>
      <c r="BZ21" s="83"/>
      <c r="CA21" s="24"/>
      <c r="CB21" s="24"/>
      <c r="CC21" s="34"/>
      <c r="CD21" s="36">
        <v>14.43</v>
      </c>
      <c r="CE21" s="85"/>
      <c r="CF21" s="32">
        <f t="shared" si="6"/>
        <v>210.54545454545453</v>
      </c>
      <c r="CG21" s="82"/>
      <c r="CH21" s="82"/>
      <c r="CI21" s="31"/>
      <c r="CJ21" s="31"/>
      <c r="CK21" s="31"/>
      <c r="CL21" s="31"/>
      <c r="CM21" s="31"/>
      <c r="CN21" s="31"/>
      <c r="CO21" s="31"/>
      <c r="CP21" s="33">
        <f t="shared" si="4"/>
        <v>279.84000000000003</v>
      </c>
      <c r="CQ21" s="33">
        <f t="shared" si="7"/>
        <v>329.84000000000003</v>
      </c>
      <c r="CR21" s="33">
        <f t="shared" si="8"/>
        <v>229.84000000000003</v>
      </c>
      <c r="CS21" s="33">
        <f t="shared" si="9"/>
        <v>379.84000000000003</v>
      </c>
      <c r="CT21" s="33">
        <f t="shared" si="10"/>
        <v>179.84000000000003</v>
      </c>
      <c r="CU21" s="33">
        <f t="shared" si="5"/>
        <v>270.47500000000002</v>
      </c>
    </row>
    <row r="22" spans="1:99" ht="16" x14ac:dyDescent="0.4">
      <c r="A22" s="18">
        <v>1983</v>
      </c>
      <c r="B22" s="7">
        <v>38122000</v>
      </c>
      <c r="C22" s="7">
        <v>12255611</v>
      </c>
      <c r="D22" s="9">
        <f t="shared" si="11"/>
        <v>471369.65384615387</v>
      </c>
      <c r="E22" s="9">
        <f t="shared" si="12"/>
        <v>235684.82692307694</v>
      </c>
      <c r="F22" s="9">
        <f t="shared" si="3"/>
        <v>353527.24038461538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30"/>
      <c r="S22" s="24"/>
      <c r="T22" s="24"/>
      <c r="U22" s="24"/>
      <c r="V22" s="24"/>
      <c r="W22" s="24"/>
      <c r="X22" s="24"/>
      <c r="Y22" s="24"/>
      <c r="Z22" s="31"/>
      <c r="AA22" s="31"/>
      <c r="AB22" s="31"/>
      <c r="AC22" s="31"/>
      <c r="AD22" s="31"/>
      <c r="AE22" s="24"/>
      <c r="AF22" s="24"/>
      <c r="AG22" s="24"/>
      <c r="AH22" s="24"/>
      <c r="AI22" s="31"/>
      <c r="AJ22" s="30"/>
      <c r="AK22" s="30"/>
      <c r="AL22" s="29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4">
        <v>15170301.157183452</v>
      </c>
      <c r="BD22" s="34">
        <f t="shared" si="15"/>
        <v>218465.26545133255</v>
      </c>
      <c r="BE22" s="9">
        <f t="shared" si="13"/>
        <v>397.94085192758649</v>
      </c>
      <c r="BF22" s="33">
        <f t="shared" si="17"/>
        <v>1.4611266939609493</v>
      </c>
      <c r="BG22" s="33">
        <f t="shared" si="14"/>
        <v>0.47440830741658147</v>
      </c>
      <c r="BH22" s="33">
        <f t="shared" si="16"/>
        <v>0.98671838654436783</v>
      </c>
      <c r="BI22" s="9">
        <v>17923.3</v>
      </c>
      <c r="BJ22" s="29"/>
      <c r="BK22" s="29"/>
      <c r="BL22" s="30"/>
      <c r="BM22" s="30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76"/>
      <c r="BZ22" s="83"/>
      <c r="CA22" s="24"/>
      <c r="CB22" s="24"/>
      <c r="CC22" s="34"/>
      <c r="CD22" s="36">
        <v>12.19</v>
      </c>
      <c r="CE22" s="85"/>
      <c r="CF22" s="32">
        <f t="shared" si="6"/>
        <v>203.67386363636362</v>
      </c>
      <c r="CG22" s="82"/>
      <c r="CH22" s="82"/>
      <c r="CI22" s="31"/>
      <c r="CJ22" s="31"/>
      <c r="CK22" s="31"/>
      <c r="CL22" s="31"/>
      <c r="CM22" s="31"/>
      <c r="CN22" s="31"/>
      <c r="CO22" s="31"/>
      <c r="CP22" s="33">
        <f t="shared" si="4"/>
        <v>286</v>
      </c>
      <c r="CQ22" s="33">
        <f t="shared" si="7"/>
        <v>336</v>
      </c>
      <c r="CR22" s="33">
        <f t="shared" si="8"/>
        <v>236</v>
      </c>
      <c r="CS22" s="33">
        <f t="shared" si="9"/>
        <v>386</v>
      </c>
      <c r="CT22" s="33">
        <f t="shared" si="10"/>
        <v>186</v>
      </c>
      <c r="CU22" s="33">
        <f t="shared" si="5"/>
        <v>275</v>
      </c>
    </row>
    <row r="23" spans="1:99" ht="16" x14ac:dyDescent="0.4">
      <c r="A23" s="18">
        <v>1984</v>
      </c>
      <c r="B23" s="7">
        <v>38279000</v>
      </c>
      <c r="C23" s="7">
        <v>12336331</v>
      </c>
      <c r="D23" s="9">
        <f t="shared" si="11"/>
        <v>474474.26923076925</v>
      </c>
      <c r="E23" s="9">
        <f t="shared" si="12"/>
        <v>237237.13461538462</v>
      </c>
      <c r="F23" s="9">
        <f t="shared" si="3"/>
        <v>355855.70192307694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30"/>
      <c r="S23" s="24"/>
      <c r="T23" s="24"/>
      <c r="U23" s="24"/>
      <c r="V23" s="24"/>
      <c r="W23" s="24"/>
      <c r="X23" s="24"/>
      <c r="Y23" s="24"/>
      <c r="Z23" s="31"/>
      <c r="AA23" s="31"/>
      <c r="AB23" s="31"/>
      <c r="AC23" s="31"/>
      <c r="AD23" s="31"/>
      <c r="AE23" s="24"/>
      <c r="AF23" s="24"/>
      <c r="AG23" s="24"/>
      <c r="AH23" s="24"/>
      <c r="AI23" s="31"/>
      <c r="AJ23" s="30"/>
      <c r="AK23" s="30"/>
      <c r="AL23" s="29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4">
        <v>15368227.521006804</v>
      </c>
      <c r="BD23" s="34">
        <f t="shared" si="15"/>
        <v>197926.36382335238</v>
      </c>
      <c r="BE23" s="9">
        <f t="shared" si="13"/>
        <v>401.47933647709721</v>
      </c>
      <c r="BF23" s="33">
        <f t="shared" si="17"/>
        <v>1.3046963390679309</v>
      </c>
      <c r="BG23" s="33">
        <f t="shared" si="14"/>
        <v>0.41183568543098659</v>
      </c>
      <c r="BH23" s="33">
        <f t="shared" si="16"/>
        <v>0.89286065363694433</v>
      </c>
      <c r="BI23" s="9">
        <v>16238.25</v>
      </c>
      <c r="BJ23" s="29"/>
      <c r="BK23" s="29"/>
      <c r="BL23" s="30"/>
      <c r="BM23" s="30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76"/>
      <c r="BZ23" s="83"/>
      <c r="CA23" s="24"/>
      <c r="CB23" s="24"/>
      <c r="CC23" s="34"/>
      <c r="CD23" s="36">
        <v>11.3</v>
      </c>
      <c r="CE23" s="85"/>
      <c r="CF23" s="84">
        <f>(CF24*((BI23*100/BI24)/100))</f>
        <v>182.53501020832474</v>
      </c>
      <c r="CG23" s="32"/>
      <c r="CH23" s="82"/>
      <c r="CI23" s="31"/>
      <c r="CJ23" s="31"/>
      <c r="CK23" s="31"/>
      <c r="CL23" s="31"/>
      <c r="CM23" s="31"/>
      <c r="CN23" s="31"/>
      <c r="CO23" s="31"/>
      <c r="CP23" s="33">
        <f t="shared" si="4"/>
        <v>292.03999999999996</v>
      </c>
      <c r="CQ23" s="33">
        <f t="shared" si="7"/>
        <v>342.03999999999996</v>
      </c>
      <c r="CR23" s="33">
        <f t="shared" si="8"/>
        <v>242.03999999999996</v>
      </c>
      <c r="CS23" s="33">
        <f t="shared" si="9"/>
        <v>392.03999999999996</v>
      </c>
      <c r="CT23" s="33">
        <f t="shared" si="10"/>
        <v>192.03999999999996</v>
      </c>
      <c r="CU23" s="33">
        <f t="shared" si="5"/>
        <v>279.47500000000002</v>
      </c>
    </row>
    <row r="24" spans="1:99" ht="16" x14ac:dyDescent="0.4">
      <c r="A24" s="18">
        <v>1985</v>
      </c>
      <c r="B24" s="11">
        <v>38419000</v>
      </c>
      <c r="C24" s="7">
        <v>12422212</v>
      </c>
      <c r="D24" s="9">
        <f t="shared" si="11"/>
        <v>477777.38461538462</v>
      </c>
      <c r="E24" s="9">
        <f t="shared" si="12"/>
        <v>238888.69230769231</v>
      </c>
      <c r="F24" s="9">
        <f t="shared" si="3"/>
        <v>358333.0384615385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30"/>
      <c r="S24" s="24"/>
      <c r="T24" s="24"/>
      <c r="U24" s="24"/>
      <c r="V24" s="24"/>
      <c r="W24" s="24"/>
      <c r="X24" s="24"/>
      <c r="Y24" s="24"/>
      <c r="Z24" s="31"/>
      <c r="AA24" s="31"/>
      <c r="AB24" s="31"/>
      <c r="AC24" s="31"/>
      <c r="AD24" s="31"/>
      <c r="AE24" s="24"/>
      <c r="AF24" s="24"/>
      <c r="AG24" s="24"/>
      <c r="AH24" s="24"/>
      <c r="AI24" s="9">
        <v>223</v>
      </c>
      <c r="AJ24" s="30"/>
      <c r="AK24" s="30"/>
      <c r="AL24" s="29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4">
        <v>15569896.729566457</v>
      </c>
      <c r="BD24" s="34">
        <f t="shared" si="15"/>
        <v>201669.20855965279</v>
      </c>
      <c r="BE24" s="9">
        <f t="shared" si="13"/>
        <v>405.26553865447971</v>
      </c>
      <c r="BF24" s="33">
        <f t="shared" si="17"/>
        <v>1.3122476764740298</v>
      </c>
      <c r="BG24" s="33">
        <f t="shared" si="14"/>
        <v>0.36573578202147417</v>
      </c>
      <c r="BH24" s="33">
        <f t="shared" si="16"/>
        <v>0.94651189445255568</v>
      </c>
      <c r="BI24" s="9">
        <v>16545.320000000003</v>
      </c>
      <c r="BJ24" s="77"/>
      <c r="BK24" s="29"/>
      <c r="BL24" s="30"/>
      <c r="BM24" s="30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83"/>
      <c r="CA24" s="24"/>
      <c r="CB24" s="24"/>
      <c r="CC24" s="9">
        <v>204</v>
      </c>
      <c r="CD24" s="36">
        <v>8.83</v>
      </c>
      <c r="CE24" s="33">
        <f>CD24*CC24/100</f>
        <v>18.013199999999998</v>
      </c>
      <c r="CF24" s="33">
        <f>CC24-CE24</f>
        <v>185.98680000000002</v>
      </c>
      <c r="CG24" s="9">
        <f t="shared" ref="CG24:CG61" si="18">CF24*100/$CF$39</f>
        <v>44.173268881701603</v>
      </c>
      <c r="CH24" s="9">
        <v>0</v>
      </c>
      <c r="CI24" s="31"/>
      <c r="CJ24" s="31"/>
      <c r="CK24" s="31"/>
      <c r="CL24" s="31"/>
      <c r="CM24" s="31"/>
      <c r="CN24" s="31"/>
      <c r="CO24" s="33"/>
      <c r="CP24" s="33">
        <f t="shared" si="4"/>
        <v>297.96000000000004</v>
      </c>
      <c r="CQ24" s="33">
        <f t="shared" si="7"/>
        <v>347.96000000000004</v>
      </c>
      <c r="CR24" s="33">
        <f t="shared" si="8"/>
        <v>247.96000000000004</v>
      </c>
      <c r="CS24" s="33">
        <f t="shared" si="9"/>
        <v>397.96000000000004</v>
      </c>
      <c r="CT24" s="33">
        <f t="shared" si="10"/>
        <v>197.96000000000004</v>
      </c>
      <c r="CU24" s="33">
        <f t="shared" si="5"/>
        <v>283.89999999999998</v>
      </c>
    </row>
    <row r="25" spans="1:99" ht="16" x14ac:dyDescent="0.4">
      <c r="A25" s="18">
        <v>1986</v>
      </c>
      <c r="B25" s="11">
        <v>38536000</v>
      </c>
      <c r="C25" s="7">
        <v>12546626</v>
      </c>
      <c r="D25" s="9">
        <f t="shared" si="11"/>
        <v>482562.53846153844</v>
      </c>
      <c r="E25" s="9">
        <f t="shared" si="12"/>
        <v>241281.26923076922</v>
      </c>
      <c r="F25" s="9">
        <f t="shared" si="3"/>
        <v>361921.90384615381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30"/>
      <c r="S25" s="24"/>
      <c r="T25" s="24"/>
      <c r="U25" s="24"/>
      <c r="V25" s="24"/>
      <c r="W25" s="24"/>
      <c r="X25" s="24"/>
      <c r="Y25" s="24"/>
      <c r="Z25" s="31"/>
      <c r="AA25" s="31"/>
      <c r="AB25" s="31"/>
      <c r="AC25" s="31"/>
      <c r="AD25" s="31"/>
      <c r="AE25" s="24"/>
      <c r="AF25" s="24"/>
      <c r="AG25" s="24"/>
      <c r="AH25" s="24"/>
      <c r="AI25" s="9">
        <v>241</v>
      </c>
      <c r="AJ25" s="30"/>
      <c r="AK25" s="30"/>
      <c r="AL25" s="29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4">
        <v>15792181.264141027</v>
      </c>
      <c r="BD25" s="34">
        <f t="shared" si="15"/>
        <v>222284.53457457013</v>
      </c>
      <c r="BE25" s="9">
        <f t="shared" si="13"/>
        <v>409.80333361379041</v>
      </c>
      <c r="BF25" s="33">
        <f t="shared" si="17"/>
        <v>1.427655805529298</v>
      </c>
      <c r="BG25" s="33">
        <f t="shared" si="14"/>
        <v>0.30453681772040397</v>
      </c>
      <c r="BH25" s="33">
        <f t="shared" si="16"/>
        <v>1.1231189878088941</v>
      </c>
      <c r="BI25" s="9">
        <v>18236.64</v>
      </c>
      <c r="BJ25" s="77"/>
      <c r="BK25" s="29"/>
      <c r="BL25" s="30"/>
      <c r="BM25" s="30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83"/>
      <c r="CA25" s="24"/>
      <c r="CB25" s="24"/>
      <c r="CC25" s="9">
        <v>244</v>
      </c>
      <c r="CD25" s="36">
        <v>8.8000000000000007</v>
      </c>
      <c r="CE25" s="33">
        <f t="shared" ref="CE25:CE60" si="19">(CC25-((1-(CD25/100))*CC25))+CE24</f>
        <v>39.485199999999978</v>
      </c>
      <c r="CF25" s="33">
        <f>CC25-CE25</f>
        <v>204.51480000000004</v>
      </c>
      <c r="CG25" s="9">
        <f t="shared" si="18"/>
        <v>48.573808736358856</v>
      </c>
      <c r="CH25" s="33">
        <f t="shared" ref="CH25:CH61" si="20">100-((B25/CG25)*100/(B24/CG24))</f>
        <v>8.782543717080614</v>
      </c>
      <c r="CI25" s="36">
        <f>(CC25*100/CC24)-100</f>
        <v>19.607843137254903</v>
      </c>
      <c r="CJ25" s="36">
        <f>(CF25*100/CF24)-100</f>
        <v>9.9619973030344227</v>
      </c>
      <c r="CK25" s="36">
        <f t="shared" ref="CK25:CK61" si="21">(B26*100/B25)-100</f>
        <v>0.24652273199086494</v>
      </c>
      <c r="CL25" s="36"/>
      <c r="CM25" s="36"/>
      <c r="CN25" s="33">
        <v>20.975000000000001</v>
      </c>
      <c r="CO25" s="33">
        <f>(CI25)+(4)</f>
        <v>23.607843137254903</v>
      </c>
      <c r="CP25" s="33">
        <f t="shared" si="4"/>
        <v>303.76</v>
      </c>
      <c r="CQ25" s="33">
        <f t="shared" si="7"/>
        <v>353.76</v>
      </c>
      <c r="CR25" s="33">
        <f t="shared" si="8"/>
        <v>253.76</v>
      </c>
      <c r="CS25" s="33">
        <f t="shared" si="9"/>
        <v>403.76</v>
      </c>
      <c r="CT25" s="33">
        <f t="shared" si="10"/>
        <v>203.76</v>
      </c>
      <c r="CU25" s="33">
        <f t="shared" si="5"/>
        <v>288.27499999999998</v>
      </c>
    </row>
    <row r="26" spans="1:99" ht="16" x14ac:dyDescent="0.4">
      <c r="A26" s="18">
        <v>1987</v>
      </c>
      <c r="B26" s="11">
        <v>38631000</v>
      </c>
      <c r="C26" s="7">
        <v>12668258</v>
      </c>
      <c r="D26" s="9">
        <f t="shared" si="11"/>
        <v>487240.69230769231</v>
      </c>
      <c r="E26" s="9">
        <f t="shared" si="12"/>
        <v>243620.34615384616</v>
      </c>
      <c r="F26" s="9">
        <f t="shared" si="3"/>
        <v>365430.51923076925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30"/>
      <c r="S26" s="24"/>
      <c r="T26" s="24"/>
      <c r="U26" s="24"/>
      <c r="V26" s="24"/>
      <c r="W26" s="24"/>
      <c r="X26" s="24"/>
      <c r="Y26" s="24"/>
      <c r="Z26" s="31"/>
      <c r="AA26" s="31"/>
      <c r="AB26" s="31"/>
      <c r="AC26" s="31"/>
      <c r="AD26" s="31"/>
      <c r="AE26" s="24"/>
      <c r="AF26" s="24"/>
      <c r="AG26" s="24"/>
      <c r="AH26" s="24"/>
      <c r="AI26" s="9">
        <v>253</v>
      </c>
      <c r="AJ26" s="30"/>
      <c r="AK26" s="30"/>
      <c r="AL26" s="29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4">
        <v>16038832.867361942</v>
      </c>
      <c r="BD26" s="34">
        <f>BC26-BC25</f>
        <v>246651.60322091542</v>
      </c>
      <c r="BE26" s="9">
        <f t="shared" si="13"/>
        <v>415.18036984188717</v>
      </c>
      <c r="BF26" s="33">
        <f t="shared" si="17"/>
        <v>1.5618589927218096</v>
      </c>
      <c r="BG26" s="33">
        <f t="shared" si="14"/>
        <v>0.24652273199086494</v>
      </c>
      <c r="BH26" s="33">
        <f t="shared" si="16"/>
        <v>1.3153362607309447</v>
      </c>
      <c r="BI26" s="9">
        <v>20235.759999999998</v>
      </c>
      <c r="BJ26" s="77"/>
      <c r="BK26" s="29"/>
      <c r="BL26" s="30"/>
      <c r="BM26" s="30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9">
        <v>308</v>
      </c>
      <c r="CD26" s="36">
        <v>5.26</v>
      </c>
      <c r="CE26" s="33">
        <f t="shared" si="19"/>
        <v>55.685999999999993</v>
      </c>
      <c r="CF26" s="33">
        <f t="shared" ref="CF26:CF60" si="22">CC26-CE26</f>
        <v>252.31400000000002</v>
      </c>
      <c r="CG26" s="9">
        <f t="shared" si="18"/>
        <v>59.92647953842777</v>
      </c>
      <c r="CH26" s="33">
        <f t="shared" si="20"/>
        <v>18.744510620779792</v>
      </c>
      <c r="CI26" s="36">
        <f t="shared" ref="CI26:CI61" si="23">(CC26*100/CC25)-100</f>
        <v>26.229508196721312</v>
      </c>
      <c r="CJ26" s="36">
        <f t="shared" ref="CJ26:CJ61" si="24">(CF26*100/CF25)-100</f>
        <v>23.372000461580271</v>
      </c>
      <c r="CK26" s="36">
        <f t="shared" si="21"/>
        <v>0.22003054541688982</v>
      </c>
      <c r="CL26" s="36"/>
      <c r="CM26" s="36"/>
      <c r="CN26" s="33">
        <v>20.2225</v>
      </c>
      <c r="CO26" s="33">
        <f t="shared" ref="CO26:CO45" si="25">CI26+4</f>
        <v>30.229508196721312</v>
      </c>
      <c r="CP26" s="33">
        <f t="shared" si="4"/>
        <v>309.44</v>
      </c>
      <c r="CQ26" s="33">
        <f t="shared" si="7"/>
        <v>359.44</v>
      </c>
      <c r="CR26" s="33">
        <f t="shared" si="8"/>
        <v>259.44</v>
      </c>
      <c r="CS26" s="33">
        <f t="shared" si="9"/>
        <v>409.44</v>
      </c>
      <c r="CT26" s="33">
        <f t="shared" si="10"/>
        <v>209.44</v>
      </c>
      <c r="CU26" s="33">
        <f t="shared" si="5"/>
        <v>292.60000000000002</v>
      </c>
    </row>
    <row r="27" spans="1:99" ht="16" x14ac:dyDescent="0.4">
      <c r="A27" s="18">
        <v>1988</v>
      </c>
      <c r="B27" s="11">
        <v>38716000</v>
      </c>
      <c r="C27" s="7">
        <v>12781018</v>
      </c>
      <c r="D27" s="9">
        <f t="shared" si="11"/>
        <v>491577.61538461538</v>
      </c>
      <c r="E27" s="9">
        <f t="shared" si="12"/>
        <v>245788.80769230769</v>
      </c>
      <c r="F27" s="9">
        <f t="shared" si="3"/>
        <v>368683.2115384615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30"/>
      <c r="S27" s="24"/>
      <c r="T27" s="24"/>
      <c r="U27" s="24"/>
      <c r="V27" s="24"/>
      <c r="W27" s="24"/>
      <c r="X27" s="24"/>
      <c r="Y27" s="24"/>
      <c r="Z27" s="31"/>
      <c r="AA27" s="31"/>
      <c r="AB27" s="31"/>
      <c r="AC27" s="31"/>
      <c r="AD27" s="31"/>
      <c r="AE27" s="24"/>
      <c r="AF27" s="24"/>
      <c r="AG27" s="24"/>
      <c r="AH27" s="24"/>
      <c r="AI27" s="9">
        <v>264</v>
      </c>
      <c r="AJ27" s="30"/>
      <c r="AK27" s="30"/>
      <c r="AL27" s="29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4">
        <v>16265162.6075099</v>
      </c>
      <c r="BD27" s="34">
        <f t="shared" si="15"/>
        <v>226329.74014795758</v>
      </c>
      <c r="BE27" s="9">
        <f t="shared" si="13"/>
        <v>420.1147486183981</v>
      </c>
      <c r="BF27" s="33">
        <f t="shared" si="17"/>
        <v>1.4111359724218033</v>
      </c>
      <c r="BG27" s="33">
        <f t="shared" si="14"/>
        <v>0.22003054541688982</v>
      </c>
      <c r="BH27" s="33">
        <f t="shared" si="16"/>
        <v>1.1911054270049135</v>
      </c>
      <c r="BI27" s="9">
        <v>22670.61</v>
      </c>
      <c r="BJ27" s="77"/>
      <c r="BK27" s="29"/>
      <c r="BL27" s="30"/>
      <c r="BM27" s="30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9">
        <v>403.75</v>
      </c>
      <c r="CD27" s="36">
        <v>4.83</v>
      </c>
      <c r="CE27" s="33">
        <f t="shared" si="19"/>
        <v>75.187124999999995</v>
      </c>
      <c r="CF27" s="33">
        <f t="shared" si="22"/>
        <v>328.56287500000002</v>
      </c>
      <c r="CG27" s="9">
        <f t="shared" si="18"/>
        <v>78.036162899302056</v>
      </c>
      <c r="CH27" s="33">
        <f t="shared" si="20"/>
        <v>23.037814947789457</v>
      </c>
      <c r="CI27" s="36">
        <f t="shared" si="23"/>
        <v>31.087662337662351</v>
      </c>
      <c r="CJ27" s="36">
        <f t="shared" si="24"/>
        <v>30.219835205339365</v>
      </c>
      <c r="CK27" s="36">
        <f t="shared" si="21"/>
        <v>0.19630127079243209</v>
      </c>
      <c r="CL27" s="36"/>
      <c r="CM27" s="36"/>
      <c r="CN27" s="33">
        <v>19.237499999999997</v>
      </c>
      <c r="CO27" s="33">
        <f t="shared" si="25"/>
        <v>35.087662337662351</v>
      </c>
      <c r="CP27" s="33">
        <f t="shared" si="4"/>
        <v>315</v>
      </c>
      <c r="CQ27" s="33">
        <f t="shared" si="7"/>
        <v>365</v>
      </c>
      <c r="CR27" s="33">
        <f t="shared" si="8"/>
        <v>265</v>
      </c>
      <c r="CS27" s="33">
        <f t="shared" si="9"/>
        <v>415</v>
      </c>
      <c r="CT27" s="33">
        <f t="shared" si="10"/>
        <v>215</v>
      </c>
      <c r="CU27" s="33">
        <f t="shared" si="5"/>
        <v>296.875</v>
      </c>
    </row>
    <row r="28" spans="1:99" ht="16" x14ac:dyDescent="0.4">
      <c r="A28" s="18">
        <v>1989</v>
      </c>
      <c r="B28" s="11">
        <v>38792000</v>
      </c>
      <c r="C28" s="7">
        <v>12966912</v>
      </c>
      <c r="D28" s="9">
        <f t="shared" si="11"/>
        <v>498727.38461538462</v>
      </c>
      <c r="E28" s="9">
        <f t="shared" si="12"/>
        <v>249363.69230769231</v>
      </c>
      <c r="F28" s="9">
        <f t="shared" si="3"/>
        <v>374045.5384615385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30"/>
      <c r="S28" s="24"/>
      <c r="T28" s="24"/>
      <c r="U28" s="24"/>
      <c r="V28" s="24"/>
      <c r="W28" s="24"/>
      <c r="X28" s="24"/>
      <c r="Y28" s="24"/>
      <c r="Z28" s="31"/>
      <c r="AA28" s="31"/>
      <c r="AB28" s="31"/>
      <c r="AC28" s="31"/>
      <c r="AD28" s="31"/>
      <c r="AE28" s="24"/>
      <c r="AF28" s="24"/>
      <c r="AG28" s="24"/>
      <c r="AH28" s="24"/>
      <c r="AI28" s="9">
        <v>280</v>
      </c>
      <c r="AJ28" s="30"/>
      <c r="AK28" s="30"/>
      <c r="AL28" s="29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4">
        <v>16552406.6977991</v>
      </c>
      <c r="BD28" s="34">
        <f t="shared" si="15"/>
        <v>287244.09028919972</v>
      </c>
      <c r="BE28" s="9">
        <f t="shared" si="13"/>
        <v>426.6963986852727</v>
      </c>
      <c r="BF28" s="33">
        <f t="shared" si="17"/>
        <v>1.7660081071465754</v>
      </c>
      <c r="BG28" s="33">
        <f t="shared" si="14"/>
        <v>0.19630127079243209</v>
      </c>
      <c r="BH28" s="33">
        <f t="shared" si="16"/>
        <v>1.5697068363541433</v>
      </c>
      <c r="BI28" s="9">
        <v>26027.3</v>
      </c>
      <c r="BJ28" s="77"/>
      <c r="BK28" s="29"/>
      <c r="BL28" s="30"/>
      <c r="BM28" s="30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9">
        <v>502.5</v>
      </c>
      <c r="CD28" s="36">
        <v>6.79</v>
      </c>
      <c r="CE28" s="33">
        <f t="shared" si="19"/>
        <v>109.30687499999995</v>
      </c>
      <c r="CF28" s="33">
        <f t="shared" si="22"/>
        <v>393.19312500000007</v>
      </c>
      <c r="CG28" s="9">
        <f t="shared" si="18"/>
        <v>93.386335121963015</v>
      </c>
      <c r="CH28" s="33">
        <f t="shared" si="20"/>
        <v>16.273244070842509</v>
      </c>
      <c r="CI28" s="36">
        <f t="shared" si="23"/>
        <v>24.45820433436532</v>
      </c>
      <c r="CJ28" s="36">
        <f t="shared" si="24"/>
        <v>19.670588163681018</v>
      </c>
      <c r="CK28" s="36">
        <f t="shared" si="21"/>
        <v>0.15209321509590268</v>
      </c>
      <c r="CL28" s="36"/>
      <c r="CM28" s="36"/>
      <c r="CN28" s="33">
        <v>17.240000000000002</v>
      </c>
      <c r="CO28" s="33">
        <f t="shared" si="25"/>
        <v>28.45820433436532</v>
      </c>
      <c r="CP28" s="33">
        <f t="shared" si="4"/>
        <v>320.44</v>
      </c>
      <c r="CQ28" s="33">
        <f t="shared" si="7"/>
        <v>370.44</v>
      </c>
      <c r="CR28" s="33">
        <f t="shared" si="8"/>
        <v>270.44</v>
      </c>
      <c r="CS28" s="33">
        <f t="shared" si="9"/>
        <v>420.44</v>
      </c>
      <c r="CT28" s="33">
        <f t="shared" si="10"/>
        <v>220.44</v>
      </c>
      <c r="CU28" s="33">
        <f t="shared" si="5"/>
        <v>301.10000000000002</v>
      </c>
    </row>
    <row r="29" spans="1:99" ht="16" x14ac:dyDescent="0.4">
      <c r="A29" s="18">
        <v>1990</v>
      </c>
      <c r="B29" s="11">
        <v>38851000</v>
      </c>
      <c r="C29" s="7">
        <v>13222820</v>
      </c>
      <c r="D29" s="9">
        <f t="shared" si="11"/>
        <v>508570</v>
      </c>
      <c r="E29" s="9">
        <f t="shared" si="12"/>
        <v>254285</v>
      </c>
      <c r="F29" s="9">
        <f t="shared" si="3"/>
        <v>381427.5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30"/>
      <c r="S29" s="24"/>
      <c r="T29" s="24"/>
      <c r="U29" s="24"/>
      <c r="V29" s="24"/>
      <c r="W29" s="24"/>
      <c r="X29" s="24"/>
      <c r="Y29" s="24"/>
      <c r="Z29" s="31"/>
      <c r="AA29" s="31"/>
      <c r="AB29" s="31"/>
      <c r="AC29" s="31"/>
      <c r="AD29" s="31"/>
      <c r="AE29" s="24"/>
      <c r="AF29" s="24"/>
      <c r="AG29" s="24"/>
      <c r="AH29" s="24"/>
      <c r="AI29" s="9">
        <v>300</v>
      </c>
      <c r="AJ29" s="30"/>
      <c r="AK29" s="30"/>
      <c r="AL29" s="29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34">
        <v>16880663.853062801</v>
      </c>
      <c r="BD29" s="34">
        <f t="shared" si="15"/>
        <v>328257.15526370145</v>
      </c>
      <c r="BE29" s="9">
        <f t="shared" si="13"/>
        <v>434.4975381087437</v>
      </c>
      <c r="BF29" s="33">
        <f t="shared" si="17"/>
        <v>1.9831385324005453</v>
      </c>
      <c r="BG29" s="33">
        <f t="shared" si="14"/>
        <v>0.15209321509590268</v>
      </c>
      <c r="BH29" s="33">
        <f>BF29-BG29</f>
        <v>1.8310453173046426</v>
      </c>
      <c r="BI29" s="9">
        <v>28571.669999999995</v>
      </c>
      <c r="BJ29" s="77"/>
      <c r="BK29" s="29"/>
      <c r="BL29" s="30"/>
      <c r="BM29" s="30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9">
        <v>572.5</v>
      </c>
      <c r="CD29" s="36">
        <v>6.72</v>
      </c>
      <c r="CE29" s="33">
        <f t="shared" si="19"/>
        <v>147.77887499999991</v>
      </c>
      <c r="CF29" s="33">
        <f>CC29-CE29</f>
        <v>424.72112500000009</v>
      </c>
      <c r="CG29" s="9">
        <f t="shared" si="18"/>
        <v>100.87447310434827</v>
      </c>
      <c r="CH29" s="33">
        <f t="shared" si="20"/>
        <v>7.282420890802527</v>
      </c>
      <c r="CI29" s="36">
        <f t="shared" si="23"/>
        <v>13.930348258706474</v>
      </c>
      <c r="CJ29" s="36">
        <f t="shared" si="24"/>
        <v>8.0184514925076655</v>
      </c>
      <c r="CK29" s="36">
        <f t="shared" si="21"/>
        <v>0.2290803325525701</v>
      </c>
      <c r="CL29" s="36"/>
      <c r="CM29" s="36"/>
      <c r="CN29" s="33">
        <v>16.237500000000001</v>
      </c>
      <c r="CO29" s="33">
        <f t="shared" si="25"/>
        <v>17.930348258706474</v>
      </c>
      <c r="CP29" s="33">
        <f t="shared" si="4"/>
        <v>325.76</v>
      </c>
      <c r="CQ29" s="33">
        <f t="shared" si="7"/>
        <v>375.76</v>
      </c>
      <c r="CR29" s="33">
        <f t="shared" si="8"/>
        <v>275.76</v>
      </c>
      <c r="CS29" s="33">
        <f t="shared" si="9"/>
        <v>425.76</v>
      </c>
      <c r="CT29" s="33">
        <f t="shared" si="10"/>
        <v>225.76</v>
      </c>
      <c r="CU29" s="33">
        <f t="shared" si="5"/>
        <v>305.27499999999998</v>
      </c>
    </row>
    <row r="30" spans="1:99" ht="16" x14ac:dyDescent="0.4">
      <c r="A30" s="18">
        <v>1991</v>
      </c>
      <c r="B30" s="11">
        <v>38940000</v>
      </c>
      <c r="C30" s="7">
        <v>13511072</v>
      </c>
      <c r="D30" s="9">
        <f t="shared" si="11"/>
        <v>519656.61538461538</v>
      </c>
      <c r="E30" s="9">
        <f t="shared" si="12"/>
        <v>259828.30769230769</v>
      </c>
      <c r="F30" s="9">
        <f t="shared" si="3"/>
        <v>389742.4615384615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30"/>
      <c r="S30" s="24"/>
      <c r="T30" s="24"/>
      <c r="U30" s="24"/>
      <c r="V30" s="24"/>
      <c r="W30" s="24"/>
      <c r="X30" s="24"/>
      <c r="Y30" s="24"/>
      <c r="Z30" s="31"/>
      <c r="AA30" s="31"/>
      <c r="AB30" s="31"/>
      <c r="AC30" s="31"/>
      <c r="AD30" s="31"/>
      <c r="AE30" s="24"/>
      <c r="AF30" s="24"/>
      <c r="AG30" s="24"/>
      <c r="AH30" s="24"/>
      <c r="AI30" s="9">
        <v>320</v>
      </c>
      <c r="AJ30" s="30"/>
      <c r="AK30" s="30"/>
      <c r="AL30" s="76">
        <v>81900</v>
      </c>
      <c r="AM30" s="24">
        <v>55104</v>
      </c>
      <c r="AN30" s="24">
        <v>26124</v>
      </c>
      <c r="AO30" s="24">
        <v>672</v>
      </c>
      <c r="AP30" s="24">
        <v>61098</v>
      </c>
      <c r="AQ30" s="91">
        <v>162.39090328286042</v>
      </c>
      <c r="AR30" s="24">
        <v>2692233599.9999995</v>
      </c>
      <c r="AS30" s="76">
        <f>AR30/AP30</f>
        <v>44064.185407050958</v>
      </c>
      <c r="AT30" s="76">
        <f>AS30/AQ30</f>
        <v>271.34639019956558</v>
      </c>
      <c r="AU30" s="24">
        <v>176142</v>
      </c>
      <c r="AV30" s="91">
        <v>111.14777423345399</v>
      </c>
      <c r="AW30" s="24">
        <v>5773451400</v>
      </c>
      <c r="AX30" s="88">
        <f t="shared" ref="AX30:AX61" si="26">AW30/AU30</f>
        <v>32777.255850393434</v>
      </c>
      <c r="AY30" s="88">
        <f>AX30/AV30</f>
        <v>294.89799572187854</v>
      </c>
      <c r="AZ30" s="96">
        <f>CC30/((AY30+AT30)/2)</f>
        <v>2.056311778005929</v>
      </c>
      <c r="BA30" s="94"/>
      <c r="BB30" s="88"/>
      <c r="BC30" s="25">
        <v>17206000</v>
      </c>
      <c r="BD30" s="34">
        <f t="shared" si="15"/>
        <v>325336.14693719894</v>
      </c>
      <c r="BE30" s="9">
        <f t="shared" si="13"/>
        <v>441.85927067283001</v>
      </c>
      <c r="BF30" s="33">
        <f>(BC30*100/BC29)-100</f>
        <v>1.9272710467377152</v>
      </c>
      <c r="BG30" s="33">
        <f t="shared" si="14"/>
        <v>0.2290803325525701</v>
      </c>
      <c r="BH30" s="33">
        <f t="shared" si="16"/>
        <v>1.6981907141851451</v>
      </c>
      <c r="BI30" s="9">
        <v>28797.27</v>
      </c>
      <c r="BJ30" s="77"/>
      <c r="BK30" s="29"/>
      <c r="BL30" s="30"/>
      <c r="BM30" s="30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9">
        <v>582.1875</v>
      </c>
      <c r="CD30" s="36">
        <v>5.94</v>
      </c>
      <c r="CE30" s="33">
        <f t="shared" si="19"/>
        <v>182.36081249999989</v>
      </c>
      <c r="CF30" s="33">
        <f t="shared" si="22"/>
        <v>399.82668750000011</v>
      </c>
      <c r="CG30" s="9">
        <f t="shared" si="18"/>
        <v>94.961856287745078</v>
      </c>
      <c r="CH30" s="33">
        <f t="shared" si="20"/>
        <v>-6.4696506947328203</v>
      </c>
      <c r="CI30" s="36">
        <f t="shared" si="23"/>
        <v>1.692139737991269</v>
      </c>
      <c r="CJ30" s="36">
        <f t="shared" si="24"/>
        <v>-5.8613607929202942</v>
      </c>
      <c r="CK30" s="36">
        <f t="shared" si="21"/>
        <v>0.32871083718541172</v>
      </c>
      <c r="CL30" s="36"/>
      <c r="CM30" s="36"/>
      <c r="CN30" s="33">
        <v>16.3125</v>
      </c>
      <c r="CO30" s="33">
        <f t="shared" si="25"/>
        <v>5.692139737991269</v>
      </c>
      <c r="CP30" s="33">
        <f t="shared" si="4"/>
        <v>330.96000000000004</v>
      </c>
      <c r="CQ30" s="33">
        <f t="shared" si="7"/>
        <v>380.96000000000004</v>
      </c>
      <c r="CR30" s="33">
        <f t="shared" si="8"/>
        <v>280.96000000000004</v>
      </c>
      <c r="CS30" s="33">
        <f t="shared" si="9"/>
        <v>430.96000000000004</v>
      </c>
      <c r="CT30" s="33">
        <f t="shared" si="10"/>
        <v>230.96000000000004</v>
      </c>
      <c r="CU30" s="33">
        <f t="shared" si="5"/>
        <v>309.39999999999998</v>
      </c>
    </row>
    <row r="31" spans="1:99" ht="16" x14ac:dyDescent="0.4">
      <c r="A31" s="18">
        <v>1992</v>
      </c>
      <c r="B31" s="11">
        <v>39068000</v>
      </c>
      <c r="C31" s="7">
        <v>13710030</v>
      </c>
      <c r="D31" s="9">
        <f t="shared" si="11"/>
        <v>527308.84615384613</v>
      </c>
      <c r="E31" s="9">
        <f t="shared" si="12"/>
        <v>263654.42307692306</v>
      </c>
      <c r="F31" s="9">
        <f t="shared" si="3"/>
        <v>395481.63461538462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30"/>
      <c r="S31" s="24"/>
      <c r="T31" s="24"/>
      <c r="U31" s="24"/>
      <c r="V31" s="24"/>
      <c r="W31" s="24"/>
      <c r="X31" s="24"/>
      <c r="Y31" s="24"/>
      <c r="Z31" s="31"/>
      <c r="AA31" s="31"/>
      <c r="AB31" s="31"/>
      <c r="AC31" s="31"/>
      <c r="AD31" s="31"/>
      <c r="AE31" s="24"/>
      <c r="AF31" s="24"/>
      <c r="AG31" s="24"/>
      <c r="AH31" s="24"/>
      <c r="AI31" s="9">
        <v>338</v>
      </c>
      <c r="AJ31" s="30"/>
      <c r="AK31" s="30"/>
      <c r="AL31" s="5">
        <v>81380</v>
      </c>
      <c r="AM31" s="24">
        <v>52825</v>
      </c>
      <c r="AN31" s="24">
        <v>27296</v>
      </c>
      <c r="AO31" s="24">
        <v>1259</v>
      </c>
      <c r="AP31" s="24">
        <v>66137</v>
      </c>
      <c r="AQ31" s="91">
        <v>156.49320362586838</v>
      </c>
      <c r="AR31" s="24">
        <v>2929328500</v>
      </c>
      <c r="AS31" s="76">
        <f t="shared" ref="AS31:AS61" si="27">AR31/AP31</f>
        <v>44291.82605803106</v>
      </c>
      <c r="AT31" s="76">
        <f t="shared" ref="AT31:AT61" si="28">AS31/AQ31</f>
        <v>283.02715409878419</v>
      </c>
      <c r="AU31" s="24">
        <v>152483</v>
      </c>
      <c r="AV31" s="91">
        <v>109.6253646284643</v>
      </c>
      <c r="AW31" s="24">
        <v>5082786000</v>
      </c>
      <c r="AX31" s="88">
        <f t="shared" si="26"/>
        <v>33333.460123423596</v>
      </c>
      <c r="AY31" s="88">
        <f t="shared" ref="AY31:AY61" si="29">AX31/AV31</f>
        <v>304.06703992634692</v>
      </c>
      <c r="AZ31" s="96">
        <f t="shared" ref="AZ31:AZ60" si="30">CC31/((AY31+AT31)/2)</f>
        <v>1.9641226429001941</v>
      </c>
      <c r="BA31" s="94">
        <f>((AT31+AY31)*100/(AT30+AY30))-100</f>
        <v>3.6821218226752706</v>
      </c>
      <c r="BB31" s="88"/>
      <c r="BC31" s="34">
        <v>17558891.149678409</v>
      </c>
      <c r="BD31" s="34">
        <f t="shared" si="15"/>
        <v>352891.1496784091</v>
      </c>
      <c r="BE31" s="9">
        <f t="shared" si="13"/>
        <v>449.44433166986812</v>
      </c>
      <c r="BF31" s="33">
        <f>(BC31*100/BC30)-100</f>
        <v>2.0509772734999956</v>
      </c>
      <c r="BG31" s="33">
        <f t="shared" si="14"/>
        <v>0.32871083718541172</v>
      </c>
      <c r="BH31" s="33">
        <f t="shared" si="16"/>
        <v>1.7222664363145839</v>
      </c>
      <c r="BI31" s="9">
        <v>26051.130000000005</v>
      </c>
      <c r="BJ31" s="77"/>
      <c r="BK31" s="29"/>
      <c r="BL31" s="30"/>
      <c r="BM31" s="30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9">
        <v>576.5625</v>
      </c>
      <c r="CD31" s="36">
        <v>5.93</v>
      </c>
      <c r="CE31" s="33">
        <f t="shared" si="19"/>
        <v>216.55096874999987</v>
      </c>
      <c r="CF31" s="33">
        <f t="shared" si="22"/>
        <v>360.01153125000013</v>
      </c>
      <c r="CG31" s="9">
        <f t="shared" si="18"/>
        <v>85.505456142152951</v>
      </c>
      <c r="CH31" s="33">
        <f t="shared" si="20"/>
        <v>-11.424475699143883</v>
      </c>
      <c r="CI31" s="36">
        <f t="shared" si="23"/>
        <v>-0.96618357487922424</v>
      </c>
      <c r="CJ31" s="36">
        <f t="shared" si="24"/>
        <v>-9.9581037221283424</v>
      </c>
      <c r="CK31" s="36">
        <f t="shared" si="21"/>
        <v>0.3122760315347648</v>
      </c>
      <c r="CL31" s="36"/>
      <c r="CM31" s="36"/>
      <c r="CN31" s="33">
        <v>18.352499999999999</v>
      </c>
      <c r="CO31" s="33">
        <f t="shared" si="25"/>
        <v>3.0338164251207758</v>
      </c>
      <c r="CP31" s="33">
        <f t="shared" si="4"/>
        <v>336.03999999999996</v>
      </c>
      <c r="CQ31" s="33">
        <f t="shared" si="7"/>
        <v>386.03999999999996</v>
      </c>
      <c r="CR31" s="33">
        <f t="shared" si="8"/>
        <v>286.03999999999996</v>
      </c>
      <c r="CS31" s="33">
        <f t="shared" si="9"/>
        <v>436.03999999999996</v>
      </c>
      <c r="CT31" s="33">
        <f t="shared" si="10"/>
        <v>236.03999999999996</v>
      </c>
      <c r="CU31" s="33">
        <f t="shared" si="5"/>
        <v>313.47500000000002</v>
      </c>
    </row>
    <row r="32" spans="1:99" ht="16" x14ac:dyDescent="0.4">
      <c r="A32" s="18">
        <v>1993</v>
      </c>
      <c r="B32" s="11">
        <v>39190000</v>
      </c>
      <c r="C32" s="7">
        <v>14031422</v>
      </c>
      <c r="D32" s="9">
        <f t="shared" si="11"/>
        <v>539670.07692307688</v>
      </c>
      <c r="E32" s="9">
        <f t="shared" si="12"/>
        <v>269835.03846153844</v>
      </c>
      <c r="F32" s="9">
        <f t="shared" si="3"/>
        <v>404752.55769230763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30"/>
      <c r="S32" s="24"/>
      <c r="T32" s="24"/>
      <c r="U32" s="24"/>
      <c r="V32" s="24"/>
      <c r="W32" s="24"/>
      <c r="X32" s="24"/>
      <c r="Y32" s="24"/>
      <c r="Z32" s="31"/>
      <c r="AA32" s="31"/>
      <c r="AB32" s="31"/>
      <c r="AC32" s="31"/>
      <c r="AD32" s="31"/>
      <c r="AE32" s="24"/>
      <c r="AF32" s="24"/>
      <c r="AG32" s="24"/>
      <c r="AH32" s="24"/>
      <c r="AI32" s="9">
        <v>351</v>
      </c>
      <c r="AJ32" s="30"/>
      <c r="AK32" s="30"/>
      <c r="AL32" s="5">
        <v>74158</v>
      </c>
      <c r="AM32" s="24">
        <v>48588</v>
      </c>
      <c r="AN32" s="24">
        <v>24533</v>
      </c>
      <c r="AO32" s="24">
        <v>1037</v>
      </c>
      <c r="AP32" s="24">
        <v>66788</v>
      </c>
      <c r="AQ32" s="91">
        <v>148.96771219272443</v>
      </c>
      <c r="AR32" s="24">
        <v>2966748399.9999995</v>
      </c>
      <c r="AS32" s="76">
        <f t="shared" si="27"/>
        <v>44420.380906749706</v>
      </c>
      <c r="AT32" s="76">
        <f t="shared" si="28"/>
        <v>298.18797813905871</v>
      </c>
      <c r="AU32" s="24">
        <v>147981</v>
      </c>
      <c r="AV32" s="91">
        <v>108.07798596309799</v>
      </c>
      <c r="AW32" s="24">
        <v>5170784200</v>
      </c>
      <c r="AX32" s="88">
        <f t="shared" si="26"/>
        <v>34942.21690622445</v>
      </c>
      <c r="AY32" s="88">
        <f t="shared" si="29"/>
        <v>323.3055889675357</v>
      </c>
      <c r="AZ32" s="96">
        <f t="shared" si="30"/>
        <v>1.8453529701672613</v>
      </c>
      <c r="BA32" s="94">
        <f t="shared" ref="BA32:BA61" si="31">((AT32+AY32)*100/(AT31+AY31))-100</f>
        <v>5.8592596267424</v>
      </c>
      <c r="BB32" s="88"/>
      <c r="BC32" s="34">
        <v>17865724.212892946</v>
      </c>
      <c r="BD32" s="34">
        <f t="shared" si="15"/>
        <v>306833.06321453676</v>
      </c>
      <c r="BE32" s="9">
        <f t="shared" si="13"/>
        <v>455.87456526902133</v>
      </c>
      <c r="BF32" s="33">
        <f t="shared" si="17"/>
        <v>1.7474512518984113</v>
      </c>
      <c r="BG32" s="33">
        <f t="shared" si="14"/>
        <v>0.3122760315347648</v>
      </c>
      <c r="BH32" s="33">
        <f t="shared" si="16"/>
        <v>1.4351752203636465</v>
      </c>
      <c r="BI32" s="9">
        <v>22651.03</v>
      </c>
      <c r="BJ32" s="77"/>
      <c r="BK32" s="29"/>
      <c r="BL32" s="30"/>
      <c r="BM32" s="30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9">
        <v>573.4375</v>
      </c>
      <c r="CD32" s="36">
        <v>4.5699999999999994</v>
      </c>
      <c r="CE32" s="33">
        <f t="shared" si="19"/>
        <v>242.75706249999979</v>
      </c>
      <c r="CF32" s="33">
        <f t="shared" si="22"/>
        <v>330.68043750000021</v>
      </c>
      <c r="CG32" s="9">
        <f t="shared" si="18"/>
        <v>78.53909997702111</v>
      </c>
      <c r="CH32" s="33">
        <f t="shared" si="20"/>
        <v>-9.2098957238300159</v>
      </c>
      <c r="CI32" s="36">
        <f t="shared" si="23"/>
        <v>-0.5420054200541955</v>
      </c>
      <c r="CJ32" s="36">
        <f t="shared" si="24"/>
        <v>-8.1472650745822222</v>
      </c>
      <c r="CK32" s="36">
        <f t="shared" si="21"/>
        <v>0.26792549119673481</v>
      </c>
      <c r="CL32" s="36"/>
      <c r="CM32" s="36"/>
      <c r="CN32" s="33">
        <v>22.64</v>
      </c>
      <c r="CO32" s="33">
        <f t="shared" si="25"/>
        <v>3.4579945799458045</v>
      </c>
      <c r="CP32" s="33">
        <f t="shared" si="4"/>
        <v>341</v>
      </c>
      <c r="CQ32" s="33">
        <f t="shared" si="7"/>
        <v>391</v>
      </c>
      <c r="CR32" s="33">
        <f t="shared" si="8"/>
        <v>291</v>
      </c>
      <c r="CS32" s="33">
        <f t="shared" si="9"/>
        <v>441</v>
      </c>
      <c r="CT32" s="33">
        <f t="shared" si="10"/>
        <v>241</v>
      </c>
      <c r="CU32" s="33">
        <f t="shared" si="5"/>
        <v>317.5</v>
      </c>
    </row>
    <row r="33" spans="1:99" ht="16" x14ac:dyDescent="0.4">
      <c r="A33" s="18">
        <v>1994</v>
      </c>
      <c r="B33" s="11">
        <v>39295000</v>
      </c>
      <c r="C33" s="7">
        <v>14319606</v>
      </c>
      <c r="D33" s="9">
        <f t="shared" si="11"/>
        <v>550754.07692307688</v>
      </c>
      <c r="E33" s="9">
        <f t="shared" si="12"/>
        <v>275377.03846153844</v>
      </c>
      <c r="F33" s="9">
        <f t="shared" si="3"/>
        <v>413065.55769230763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30"/>
      <c r="S33" s="24"/>
      <c r="T33" s="24"/>
      <c r="U33" s="24"/>
      <c r="V33" s="24"/>
      <c r="W33" s="24"/>
      <c r="X33" s="24"/>
      <c r="Y33" s="24"/>
      <c r="Z33" s="31"/>
      <c r="AA33" s="31"/>
      <c r="AB33" s="31"/>
      <c r="AC33" s="31"/>
      <c r="AD33" s="31"/>
      <c r="AE33" s="24"/>
      <c r="AF33" s="24"/>
      <c r="AG33" s="24"/>
      <c r="AH33" s="24"/>
      <c r="AI33" s="9">
        <v>364</v>
      </c>
      <c r="AJ33" s="30"/>
      <c r="AK33" s="30"/>
      <c r="AL33" s="5">
        <v>85789</v>
      </c>
      <c r="AM33" s="24">
        <v>56532</v>
      </c>
      <c r="AN33" s="24">
        <v>28118</v>
      </c>
      <c r="AO33" s="24">
        <v>1139</v>
      </c>
      <c r="AP33" s="24">
        <v>86187</v>
      </c>
      <c r="AQ33" s="91">
        <v>148.88098640885858</v>
      </c>
      <c r="AR33" s="24">
        <v>4025289699.9999995</v>
      </c>
      <c r="AS33" s="76">
        <f t="shared" si="27"/>
        <v>46704.139835474023</v>
      </c>
      <c r="AT33" s="76">
        <f t="shared" si="28"/>
        <v>313.70117139884206</v>
      </c>
      <c r="AU33" s="24">
        <v>180702</v>
      </c>
      <c r="AV33" s="91">
        <v>107.31739484502098</v>
      </c>
      <c r="AW33" s="24">
        <v>6401262300</v>
      </c>
      <c r="AX33" s="88">
        <f t="shared" si="26"/>
        <v>35424.413122156919</v>
      </c>
      <c r="AY33" s="88">
        <f t="shared" si="29"/>
        <v>330.09013285603851</v>
      </c>
      <c r="AZ33" s="96">
        <f t="shared" si="30"/>
        <v>1.8358045412991306</v>
      </c>
      <c r="BA33" s="94">
        <f t="shared" si="31"/>
        <v>3.5877663629078</v>
      </c>
      <c r="BB33" s="88"/>
      <c r="BC33" s="34">
        <v>18191342.462421015</v>
      </c>
      <c r="BD33" s="34">
        <f t="shared" si="15"/>
        <v>325618.24952806905</v>
      </c>
      <c r="BE33" s="9">
        <f t="shared" si="13"/>
        <v>462.94293071436607</v>
      </c>
      <c r="BF33" s="33">
        <f t="shared" si="17"/>
        <v>1.8225863426968374</v>
      </c>
      <c r="BG33" s="33">
        <f t="shared" si="14"/>
        <v>0.26792549119673481</v>
      </c>
      <c r="BH33" s="33">
        <f t="shared" si="16"/>
        <v>1.5546608515001026</v>
      </c>
      <c r="BI33" s="9">
        <v>24037.79</v>
      </c>
      <c r="BJ33" s="77"/>
      <c r="BK33" s="29"/>
      <c r="BL33" s="30"/>
      <c r="BM33" s="30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9">
        <v>590.9375</v>
      </c>
      <c r="CD33" s="36">
        <v>4.72</v>
      </c>
      <c r="CE33" s="33">
        <f t="shared" si="19"/>
        <v>270.64931249999978</v>
      </c>
      <c r="CF33" s="33">
        <f t="shared" si="22"/>
        <v>320.28818750000022</v>
      </c>
      <c r="CG33" s="9">
        <f t="shared" si="18"/>
        <v>76.070862158337945</v>
      </c>
      <c r="CH33" s="33">
        <f t="shared" si="20"/>
        <v>-3.5212747852161499</v>
      </c>
      <c r="CI33" s="36">
        <f t="shared" si="23"/>
        <v>3.0517711171662114</v>
      </c>
      <c r="CJ33" s="36">
        <f t="shared" si="24"/>
        <v>-3.1426866610456869</v>
      </c>
      <c r="CK33" s="36">
        <f t="shared" si="21"/>
        <v>0.23412647919582241</v>
      </c>
      <c r="CL33" s="36"/>
      <c r="CM33" s="36"/>
      <c r="CN33" s="33">
        <v>24.1175</v>
      </c>
      <c r="CO33" s="33">
        <f t="shared" si="25"/>
        <v>7.0517711171662114</v>
      </c>
      <c r="CP33" s="33">
        <f t="shared" si="4"/>
        <v>345.84000000000003</v>
      </c>
      <c r="CQ33" s="33">
        <f t="shared" si="7"/>
        <v>395.84000000000003</v>
      </c>
      <c r="CR33" s="33">
        <f t="shared" si="8"/>
        <v>295.84000000000003</v>
      </c>
      <c r="CS33" s="33">
        <f t="shared" si="9"/>
        <v>445.84000000000003</v>
      </c>
      <c r="CT33" s="33">
        <f t="shared" si="10"/>
        <v>245.84000000000003</v>
      </c>
      <c r="CU33" s="33">
        <f t="shared" si="5"/>
        <v>321.47500000000002</v>
      </c>
    </row>
    <row r="34" spans="1:99" ht="16" x14ac:dyDescent="0.4">
      <c r="A34" s="18">
        <v>1995</v>
      </c>
      <c r="B34" s="11">
        <v>39387000</v>
      </c>
      <c r="C34" s="7">
        <v>14555126</v>
      </c>
      <c r="D34" s="9">
        <f t="shared" ref="D34:D41" si="32">C34/26</f>
        <v>559812.5384615385</v>
      </c>
      <c r="E34" s="9">
        <f t="shared" ref="E34:E41" si="33">D34/2</f>
        <v>279906.26923076925</v>
      </c>
      <c r="F34" s="9">
        <f t="shared" si="3"/>
        <v>419859.40384615387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>
        <v>403587</v>
      </c>
      <c r="S34" s="34">
        <f>R34/1.5</f>
        <v>269058</v>
      </c>
      <c r="T34" s="37">
        <v>17899907</v>
      </c>
      <c r="U34" s="37">
        <f t="shared" ref="U34:U40" si="34">T34*1000/R34</f>
        <v>44352.040576133521</v>
      </c>
      <c r="V34" s="25"/>
      <c r="W34" s="25"/>
      <c r="X34" s="36"/>
      <c r="Y34" s="35"/>
      <c r="Z34" s="36">
        <v>7.0563636363636366</v>
      </c>
      <c r="AA34" s="36"/>
      <c r="AB34" s="36"/>
      <c r="AC34" s="36"/>
      <c r="AD34" s="36"/>
      <c r="AE34" s="38"/>
      <c r="AF34" s="25"/>
      <c r="AG34" s="25"/>
      <c r="AH34" s="25"/>
      <c r="AI34" s="9">
        <v>376</v>
      </c>
      <c r="AJ34" s="30"/>
      <c r="AK34" s="30"/>
      <c r="AL34" s="5">
        <v>87673</v>
      </c>
      <c r="AM34" s="24">
        <v>57527</v>
      </c>
      <c r="AN34" s="24">
        <v>28991</v>
      </c>
      <c r="AO34" s="24">
        <v>1155</v>
      </c>
      <c r="AP34" s="24">
        <v>92749</v>
      </c>
      <c r="AQ34" s="91">
        <v>150.39587395661388</v>
      </c>
      <c r="AR34" s="24">
        <v>4421153500</v>
      </c>
      <c r="AS34" s="76">
        <f t="shared" si="27"/>
        <v>47667.937120615854</v>
      </c>
      <c r="AT34" s="76">
        <f t="shared" si="28"/>
        <v>316.94976641691028</v>
      </c>
      <c r="AU34" s="24">
        <v>214997</v>
      </c>
      <c r="AV34" s="91">
        <v>107.22267784571704</v>
      </c>
      <c r="AW34" s="24">
        <v>7875175899.999999</v>
      </c>
      <c r="AX34" s="88">
        <f t="shared" si="26"/>
        <v>36629.236221900763</v>
      </c>
      <c r="AY34" s="88">
        <f t="shared" si="29"/>
        <v>341.61836803410802</v>
      </c>
      <c r="AZ34" s="96">
        <f t="shared" si="30"/>
        <v>1.8629431577686668</v>
      </c>
      <c r="BA34" s="94">
        <f t="shared" si="31"/>
        <v>2.29528266357066</v>
      </c>
      <c r="BB34" s="88"/>
      <c r="BC34" s="34">
        <v>18536203.485439684</v>
      </c>
      <c r="BD34" s="34">
        <f>BC34-BC33</f>
        <v>344861.02301866934</v>
      </c>
      <c r="BE34" s="9">
        <f t="shared" si="13"/>
        <v>470.61729721582464</v>
      </c>
      <c r="BF34" s="33">
        <f t="shared" si="17"/>
        <v>1.8957425694726453</v>
      </c>
      <c r="BG34" s="33">
        <f t="shared" si="14"/>
        <v>0.23412647919582241</v>
      </c>
      <c r="BH34" s="33">
        <f t="shared" si="16"/>
        <v>1.6616160902768229</v>
      </c>
      <c r="BI34" s="9">
        <v>25458.329999999998</v>
      </c>
      <c r="BJ34" s="77"/>
      <c r="BK34" s="29"/>
      <c r="BL34" s="30"/>
      <c r="BM34" s="30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9">
        <v>613.4375</v>
      </c>
      <c r="CD34" s="36">
        <v>4.67</v>
      </c>
      <c r="CE34" s="33">
        <f t="shared" si="19"/>
        <v>299.29684374999971</v>
      </c>
      <c r="CF34" s="33">
        <f t="shared" si="22"/>
        <v>314.14065625000029</v>
      </c>
      <c r="CG34" s="9">
        <f t="shared" si="18"/>
        <v>74.610777083134167</v>
      </c>
      <c r="CH34" s="33">
        <f t="shared" si="20"/>
        <v>-2.1956440751765314</v>
      </c>
      <c r="CI34" s="36">
        <f t="shared" si="23"/>
        <v>3.8075092543627704</v>
      </c>
      <c r="CJ34" s="36">
        <f t="shared" si="24"/>
        <v>-1.9193749535330369</v>
      </c>
      <c r="CK34" s="36">
        <f t="shared" si="21"/>
        <v>0.23104069870770161</v>
      </c>
      <c r="CL34" s="36"/>
      <c r="CM34" s="36"/>
      <c r="CN34" s="33">
        <v>22.9</v>
      </c>
      <c r="CO34" s="33">
        <f t="shared" si="25"/>
        <v>7.8075092543627704</v>
      </c>
      <c r="CP34" s="33">
        <f t="shared" si="4"/>
        <v>350.56</v>
      </c>
      <c r="CQ34" s="33">
        <f t="shared" si="7"/>
        <v>400.56</v>
      </c>
      <c r="CR34" s="33">
        <f t="shared" si="8"/>
        <v>300.56</v>
      </c>
      <c r="CS34" s="33">
        <f t="shared" si="9"/>
        <v>450.56</v>
      </c>
      <c r="CT34" s="33">
        <f t="shared" si="10"/>
        <v>250.56</v>
      </c>
      <c r="CU34" s="33">
        <f t="shared" si="5"/>
        <v>325.39999999999998</v>
      </c>
    </row>
    <row r="35" spans="1:99" ht="16" x14ac:dyDescent="0.4">
      <c r="A35" s="18">
        <v>1996</v>
      </c>
      <c r="B35" s="11">
        <v>39478000</v>
      </c>
      <c r="C35" s="7">
        <v>14798908</v>
      </c>
      <c r="D35" s="9">
        <f t="shared" si="32"/>
        <v>569188.76923076925</v>
      </c>
      <c r="E35" s="9">
        <f t="shared" si="33"/>
        <v>284594.38461538462</v>
      </c>
      <c r="F35" s="9">
        <f t="shared" ref="F35:F66" si="35">E35*1.5</f>
        <v>426891.57692307694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>
        <v>412982</v>
      </c>
      <c r="S35" s="34">
        <f>R35/1.5</f>
        <v>275321.33333333331</v>
      </c>
      <c r="T35" s="37">
        <v>19566189</v>
      </c>
      <c r="U35" s="37">
        <f t="shared" si="34"/>
        <v>47377.825183664179</v>
      </c>
      <c r="V35" s="25"/>
      <c r="W35" s="25"/>
      <c r="X35" s="36"/>
      <c r="Y35" s="39">
        <f t="shared" ref="Y35:Y61" si="36">((U35*100/U34)-100)-CD35</f>
        <v>3.2621993130996452</v>
      </c>
      <c r="Z35" s="36">
        <v>5.0536363636363637</v>
      </c>
      <c r="AA35" s="36"/>
      <c r="AB35" s="36"/>
      <c r="AC35" s="36"/>
      <c r="AD35" s="36"/>
      <c r="AE35" s="38"/>
      <c r="AF35" s="25"/>
      <c r="AG35" s="25"/>
      <c r="AH35" s="25"/>
      <c r="AI35" s="9">
        <v>390</v>
      </c>
      <c r="AJ35" s="30"/>
      <c r="AK35" s="30"/>
      <c r="AL35" s="5">
        <v>89323</v>
      </c>
      <c r="AM35" s="24">
        <v>56928</v>
      </c>
      <c r="AN35" s="24">
        <v>31111</v>
      </c>
      <c r="AO35" s="24">
        <v>1284</v>
      </c>
      <c r="AP35" s="24">
        <v>88707</v>
      </c>
      <c r="AQ35" s="91">
        <v>146.29492017656852</v>
      </c>
      <c r="AR35" s="24">
        <v>4368693100</v>
      </c>
      <c r="AS35" s="76">
        <f t="shared" si="27"/>
        <v>49248.572265999304</v>
      </c>
      <c r="AT35" s="76">
        <f t="shared" si="28"/>
        <v>336.63897698265572</v>
      </c>
      <c r="AU35" s="24">
        <v>192120</v>
      </c>
      <c r="AV35" s="91">
        <v>106.04233083913887</v>
      </c>
      <c r="AW35" s="24">
        <v>7125463000</v>
      </c>
      <c r="AX35" s="88">
        <f t="shared" si="26"/>
        <v>37088.606079533623</v>
      </c>
      <c r="AY35" s="88">
        <f t="shared" si="29"/>
        <v>349.75283724944956</v>
      </c>
      <c r="AZ35" s="96">
        <f t="shared" si="30"/>
        <v>1.8183856131739111</v>
      </c>
      <c r="BA35" s="94">
        <f t="shared" si="31"/>
        <v>4.2248748953334569</v>
      </c>
      <c r="BB35" s="88"/>
      <c r="BC35" s="34">
        <v>18871157.299053606</v>
      </c>
      <c r="BD35" s="34">
        <f t="shared" si="15"/>
        <v>334953.8136139214</v>
      </c>
      <c r="BE35" s="9">
        <f t="shared" si="13"/>
        <v>478.0170550446731</v>
      </c>
      <c r="BF35" s="33">
        <f t="shared" si="17"/>
        <v>1.8070249060279764</v>
      </c>
      <c r="BG35" s="33">
        <f t="shared" si="14"/>
        <v>0.23104069870770161</v>
      </c>
      <c r="BH35" s="33">
        <f t="shared" si="16"/>
        <v>1.5759842073202748</v>
      </c>
      <c r="BI35" s="9">
        <v>24726.959999999999</v>
      </c>
      <c r="BJ35" s="77"/>
      <c r="BK35" s="29"/>
      <c r="BL35" s="30"/>
      <c r="BM35" s="30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9">
        <v>624.0625</v>
      </c>
      <c r="CD35" s="36">
        <v>3.56</v>
      </c>
      <c r="CE35" s="33">
        <f t="shared" si="19"/>
        <v>321.51346874999973</v>
      </c>
      <c r="CF35" s="33">
        <f t="shared" si="22"/>
        <v>302.54903125000027</v>
      </c>
      <c r="CG35" s="9">
        <f t="shared" si="18"/>
        <v>71.857678648724544</v>
      </c>
      <c r="CH35" s="33">
        <f t="shared" si="20"/>
        <v>-4.0712137521097844</v>
      </c>
      <c r="CI35" s="36">
        <f t="shared" si="23"/>
        <v>1.7320427916454406</v>
      </c>
      <c r="CJ35" s="36">
        <f t="shared" si="24"/>
        <v>-3.6899474071178986</v>
      </c>
      <c r="CK35" s="36">
        <f t="shared" si="21"/>
        <v>0.26343786412685688</v>
      </c>
      <c r="CL35" s="36"/>
      <c r="CM35" s="36">
        <v>2.33</v>
      </c>
      <c r="CN35" s="33">
        <v>22.08</v>
      </c>
      <c r="CO35" s="33">
        <f t="shared" si="25"/>
        <v>5.7320427916454406</v>
      </c>
      <c r="CP35" s="33">
        <f t="shared" ref="CP35:CP66" si="37">-0.06*((A35-1963)^2)+8.5*(A35-1963)+140</f>
        <v>355.15999999999997</v>
      </c>
      <c r="CQ35" s="33">
        <f t="shared" si="7"/>
        <v>405.15999999999997</v>
      </c>
      <c r="CR35" s="33">
        <f t="shared" si="8"/>
        <v>305.15999999999997</v>
      </c>
      <c r="CS35" s="33">
        <f t="shared" si="9"/>
        <v>455.15999999999997</v>
      </c>
      <c r="CT35" s="33">
        <f t="shared" si="10"/>
        <v>255.15999999999997</v>
      </c>
      <c r="CU35" s="33">
        <f t="shared" ref="CU35:CU66" si="38">-0.025*((A35-1963)^2)+5.5*(A35-1963)+175</f>
        <v>329.27499999999998</v>
      </c>
    </row>
    <row r="36" spans="1:99" ht="16" x14ac:dyDescent="0.4">
      <c r="A36" s="18">
        <v>1997</v>
      </c>
      <c r="B36" s="11">
        <v>39582000</v>
      </c>
      <c r="C36" s="7">
        <v>15027010</v>
      </c>
      <c r="D36" s="9">
        <f t="shared" si="32"/>
        <v>577961.92307692312</v>
      </c>
      <c r="E36" s="9">
        <f t="shared" si="33"/>
        <v>288980.96153846156</v>
      </c>
      <c r="F36" s="9">
        <f t="shared" si="35"/>
        <v>433471.44230769237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>
        <v>479237</v>
      </c>
      <c r="S36" s="34">
        <f t="shared" ref="S36:S41" si="39">R36/1.5</f>
        <v>319491.33333333331</v>
      </c>
      <c r="T36" s="37">
        <v>24338352</v>
      </c>
      <c r="U36" s="37">
        <f t="shared" si="34"/>
        <v>50785.627987822307</v>
      </c>
      <c r="V36" s="25"/>
      <c r="W36" s="25"/>
      <c r="X36" s="36"/>
      <c r="Y36" s="39">
        <f t="shared" si="36"/>
        <v>5.222822361405334</v>
      </c>
      <c r="Z36" s="36">
        <v>4.4345454545454537</v>
      </c>
      <c r="AA36" s="36"/>
      <c r="AB36" s="36"/>
      <c r="AC36" s="36"/>
      <c r="AD36" s="36"/>
      <c r="AE36" s="38"/>
      <c r="AF36" s="25"/>
      <c r="AG36" s="25"/>
      <c r="AH36" s="25"/>
      <c r="AI36" s="9">
        <v>400</v>
      </c>
      <c r="AJ36" s="30"/>
      <c r="AK36" s="30"/>
      <c r="AL36" s="5">
        <v>104790</v>
      </c>
      <c r="AM36" s="24">
        <v>66740</v>
      </c>
      <c r="AN36" s="24">
        <v>36487</v>
      </c>
      <c r="AO36" s="24">
        <v>1563</v>
      </c>
      <c r="AP36" s="24">
        <v>104094</v>
      </c>
      <c r="AQ36" s="91">
        <v>148.00938669993204</v>
      </c>
      <c r="AR36" s="24">
        <v>5435822699.999999</v>
      </c>
      <c r="AS36" s="76">
        <f t="shared" si="27"/>
        <v>52220.326819989612</v>
      </c>
      <c r="AT36" s="76">
        <f t="shared" si="28"/>
        <v>352.81766909729106</v>
      </c>
      <c r="AU36" s="24">
        <v>231524</v>
      </c>
      <c r="AV36" s="91">
        <v>103.8488448819956</v>
      </c>
      <c r="AW36" s="24">
        <v>8764069200</v>
      </c>
      <c r="AX36" s="88">
        <f t="shared" si="26"/>
        <v>37853.82595324891</v>
      </c>
      <c r="AY36" s="88">
        <f t="shared" si="29"/>
        <v>364.50887822837666</v>
      </c>
      <c r="AZ36" s="96">
        <f t="shared" si="30"/>
        <v>1.7913738238055303</v>
      </c>
      <c r="BA36" s="94">
        <f t="shared" si="31"/>
        <v>4.5068621816491685</v>
      </c>
      <c r="BB36" s="88"/>
      <c r="BC36" s="34">
        <v>19234119.565917771</v>
      </c>
      <c r="BD36" s="34">
        <f t="shared" si="15"/>
        <v>362962.26686416566</v>
      </c>
      <c r="BE36" s="9">
        <f t="shared" si="13"/>
        <v>485.93096776104721</v>
      </c>
      <c r="BF36" s="33">
        <f t="shared" si="17"/>
        <v>1.9233704701426433</v>
      </c>
      <c r="BG36" s="33">
        <f t="shared" si="14"/>
        <v>0.26343786412685688</v>
      </c>
      <c r="BH36" s="33">
        <f t="shared" si="16"/>
        <v>1.6599326060157864</v>
      </c>
      <c r="BI36" s="9">
        <v>26794.600000000002</v>
      </c>
      <c r="BJ36" s="77"/>
      <c r="BK36" s="29"/>
      <c r="BL36" s="30"/>
      <c r="BM36" s="30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9">
        <v>642.5</v>
      </c>
      <c r="CD36" s="36">
        <v>1.97</v>
      </c>
      <c r="CE36" s="33">
        <f t="shared" si="19"/>
        <v>334.17071874999971</v>
      </c>
      <c r="CF36" s="33">
        <f t="shared" si="22"/>
        <v>308.32928125000029</v>
      </c>
      <c r="CG36" s="9">
        <f t="shared" si="18"/>
        <v>73.230531654709139</v>
      </c>
      <c r="CH36" s="33">
        <f t="shared" si="20"/>
        <v>1.6162011191204186</v>
      </c>
      <c r="CI36" s="36">
        <f t="shared" si="23"/>
        <v>2.9544316474712105</v>
      </c>
      <c r="CJ36" s="36">
        <f t="shared" si="24"/>
        <v>1.9105167767745144</v>
      </c>
      <c r="CK36" s="36">
        <f t="shared" si="21"/>
        <v>0.35116972361174703</v>
      </c>
      <c r="CL36" s="36"/>
      <c r="CM36" s="36">
        <v>16.04</v>
      </c>
      <c r="CN36" s="33">
        <v>20.61</v>
      </c>
      <c r="CO36" s="33">
        <f t="shared" si="25"/>
        <v>6.9544316474712105</v>
      </c>
      <c r="CP36" s="33">
        <f t="shared" si="37"/>
        <v>359.64</v>
      </c>
      <c r="CQ36" s="33">
        <f t="shared" si="7"/>
        <v>409.64</v>
      </c>
      <c r="CR36" s="33">
        <f t="shared" si="8"/>
        <v>309.64</v>
      </c>
      <c r="CS36" s="33">
        <f t="shared" si="9"/>
        <v>459.64</v>
      </c>
      <c r="CT36" s="33">
        <f t="shared" si="10"/>
        <v>259.64</v>
      </c>
      <c r="CU36" s="33">
        <f t="shared" si="38"/>
        <v>333.1</v>
      </c>
    </row>
    <row r="37" spans="1:99" ht="16" x14ac:dyDescent="0.4">
      <c r="A37" s="18">
        <v>1998</v>
      </c>
      <c r="B37" s="11">
        <v>39721000</v>
      </c>
      <c r="C37" s="7">
        <v>15300398</v>
      </c>
      <c r="D37" s="9">
        <f t="shared" si="32"/>
        <v>588476.84615384613</v>
      </c>
      <c r="E37" s="9">
        <f t="shared" si="33"/>
        <v>294238.42307692306</v>
      </c>
      <c r="F37" s="9">
        <f t="shared" si="35"/>
        <v>441357.63461538462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>
        <v>529565</v>
      </c>
      <c r="S37" s="34">
        <f t="shared" si="39"/>
        <v>353043.33333333331</v>
      </c>
      <c r="T37" s="37">
        <v>29595669</v>
      </c>
      <c r="U37" s="37">
        <f t="shared" si="34"/>
        <v>55886.75422280551</v>
      </c>
      <c r="V37" s="25"/>
      <c r="W37" s="25"/>
      <c r="X37" s="36"/>
      <c r="Y37" s="39">
        <f t="shared" si="36"/>
        <v>8.2144287825019813</v>
      </c>
      <c r="Z37" s="36">
        <v>3.877272727272727</v>
      </c>
      <c r="AA37" s="36"/>
      <c r="AB37" s="36"/>
      <c r="AC37" s="36"/>
      <c r="AD37" s="36"/>
      <c r="AE37" s="38"/>
      <c r="AF37" s="25"/>
      <c r="AG37" s="25"/>
      <c r="AH37" s="25"/>
      <c r="AI37" s="9">
        <v>408</v>
      </c>
      <c r="AJ37" s="30"/>
      <c r="AK37" s="30"/>
      <c r="AL37" s="5">
        <v>120765</v>
      </c>
      <c r="AM37" s="24">
        <v>79803</v>
      </c>
      <c r="AN37" s="24">
        <v>39195</v>
      </c>
      <c r="AO37" s="24">
        <v>1767</v>
      </c>
      <c r="AP37" s="24">
        <v>136282</v>
      </c>
      <c r="AQ37" s="91">
        <v>149.19655531869017</v>
      </c>
      <c r="AR37" s="24">
        <v>7090628000</v>
      </c>
      <c r="AS37" s="76">
        <f t="shared" si="27"/>
        <v>52029.086746598965</v>
      </c>
      <c r="AT37" s="76">
        <f t="shared" si="28"/>
        <v>348.7284718837015</v>
      </c>
      <c r="AU37" s="24">
        <v>291165</v>
      </c>
      <c r="AV37" s="91">
        <v>104.35321266364991</v>
      </c>
      <c r="AW37" s="24">
        <v>10917020500</v>
      </c>
      <c r="AX37" s="88">
        <f t="shared" si="26"/>
        <v>37494.274723953771</v>
      </c>
      <c r="AY37" s="88">
        <f t="shared" si="29"/>
        <v>359.30158513475664</v>
      </c>
      <c r="AZ37" s="96">
        <f t="shared" si="30"/>
        <v>1.8952232136170706</v>
      </c>
      <c r="BA37" s="94">
        <f t="shared" si="31"/>
        <v>-1.2959913921865365</v>
      </c>
      <c r="BB37" s="88"/>
      <c r="BC37" s="34">
        <v>19653914.349819176</v>
      </c>
      <c r="BD37" s="34">
        <f t="shared" si="15"/>
        <v>419794.78390140459</v>
      </c>
      <c r="BE37" s="9">
        <f t="shared" si="13"/>
        <v>494.79908234483463</v>
      </c>
      <c r="BF37" s="33">
        <f t="shared" si="17"/>
        <v>2.1825526375809119</v>
      </c>
      <c r="BG37" s="33">
        <f t="shared" si="14"/>
        <v>0.35116972361174703</v>
      </c>
      <c r="BH37" s="33">
        <f t="shared" si="16"/>
        <v>1.8313829139691649</v>
      </c>
      <c r="BI37" s="9">
        <v>30990.089999999997</v>
      </c>
      <c r="BJ37" s="77"/>
      <c r="BK37" s="29"/>
      <c r="BL37" s="30"/>
      <c r="BM37" s="30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9">
        <v>670.9375</v>
      </c>
      <c r="CD37" s="36">
        <v>1.83</v>
      </c>
      <c r="CE37" s="33">
        <f t="shared" si="19"/>
        <v>346.44887499999965</v>
      </c>
      <c r="CF37" s="33">
        <f t="shared" si="22"/>
        <v>324.48862500000035</v>
      </c>
      <c r="CG37" s="9">
        <f t="shared" si="18"/>
        <v>77.068497770694776</v>
      </c>
      <c r="CH37" s="33">
        <f t="shared" si="20"/>
        <v>4.6462598389143466</v>
      </c>
      <c r="CI37" s="36">
        <f t="shared" si="23"/>
        <v>4.4260700389105097</v>
      </c>
      <c r="CJ37" s="36">
        <f t="shared" si="24"/>
        <v>5.2409371190722851</v>
      </c>
      <c r="CK37" s="36">
        <f t="shared" si="21"/>
        <v>0.51861735605851322</v>
      </c>
      <c r="CL37" s="36"/>
      <c r="CM37" s="36">
        <v>10.5</v>
      </c>
      <c r="CN37" s="33">
        <v>18.61</v>
      </c>
      <c r="CO37" s="33">
        <f t="shared" si="25"/>
        <v>8.4260700389105097</v>
      </c>
      <c r="CP37" s="33">
        <f t="shared" si="37"/>
        <v>364</v>
      </c>
      <c r="CQ37" s="33">
        <f t="shared" si="7"/>
        <v>414</v>
      </c>
      <c r="CR37" s="33">
        <f t="shared" si="8"/>
        <v>314</v>
      </c>
      <c r="CS37" s="33">
        <f t="shared" si="9"/>
        <v>464</v>
      </c>
      <c r="CT37" s="33">
        <f t="shared" si="10"/>
        <v>264</v>
      </c>
      <c r="CU37" s="33">
        <f t="shared" si="38"/>
        <v>336.875</v>
      </c>
    </row>
    <row r="38" spans="1:99" ht="16" x14ac:dyDescent="0.4">
      <c r="A38" s="18">
        <v>1999</v>
      </c>
      <c r="B38" s="11">
        <v>39927000</v>
      </c>
      <c r="C38" s="7">
        <v>15557958</v>
      </c>
      <c r="D38" s="9">
        <f t="shared" si="32"/>
        <v>598383</v>
      </c>
      <c r="E38" s="9">
        <f t="shared" si="33"/>
        <v>299191.5</v>
      </c>
      <c r="F38" s="9">
        <f t="shared" si="35"/>
        <v>448787.25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>
        <v>585782</v>
      </c>
      <c r="S38" s="34">
        <f t="shared" si="39"/>
        <v>390521.33333333331</v>
      </c>
      <c r="T38" s="37">
        <v>36218444</v>
      </c>
      <c r="U38" s="37">
        <f t="shared" si="34"/>
        <v>61829.21974386376</v>
      </c>
      <c r="V38" s="25"/>
      <c r="W38" s="25"/>
      <c r="X38" s="36"/>
      <c r="Y38" s="39">
        <f t="shared" si="36"/>
        <v>8.3230482127611811</v>
      </c>
      <c r="Z38" s="36">
        <v>3.1926272727272731</v>
      </c>
      <c r="AA38" s="36"/>
      <c r="AB38" s="36"/>
      <c r="AC38" s="36"/>
      <c r="AD38" s="36"/>
      <c r="AE38" s="37">
        <v>11532.988286089596</v>
      </c>
      <c r="AF38" s="40"/>
      <c r="AG38" s="34"/>
      <c r="AH38" s="37"/>
      <c r="AI38" s="9">
        <v>416</v>
      </c>
      <c r="AJ38" s="30"/>
      <c r="AK38" s="30"/>
      <c r="AL38" s="5">
        <v>141338</v>
      </c>
      <c r="AM38" s="24">
        <v>91284</v>
      </c>
      <c r="AN38" s="24">
        <v>47753</v>
      </c>
      <c r="AO38" s="24">
        <v>2301</v>
      </c>
      <c r="AP38" s="24">
        <v>158487</v>
      </c>
      <c r="AQ38" s="91">
        <v>146.32930434216055</v>
      </c>
      <c r="AR38" s="24">
        <v>8253696800</v>
      </c>
      <c r="AS38" s="76">
        <f t="shared" si="27"/>
        <v>52078.068232725709</v>
      </c>
      <c r="AT38" s="76">
        <f t="shared" si="28"/>
        <v>355.89636995028701</v>
      </c>
      <c r="AU38" s="24">
        <v>354324</v>
      </c>
      <c r="AV38" s="91">
        <v>105.76814123949669</v>
      </c>
      <c r="AW38" s="24">
        <v>13636129599.999998</v>
      </c>
      <c r="AX38" s="88">
        <f t="shared" si="26"/>
        <v>38484.91662997708</v>
      </c>
      <c r="AY38" s="88">
        <f t="shared" si="29"/>
        <v>363.86114172918616</v>
      </c>
      <c r="AZ38" s="96">
        <f t="shared" si="30"/>
        <v>2.0258558977698327</v>
      </c>
      <c r="BA38" s="94">
        <f t="shared" si="31"/>
        <v>1.6563498321525714</v>
      </c>
      <c r="BB38" s="88"/>
      <c r="BC38" s="34">
        <v>20122974.800636135</v>
      </c>
      <c r="BD38" s="34">
        <f t="shared" si="15"/>
        <v>469060.45081695914</v>
      </c>
      <c r="BE38" s="9">
        <f t="shared" si="13"/>
        <v>503.99415935672943</v>
      </c>
      <c r="BF38" s="33">
        <f t="shared" si="17"/>
        <v>2.3866006662498478</v>
      </c>
      <c r="BG38" s="33">
        <f t="shared" si="14"/>
        <v>0.51861735605851322</v>
      </c>
      <c r="BH38" s="33">
        <f t="shared" si="16"/>
        <v>1.8679833101913346</v>
      </c>
      <c r="BI38" s="9">
        <v>34626.979999999996</v>
      </c>
      <c r="BJ38" s="77"/>
      <c r="BK38" s="29"/>
      <c r="BL38" s="30"/>
      <c r="BM38" s="30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9">
        <v>729.0625</v>
      </c>
      <c r="CD38" s="36">
        <v>2.31</v>
      </c>
      <c r="CE38" s="33">
        <f t="shared" si="19"/>
        <v>363.29021874999961</v>
      </c>
      <c r="CF38" s="33">
        <f t="shared" si="22"/>
        <v>365.77228125000039</v>
      </c>
      <c r="CG38" s="9">
        <f t="shared" si="18"/>
        <v>86.873677750946015</v>
      </c>
      <c r="CH38" s="33">
        <f t="shared" si="20"/>
        <v>10.826627372358971</v>
      </c>
      <c r="CI38" s="36">
        <f t="shared" si="23"/>
        <v>8.6632510479739153</v>
      </c>
      <c r="CJ38" s="36">
        <f t="shared" si="24"/>
        <v>12.722682112508565</v>
      </c>
      <c r="CK38" s="36">
        <f t="shared" si="21"/>
        <v>0.84404037368196327</v>
      </c>
      <c r="CL38" s="36"/>
      <c r="CM38" s="36">
        <v>10.62</v>
      </c>
      <c r="CN38" s="33">
        <v>15.64</v>
      </c>
      <c r="CO38" s="33">
        <f t="shared" si="25"/>
        <v>12.663251047973915</v>
      </c>
      <c r="CP38" s="33">
        <f t="shared" si="37"/>
        <v>368.24</v>
      </c>
      <c r="CQ38" s="33">
        <f t="shared" si="7"/>
        <v>418.24</v>
      </c>
      <c r="CR38" s="33">
        <f t="shared" si="8"/>
        <v>318.24</v>
      </c>
      <c r="CS38" s="33">
        <f t="shared" si="9"/>
        <v>468.24</v>
      </c>
      <c r="CT38" s="33">
        <f t="shared" si="10"/>
        <v>268.24</v>
      </c>
      <c r="CU38" s="33">
        <f t="shared" si="38"/>
        <v>340.6</v>
      </c>
    </row>
    <row r="39" spans="1:99" ht="16" x14ac:dyDescent="0.4">
      <c r="A39" s="18">
        <v>2000</v>
      </c>
      <c r="B39" s="11">
        <v>40264000</v>
      </c>
      <c r="C39" s="7">
        <v>15786797</v>
      </c>
      <c r="D39" s="9">
        <f t="shared" si="32"/>
        <v>607184.5</v>
      </c>
      <c r="E39" s="9">
        <f t="shared" si="33"/>
        <v>303592.25</v>
      </c>
      <c r="F39" s="9">
        <f t="shared" si="35"/>
        <v>455388.375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>
        <v>612852</v>
      </c>
      <c r="S39" s="34">
        <f t="shared" si="39"/>
        <v>408568</v>
      </c>
      <c r="T39" s="37">
        <v>42325628</v>
      </c>
      <c r="U39" s="37">
        <f t="shared" si="34"/>
        <v>69063.375823200375</v>
      </c>
      <c r="V39" s="25"/>
      <c r="W39" s="25"/>
      <c r="X39" s="36"/>
      <c r="Y39" s="39">
        <f t="shared" si="36"/>
        <v>8.2702221753810292</v>
      </c>
      <c r="Z39" s="36">
        <v>4.8565454545454543</v>
      </c>
      <c r="AA39" s="36"/>
      <c r="AB39" s="36"/>
      <c r="AC39" s="36"/>
      <c r="AD39" s="36"/>
      <c r="AE39" s="37">
        <v>12461.740854901367</v>
      </c>
      <c r="AF39" s="40"/>
      <c r="AG39" s="34"/>
      <c r="AH39" s="37"/>
      <c r="AI39" s="9">
        <v>424</v>
      </c>
      <c r="AJ39" s="25"/>
      <c r="AK39" s="25"/>
      <c r="AL39" s="25">
        <v>143902</v>
      </c>
      <c r="AM39" s="25">
        <v>89889</v>
      </c>
      <c r="AN39" s="25">
        <v>51570</v>
      </c>
      <c r="AO39" s="25">
        <v>2443</v>
      </c>
      <c r="AP39" s="25">
        <v>165400</v>
      </c>
      <c r="AQ39" s="92">
        <v>146.04556760124009</v>
      </c>
      <c r="AR39" s="25">
        <v>8895954999.9999981</v>
      </c>
      <c r="AS39" s="76">
        <f t="shared" si="27"/>
        <v>53784.492140266011</v>
      </c>
      <c r="AT39" s="76">
        <f t="shared" si="28"/>
        <v>368.27199225325427</v>
      </c>
      <c r="AU39" s="25">
        <v>365833</v>
      </c>
      <c r="AV39" s="92">
        <v>105.29489313462319</v>
      </c>
      <c r="AW39" s="25">
        <v>14670248899.999998</v>
      </c>
      <c r="AX39" s="88">
        <f t="shared" si="26"/>
        <v>40100.944693343677</v>
      </c>
      <c r="AY39" s="88">
        <f t="shared" si="29"/>
        <v>380.84415587062915</v>
      </c>
      <c r="AZ39" s="96">
        <f t="shared" si="30"/>
        <v>2.16838871257568</v>
      </c>
      <c r="BA39" s="94">
        <f t="shared" si="31"/>
        <v>4.0789621460018139</v>
      </c>
      <c r="BB39" s="88"/>
      <c r="BC39" s="34">
        <v>20643668.369846933</v>
      </c>
      <c r="BD39" s="34">
        <f t="shared" si="15"/>
        <v>520693.56921079755</v>
      </c>
      <c r="BE39" s="9">
        <f t="shared" si="13"/>
        <v>512.70783751855083</v>
      </c>
      <c r="BF39" s="33">
        <f t="shared" si="17"/>
        <v>2.5875576268889233</v>
      </c>
      <c r="BG39" s="33">
        <f t="shared" si="14"/>
        <v>0.84404037368196327</v>
      </c>
      <c r="BH39" s="33">
        <f t="shared" si="16"/>
        <v>1.74351725320696</v>
      </c>
      <c r="BI39" s="9">
        <v>38438.639999999999</v>
      </c>
      <c r="BJ39" s="78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33"/>
      <c r="BW39" s="33"/>
      <c r="BX39" s="33"/>
      <c r="BY39" s="33"/>
      <c r="BZ39" s="33"/>
      <c r="CA39" s="33"/>
      <c r="CB39" s="33"/>
      <c r="CC39" s="9">
        <v>812.1875</v>
      </c>
      <c r="CD39" s="36">
        <v>3.4299999999999997</v>
      </c>
      <c r="CE39" s="33">
        <f t="shared" si="19"/>
        <v>391.14824999999956</v>
      </c>
      <c r="CF39" s="33">
        <f t="shared" si="22"/>
        <v>421.03925000000044</v>
      </c>
      <c r="CG39" s="9">
        <f t="shared" si="18"/>
        <v>100</v>
      </c>
      <c r="CH39" s="33">
        <f t="shared" si="20"/>
        <v>12.393073334733629</v>
      </c>
      <c r="CI39" s="36">
        <f>(CC39*100/CC38)-100</f>
        <v>11.401628804114878</v>
      </c>
      <c r="CJ39" s="36">
        <f t="shared" si="24"/>
        <v>15.109665653485052</v>
      </c>
      <c r="CK39" s="36">
        <f t="shared" si="21"/>
        <v>0.52652493542618117</v>
      </c>
      <c r="CL39" s="36"/>
      <c r="CM39" s="36">
        <v>4.62</v>
      </c>
      <c r="CN39" s="33">
        <v>13.87</v>
      </c>
      <c r="CO39" s="33">
        <f>CI39+4</f>
        <v>15.401628804114878</v>
      </c>
      <c r="CP39" s="33">
        <f t="shared" si="37"/>
        <v>372.36</v>
      </c>
      <c r="CQ39" s="33">
        <f t="shared" si="7"/>
        <v>422.36</v>
      </c>
      <c r="CR39" s="33">
        <f t="shared" si="8"/>
        <v>322.36</v>
      </c>
      <c r="CS39" s="33">
        <f t="shared" si="9"/>
        <v>472.36</v>
      </c>
      <c r="CT39" s="33">
        <f t="shared" si="10"/>
        <v>272.36</v>
      </c>
      <c r="CU39" s="33">
        <f t="shared" si="38"/>
        <v>344.27499999999998</v>
      </c>
    </row>
    <row r="40" spans="1:99" ht="16" x14ac:dyDescent="0.4">
      <c r="A40" s="18">
        <v>2001</v>
      </c>
      <c r="B40" s="11">
        <v>40476000</v>
      </c>
      <c r="C40" s="7">
        <v>16049762</v>
      </c>
      <c r="D40" s="9">
        <f t="shared" si="32"/>
        <v>617298.5384615385</v>
      </c>
      <c r="E40" s="9">
        <f t="shared" si="33"/>
        <v>308649.26923076925</v>
      </c>
      <c r="F40" s="9">
        <f t="shared" si="35"/>
        <v>462973.90384615387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>
        <v>615703</v>
      </c>
      <c r="S40" s="34">
        <f t="shared" si="39"/>
        <v>410468.66666666669</v>
      </c>
      <c r="T40" s="37">
        <v>46574600</v>
      </c>
      <c r="U40" s="37">
        <f t="shared" si="34"/>
        <v>75644.588381086331</v>
      </c>
      <c r="V40" s="25"/>
      <c r="W40" s="25"/>
      <c r="X40" s="36"/>
      <c r="Y40" s="39">
        <f t="shared" si="36"/>
        <v>5.9392367038842799</v>
      </c>
      <c r="Z40" s="36">
        <v>4.0391181818181821</v>
      </c>
      <c r="AA40" s="36"/>
      <c r="AB40" s="36"/>
      <c r="AC40" s="36"/>
      <c r="AD40" s="36"/>
      <c r="AE40" s="37">
        <v>13289.187559203525</v>
      </c>
      <c r="AF40" s="40"/>
      <c r="AG40" s="34"/>
      <c r="AH40" s="37"/>
      <c r="AI40" s="9">
        <v>433</v>
      </c>
      <c r="AJ40" s="25"/>
      <c r="AK40" s="25"/>
      <c r="AL40" s="25">
        <v>140616</v>
      </c>
      <c r="AM40" s="25">
        <v>82802</v>
      </c>
      <c r="AN40" s="25">
        <v>55042</v>
      </c>
      <c r="AO40" s="25">
        <v>2772</v>
      </c>
      <c r="AP40" s="25">
        <v>144937</v>
      </c>
      <c r="AQ40" s="92">
        <v>150.93763104378507</v>
      </c>
      <c r="AR40" s="25">
        <v>8477207199.999999</v>
      </c>
      <c r="AS40" s="76">
        <f t="shared" si="27"/>
        <v>58488.910354153864</v>
      </c>
      <c r="AT40" s="76">
        <f t="shared" si="28"/>
        <v>387.50383154739575</v>
      </c>
      <c r="AU40" s="25">
        <v>354248</v>
      </c>
      <c r="AV40" s="92">
        <v>104.14976299989212</v>
      </c>
      <c r="AW40" s="25">
        <v>14853672299.999998</v>
      </c>
      <c r="AX40" s="88">
        <f t="shared" si="26"/>
        <v>41930.15147580226</v>
      </c>
      <c r="AY40" s="88">
        <f t="shared" si="29"/>
        <v>402.59478531742502</v>
      </c>
      <c r="AZ40" s="96">
        <f t="shared" si="30"/>
        <v>2.2592116501646764</v>
      </c>
      <c r="BA40" s="94">
        <f t="shared" si="31"/>
        <v>5.4707763066615911</v>
      </c>
      <c r="BB40" s="88"/>
      <c r="BC40" s="25">
        <v>21033759</v>
      </c>
      <c r="BD40" s="37">
        <f t="shared" si="15"/>
        <v>390090.63015306741</v>
      </c>
      <c r="BE40" s="9">
        <f t="shared" si="13"/>
        <v>519.66002075303891</v>
      </c>
      <c r="BF40" s="33">
        <f t="shared" si="17"/>
        <v>1.8896381358404852</v>
      </c>
      <c r="BG40" s="33">
        <f t="shared" si="14"/>
        <v>0.52652493542618117</v>
      </c>
      <c r="BH40" s="33">
        <f t="shared" si="16"/>
        <v>1.3631132004143041</v>
      </c>
      <c r="BI40" s="9">
        <v>42150.579999999994</v>
      </c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33"/>
      <c r="BW40" s="33"/>
      <c r="BX40" s="33"/>
      <c r="BY40" s="33"/>
      <c r="BZ40" s="33"/>
      <c r="CA40" s="33"/>
      <c r="CB40" s="33"/>
      <c r="CC40" s="9">
        <v>892.5</v>
      </c>
      <c r="CD40" s="36">
        <v>3.5900000000000003</v>
      </c>
      <c r="CE40" s="33">
        <f t="shared" si="19"/>
        <v>423.18899999999957</v>
      </c>
      <c r="CF40" s="33">
        <f t="shared" si="22"/>
        <v>469.31100000000043</v>
      </c>
      <c r="CG40" s="9">
        <f t="shared" si="18"/>
        <v>111.46490499401183</v>
      </c>
      <c r="CH40" s="33">
        <f t="shared" si="20"/>
        <v>9.8132950987338035</v>
      </c>
      <c r="CI40" s="36">
        <f t="shared" si="23"/>
        <v>9.8884186225471353</v>
      </c>
      <c r="CJ40" s="36">
        <f t="shared" si="24"/>
        <v>11.464904994011832</v>
      </c>
      <c r="CK40" s="36">
        <f t="shared" si="21"/>
        <v>1.3810653226603478</v>
      </c>
      <c r="CL40" s="36"/>
      <c r="CM40" s="36">
        <v>0.47</v>
      </c>
      <c r="CN40" s="33">
        <v>10.55</v>
      </c>
      <c r="CO40" s="33">
        <f t="shared" si="25"/>
        <v>13.888418622547135</v>
      </c>
      <c r="CP40" s="33">
        <f t="shared" si="37"/>
        <v>376.36</v>
      </c>
      <c r="CQ40" s="33">
        <f t="shared" si="7"/>
        <v>426.36</v>
      </c>
      <c r="CR40" s="33">
        <f t="shared" si="8"/>
        <v>326.36</v>
      </c>
      <c r="CS40" s="33">
        <f t="shared" si="9"/>
        <v>476.36</v>
      </c>
      <c r="CT40" s="33">
        <f t="shared" si="10"/>
        <v>276.36</v>
      </c>
      <c r="CU40" s="33">
        <f t="shared" si="38"/>
        <v>347.9</v>
      </c>
    </row>
    <row r="41" spans="1:99" ht="16" x14ac:dyDescent="0.4">
      <c r="A41" s="18">
        <v>2002</v>
      </c>
      <c r="B41" s="11">
        <v>41035000</v>
      </c>
      <c r="C41" s="7">
        <v>16417960</v>
      </c>
      <c r="D41" s="9">
        <f t="shared" si="32"/>
        <v>631460</v>
      </c>
      <c r="E41" s="9">
        <f t="shared" si="33"/>
        <v>315730</v>
      </c>
      <c r="F41" s="9">
        <f t="shared" si="35"/>
        <v>473595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>
        <v>690230</v>
      </c>
      <c r="S41" s="34">
        <f t="shared" si="39"/>
        <v>460153.33333333331</v>
      </c>
      <c r="T41" s="37">
        <v>58985647</v>
      </c>
      <c r="U41" s="37">
        <f>T41*1000/R41</f>
        <v>85457.958941222489</v>
      </c>
      <c r="V41" s="25"/>
      <c r="W41" s="25"/>
      <c r="X41" s="36"/>
      <c r="Y41" s="39">
        <f t="shared" si="36"/>
        <v>9.9029975007568751</v>
      </c>
      <c r="Z41" s="36">
        <v>3.4943</v>
      </c>
      <c r="AA41" s="36"/>
      <c r="AB41" s="36"/>
      <c r="AC41" s="36"/>
      <c r="AD41" s="36"/>
      <c r="AE41" s="37">
        <v>13869.014738714315</v>
      </c>
      <c r="AF41" s="40"/>
      <c r="AG41" s="34"/>
      <c r="AH41" s="37"/>
      <c r="AI41" s="9">
        <v>442</v>
      </c>
      <c r="AJ41" s="25"/>
      <c r="AK41" s="25"/>
      <c r="AL41" s="25">
        <v>136544</v>
      </c>
      <c r="AM41" s="25">
        <v>82569</v>
      </c>
      <c r="AN41" s="25">
        <v>50771</v>
      </c>
      <c r="AO41" s="25">
        <v>3204</v>
      </c>
      <c r="AP41" s="25">
        <v>145368</v>
      </c>
      <c r="AQ41" s="92">
        <v>154.80400172476095</v>
      </c>
      <c r="AR41" s="25">
        <v>9087576399.9999981</v>
      </c>
      <c r="AS41" s="76">
        <f t="shared" si="27"/>
        <v>62514.283748830538</v>
      </c>
      <c r="AT41" s="76">
        <f t="shared" si="28"/>
        <v>403.82860295808075</v>
      </c>
      <c r="AU41" s="25">
        <v>375292</v>
      </c>
      <c r="AV41" s="92">
        <v>103.38487494805224</v>
      </c>
      <c r="AW41" s="25">
        <v>16380710700</v>
      </c>
      <c r="AX41" s="88">
        <f t="shared" si="26"/>
        <v>43647.908028948128</v>
      </c>
      <c r="AY41" s="88">
        <f t="shared" si="29"/>
        <v>422.1885266184234</v>
      </c>
      <c r="AZ41" s="96">
        <f t="shared" si="30"/>
        <v>2.4424432953761679</v>
      </c>
      <c r="BA41" s="94">
        <f t="shared" si="31"/>
        <v>4.5460796848640541</v>
      </c>
      <c r="BB41" s="88"/>
      <c r="BC41" s="9">
        <v>21487307</v>
      </c>
      <c r="BD41" s="37">
        <f t="shared" si="15"/>
        <v>453548</v>
      </c>
      <c r="BE41" s="9">
        <f t="shared" si="13"/>
        <v>523.63365419763613</v>
      </c>
      <c r="BF41" s="33">
        <f t="shared" si="17"/>
        <v>2.1562859971914605</v>
      </c>
      <c r="BG41" s="33">
        <f t="shared" si="14"/>
        <v>1.3810653226603478</v>
      </c>
      <c r="BH41" s="33">
        <f>BF41-BG41</f>
        <v>0.77522067453111276</v>
      </c>
      <c r="BI41" s="9">
        <v>44119.82</v>
      </c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33"/>
      <c r="BW41" s="33"/>
      <c r="BX41" s="33"/>
      <c r="BY41" s="33"/>
      <c r="BZ41" s="33"/>
      <c r="CA41" s="33"/>
      <c r="CB41" s="33"/>
      <c r="CC41" s="9">
        <v>1008.75</v>
      </c>
      <c r="CD41" s="36">
        <v>3.0700000000000003</v>
      </c>
      <c r="CE41" s="33">
        <f t="shared" si="19"/>
        <v>454.15762499999954</v>
      </c>
      <c r="CF41" s="33">
        <f t="shared" si="22"/>
        <v>554.5923750000004</v>
      </c>
      <c r="CG41" s="9">
        <f t="shared" si="18"/>
        <v>131.71987528478635</v>
      </c>
      <c r="CH41" s="33">
        <f t="shared" si="20"/>
        <v>14.208612861575929</v>
      </c>
      <c r="CI41" s="36">
        <f t="shared" si="23"/>
        <v>13.025210084033617</v>
      </c>
      <c r="CJ41" s="36">
        <f t="shared" si="24"/>
        <v>18.171612214501664</v>
      </c>
      <c r="CK41" s="36">
        <f t="shared" si="21"/>
        <v>1.9300597051297643</v>
      </c>
      <c r="CL41" s="36"/>
      <c r="CM41" s="36">
        <v>12.1</v>
      </c>
      <c r="CN41" s="33">
        <v>11.45</v>
      </c>
      <c r="CO41" s="33">
        <f t="shared" si="25"/>
        <v>17.025210084033617</v>
      </c>
      <c r="CP41" s="33">
        <f t="shared" si="37"/>
        <v>380.24</v>
      </c>
      <c r="CQ41" s="33">
        <f t="shared" si="7"/>
        <v>430.24</v>
      </c>
      <c r="CR41" s="33">
        <f t="shared" si="8"/>
        <v>330.24</v>
      </c>
      <c r="CS41" s="33">
        <f t="shared" si="9"/>
        <v>480.24</v>
      </c>
      <c r="CT41" s="33">
        <f t="shared" si="10"/>
        <v>280.24</v>
      </c>
      <c r="CU41" s="33">
        <f t="shared" si="38"/>
        <v>351.47500000000002</v>
      </c>
    </row>
    <row r="42" spans="1:99" ht="16" x14ac:dyDescent="0.4">
      <c r="A42" s="18">
        <v>2003</v>
      </c>
      <c r="B42" s="11">
        <v>41827000</v>
      </c>
      <c r="C42" s="9">
        <v>16984055</v>
      </c>
      <c r="D42" s="9">
        <f>C42/26</f>
        <v>653232.88461538462</v>
      </c>
      <c r="E42" s="9">
        <f t="shared" ref="E42:E105" si="40">D42/2</f>
        <v>326616.44230769231</v>
      </c>
      <c r="F42" s="9">
        <f t="shared" si="35"/>
        <v>489924.6634615385</v>
      </c>
      <c r="G42" s="9">
        <v>718536</v>
      </c>
      <c r="H42" s="9">
        <f t="shared" ref="H42:H105" si="41">G42/2</f>
        <v>359268</v>
      </c>
      <c r="I42" s="9">
        <v>643990</v>
      </c>
      <c r="J42" s="9">
        <f t="shared" ref="J42:J105" si="42">I42/2</f>
        <v>321995</v>
      </c>
      <c r="K42" s="9">
        <v>519454</v>
      </c>
      <c r="L42" s="9">
        <f t="shared" ref="L42:L105" si="43">K42/2</f>
        <v>259727</v>
      </c>
      <c r="M42" s="34">
        <f>(M43*((R42*100/R43)/100))</f>
        <v>619193.03303763864</v>
      </c>
      <c r="N42" s="34">
        <f t="shared" ref="N42:N44" si="44">N43*0.97</f>
        <v>116138.90786547</v>
      </c>
      <c r="O42" s="38"/>
      <c r="P42" s="38"/>
      <c r="Q42" s="38"/>
      <c r="R42" s="25">
        <v>989439</v>
      </c>
      <c r="S42" s="34">
        <f>R42/2</f>
        <v>494719.5</v>
      </c>
      <c r="T42" s="9">
        <v>96175561</v>
      </c>
      <c r="U42" s="9">
        <f>T42*1000/R42</f>
        <v>97202.112510220439</v>
      </c>
      <c r="V42" s="25"/>
      <c r="W42" s="25"/>
      <c r="X42" s="36">
        <f t="shared" ref="X42:X61" si="45">R42/M42</f>
        <v>1.5979491809622079</v>
      </c>
      <c r="Y42" s="39">
        <f t="shared" si="36"/>
        <v>10.70260948248896</v>
      </c>
      <c r="Z42" s="39">
        <v>2.3030454545454542</v>
      </c>
      <c r="AA42" s="39">
        <v>4.3099999999999996</v>
      </c>
      <c r="AB42" s="39">
        <v>2.9</v>
      </c>
      <c r="AC42" s="39">
        <v>97.1</v>
      </c>
      <c r="AD42" s="99">
        <v>23</v>
      </c>
      <c r="AE42" s="37">
        <v>14544.28237935013</v>
      </c>
      <c r="AF42" s="41">
        <f t="shared" ref="AF42:AF61" si="46">U42/AE42</f>
        <v>6.6831838089328706</v>
      </c>
      <c r="AG42" s="37">
        <f t="shared" ref="AG42:AG61" si="47">U42/5</f>
        <v>19440.422502044086</v>
      </c>
      <c r="AH42" s="37">
        <f>100-((AE42*100)/AG42)</f>
        <v>25.185358611311784</v>
      </c>
      <c r="AI42" s="9">
        <v>451</v>
      </c>
      <c r="AJ42" s="25"/>
      <c r="AK42" s="25"/>
      <c r="AL42" s="25">
        <v>152785</v>
      </c>
      <c r="AM42" s="25">
        <v>94476</v>
      </c>
      <c r="AN42" s="25">
        <v>54505</v>
      </c>
      <c r="AO42" s="25">
        <v>3804</v>
      </c>
      <c r="AP42" s="25">
        <v>183411</v>
      </c>
      <c r="AQ42" s="92">
        <v>151.72747698417351</v>
      </c>
      <c r="AR42" s="25">
        <v>11731425600</v>
      </c>
      <c r="AS42" s="76">
        <f t="shared" si="27"/>
        <v>63962.497342035102</v>
      </c>
      <c r="AT42" s="76">
        <f t="shared" si="28"/>
        <v>421.56172773311812</v>
      </c>
      <c r="AU42" s="25">
        <v>448260</v>
      </c>
      <c r="AV42" s="92">
        <v>101.16659898776612</v>
      </c>
      <c r="AW42" s="25">
        <v>20112128800</v>
      </c>
      <c r="AX42" s="88">
        <f t="shared" si="26"/>
        <v>44867.105697586223</v>
      </c>
      <c r="AY42" s="88">
        <f t="shared" si="29"/>
        <v>443.49722286316961</v>
      </c>
      <c r="AZ42" s="96">
        <f t="shared" si="30"/>
        <v>2.6970705272649567</v>
      </c>
      <c r="BA42" s="94">
        <f t="shared" si="31"/>
        <v>4.7265146958635285</v>
      </c>
      <c r="BB42" s="88"/>
      <c r="BC42" s="9">
        <v>21926409</v>
      </c>
      <c r="BD42" s="37">
        <f t="shared" si="15"/>
        <v>439102</v>
      </c>
      <c r="BE42" s="9">
        <f t="shared" ref="BE42:BE61" si="48">(BC42/(B42))*1000</f>
        <v>524.21663040619694</v>
      </c>
      <c r="BF42" s="33">
        <f t="shared" si="17"/>
        <v>2.0435413334951704</v>
      </c>
      <c r="BG42" s="33">
        <f t="shared" ref="BG42:BG61" si="49">(B42*100/B41)-100</f>
        <v>1.9300597051297643</v>
      </c>
      <c r="BH42" s="33">
        <f t="shared" si="16"/>
        <v>0.1134816283654061</v>
      </c>
      <c r="BI42" s="9">
        <v>46223.24</v>
      </c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33"/>
      <c r="BW42" s="33"/>
      <c r="BX42" s="33"/>
      <c r="BY42" s="33"/>
      <c r="BZ42" s="33"/>
      <c r="CA42" s="33"/>
      <c r="CB42" s="33"/>
      <c r="CC42" s="9">
        <v>1166.5625</v>
      </c>
      <c r="CD42" s="36">
        <v>3.04</v>
      </c>
      <c r="CE42" s="33">
        <f t="shared" si="19"/>
        <v>489.62112499999961</v>
      </c>
      <c r="CF42" s="33">
        <f t="shared" si="22"/>
        <v>676.94137500000033</v>
      </c>
      <c r="CG42" s="9">
        <f t="shared" si="18"/>
        <v>160.77868631012421</v>
      </c>
      <c r="CH42" s="33">
        <f t="shared" si="20"/>
        <v>16.492570873275795</v>
      </c>
      <c r="CI42" s="36">
        <f t="shared" si="23"/>
        <v>15.644361833952914</v>
      </c>
      <c r="CJ42" s="36">
        <f t="shared" si="24"/>
        <v>22.061067824814558</v>
      </c>
      <c r="CK42" s="36">
        <f t="shared" si="21"/>
        <v>1.7213761445955953</v>
      </c>
      <c r="CL42" s="36"/>
      <c r="CM42" s="36">
        <v>14.45</v>
      </c>
      <c r="CN42" s="33">
        <v>11.49</v>
      </c>
      <c r="CO42" s="33">
        <f t="shared" si="25"/>
        <v>19.644361833952914</v>
      </c>
      <c r="CP42" s="33">
        <f t="shared" si="37"/>
        <v>384</v>
      </c>
      <c r="CQ42" s="33">
        <f t="shared" si="7"/>
        <v>434</v>
      </c>
      <c r="CR42" s="33">
        <f t="shared" si="8"/>
        <v>334</v>
      </c>
      <c r="CS42" s="33">
        <f t="shared" si="9"/>
        <v>484</v>
      </c>
      <c r="CT42" s="33">
        <f t="shared" si="10"/>
        <v>284</v>
      </c>
      <c r="CU42" s="33">
        <f t="shared" si="38"/>
        <v>355</v>
      </c>
    </row>
    <row r="43" spans="1:99" ht="16" x14ac:dyDescent="0.4">
      <c r="A43" s="18">
        <v>2004</v>
      </c>
      <c r="B43" s="11">
        <v>42547000</v>
      </c>
      <c r="C43" s="9">
        <v>17468532</v>
      </c>
      <c r="D43" s="9">
        <f t="shared" ref="D43:D105" si="50">C43/26</f>
        <v>671866.61538461538</v>
      </c>
      <c r="E43" s="9">
        <f t="shared" si="40"/>
        <v>335933.30769230769</v>
      </c>
      <c r="F43" s="9">
        <f t="shared" si="35"/>
        <v>503899.9615384615</v>
      </c>
      <c r="G43" s="9">
        <v>736869</v>
      </c>
      <c r="H43" s="9">
        <f t="shared" si="41"/>
        <v>368434.5</v>
      </c>
      <c r="I43" s="9">
        <v>674206</v>
      </c>
      <c r="J43" s="9">
        <f t="shared" si="42"/>
        <v>337103</v>
      </c>
      <c r="K43" s="9">
        <v>523975</v>
      </c>
      <c r="L43" s="9">
        <f t="shared" si="43"/>
        <v>261987.5</v>
      </c>
      <c r="M43" s="34">
        <f>(M44*((R43*100/R44)/100))</f>
        <v>693178.48977713939</v>
      </c>
      <c r="N43" s="34">
        <f t="shared" si="44"/>
        <v>119730.832851</v>
      </c>
      <c r="O43" s="38"/>
      <c r="P43" s="38"/>
      <c r="Q43" s="38"/>
      <c r="R43" s="25">
        <v>1107664</v>
      </c>
      <c r="S43" s="34">
        <f>R43/2</f>
        <v>553832</v>
      </c>
      <c r="T43" s="9">
        <v>122147451</v>
      </c>
      <c r="U43" s="9">
        <f>T43*1000/R43</f>
        <v>110274.82250935302</v>
      </c>
      <c r="V43" s="25"/>
      <c r="W43" s="25"/>
      <c r="X43" s="36">
        <f t="shared" si="45"/>
        <v>1.5979491809622077</v>
      </c>
      <c r="Y43" s="39">
        <f t="shared" si="36"/>
        <v>10.408997826830181</v>
      </c>
      <c r="Z43" s="39">
        <v>2.2788909090909093</v>
      </c>
      <c r="AA43" s="39">
        <v>3.61</v>
      </c>
      <c r="AB43" s="39">
        <v>2.9</v>
      </c>
      <c r="AC43" s="39">
        <v>97.1</v>
      </c>
      <c r="AD43" s="99">
        <v>24</v>
      </c>
      <c r="AE43" s="37">
        <v>15066.525106753867</v>
      </c>
      <c r="AF43" s="41">
        <f t="shared" si="46"/>
        <v>7.319194155785806</v>
      </c>
      <c r="AG43" s="37">
        <f t="shared" si="47"/>
        <v>22054.964501870603</v>
      </c>
      <c r="AH43" s="37">
        <f t="shared" ref="AH43:AH61" si="51">100-((AE43*100)/AG43)</f>
        <v>31.686468570484465</v>
      </c>
      <c r="AI43" s="9">
        <v>460</v>
      </c>
      <c r="AJ43" s="9">
        <v>227</v>
      </c>
      <c r="AK43" s="25">
        <v>86898</v>
      </c>
      <c r="AL43" s="25">
        <v>166437</v>
      </c>
      <c r="AM43" s="25">
        <v>102121</v>
      </c>
      <c r="AN43" s="25">
        <v>59594</v>
      </c>
      <c r="AO43" s="25">
        <v>4722</v>
      </c>
      <c r="AP43" s="25">
        <v>186728</v>
      </c>
      <c r="AQ43" s="92">
        <v>158.916614292796</v>
      </c>
      <c r="AR43" s="25">
        <v>13060840900</v>
      </c>
      <c r="AS43" s="76">
        <f t="shared" si="27"/>
        <v>69945.808341544922</v>
      </c>
      <c r="AT43" s="76">
        <f t="shared" si="28"/>
        <v>440.14157143238168</v>
      </c>
      <c r="AU43" s="25">
        <v>498250</v>
      </c>
      <c r="AV43" s="92">
        <v>102.45204288804246</v>
      </c>
      <c r="AW43" s="25">
        <v>23448077600</v>
      </c>
      <c r="AX43" s="88">
        <f t="shared" si="26"/>
        <v>47060.868238835923</v>
      </c>
      <c r="AY43" s="88">
        <f t="shared" si="29"/>
        <v>459.34533770364249</v>
      </c>
      <c r="AZ43" s="96">
        <f t="shared" si="30"/>
        <v>3.0135235682347075</v>
      </c>
      <c r="BA43" s="94">
        <f t="shared" si="31"/>
        <v>3.9798395838809739</v>
      </c>
      <c r="BB43" s="88"/>
      <c r="BC43" s="9">
        <v>22417950</v>
      </c>
      <c r="BD43" s="37">
        <f t="shared" ref="BD43:BD58" si="52">BC43-BC42</f>
        <v>491541</v>
      </c>
      <c r="BE43" s="9">
        <f t="shared" si="48"/>
        <v>526.89848873011022</v>
      </c>
      <c r="BF43" s="33">
        <f t="shared" ref="BF43:BF59" si="53">(BC43*100/BC42)-100</f>
        <v>2.241776115733316</v>
      </c>
      <c r="BG43" s="33">
        <f t="shared" si="49"/>
        <v>1.7213761445955953</v>
      </c>
      <c r="BH43" s="33">
        <f t="shared" ref="BH43:BH59" si="54">BF43-BG43</f>
        <v>0.52039997113772074</v>
      </c>
      <c r="BI43" s="9">
        <v>48003.11</v>
      </c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33"/>
      <c r="BW43" s="33"/>
      <c r="BX43" s="33"/>
      <c r="BY43" s="33"/>
      <c r="BZ43" s="33"/>
      <c r="CA43" s="33"/>
      <c r="CB43" s="33"/>
      <c r="CC43" s="9">
        <v>1355.3125</v>
      </c>
      <c r="CD43" s="36">
        <v>3.04</v>
      </c>
      <c r="CE43" s="33">
        <f t="shared" si="19"/>
        <v>530.82262499999956</v>
      </c>
      <c r="CF43" s="33">
        <f t="shared" si="22"/>
        <v>824.48987500000044</v>
      </c>
      <c r="CG43" s="9">
        <f t="shared" si="18"/>
        <v>195.82256879851454</v>
      </c>
      <c r="CH43" s="33">
        <f t="shared" si="20"/>
        <v>16.482408914706511</v>
      </c>
      <c r="CI43" s="36">
        <f t="shared" si="23"/>
        <v>16.180016072863651</v>
      </c>
      <c r="CJ43" s="36">
        <f t="shared" si="24"/>
        <v>21.796348317459547</v>
      </c>
      <c r="CK43" s="36">
        <f t="shared" si="21"/>
        <v>1.7604061390932344</v>
      </c>
      <c r="CL43" s="36">
        <f t="shared" ref="CL43:CL61" si="55">(M43*100/M42)-100</f>
        <v>11.94869011631846</v>
      </c>
      <c r="CM43" s="36">
        <f t="shared" ref="CM43:CM61" si="56">(R43*100/R42)-100</f>
        <v>11.948690116318446</v>
      </c>
      <c r="CN43" s="41">
        <v>10.97</v>
      </c>
      <c r="CO43" s="33">
        <f t="shared" si="25"/>
        <v>20.180016072863651</v>
      </c>
      <c r="CP43" s="33">
        <f t="shared" si="37"/>
        <v>387.64</v>
      </c>
      <c r="CQ43" s="33">
        <f t="shared" si="7"/>
        <v>437.64</v>
      </c>
      <c r="CR43" s="33">
        <f t="shared" si="8"/>
        <v>337.64</v>
      </c>
      <c r="CS43" s="33">
        <f t="shared" si="9"/>
        <v>487.64</v>
      </c>
      <c r="CT43" s="33">
        <f t="shared" si="10"/>
        <v>287.64</v>
      </c>
      <c r="CU43" s="33">
        <f t="shared" si="38"/>
        <v>358.47500000000002</v>
      </c>
    </row>
    <row r="44" spans="1:99" ht="16" x14ac:dyDescent="0.4">
      <c r="A44" s="18">
        <v>2005</v>
      </c>
      <c r="B44" s="11">
        <v>43296000</v>
      </c>
      <c r="C44" s="9">
        <v>17953604</v>
      </c>
      <c r="D44" s="9">
        <f t="shared" si="50"/>
        <v>690523.23076923075</v>
      </c>
      <c r="E44" s="9">
        <f t="shared" si="40"/>
        <v>345261.61538461538</v>
      </c>
      <c r="F44" s="9">
        <f t="shared" si="35"/>
        <v>517892.42307692306</v>
      </c>
      <c r="G44" s="9">
        <v>771189</v>
      </c>
      <c r="H44" s="9">
        <f t="shared" si="41"/>
        <v>385594.5</v>
      </c>
      <c r="I44" s="9">
        <v>716343</v>
      </c>
      <c r="J44" s="9">
        <f t="shared" si="42"/>
        <v>358171.5</v>
      </c>
      <c r="K44" s="9">
        <v>526025</v>
      </c>
      <c r="L44" s="9">
        <f t="shared" si="43"/>
        <v>263012.5</v>
      </c>
      <c r="M44" s="34">
        <f>(M45*((R44*100/R45)/100))</f>
        <v>787016.8932673604</v>
      </c>
      <c r="N44" s="34">
        <f t="shared" si="44"/>
        <v>123433.8483</v>
      </c>
      <c r="O44" s="38"/>
      <c r="P44" s="38"/>
      <c r="Q44" s="38"/>
      <c r="R44" s="25">
        <v>1257613</v>
      </c>
      <c r="S44" s="34">
        <f>R44/2</f>
        <v>628806.5</v>
      </c>
      <c r="T44" s="9">
        <v>156946440</v>
      </c>
      <c r="U44" s="9">
        <f t="shared" ref="U44:U61" si="57">T44*1000/R44</f>
        <v>124797.08781636322</v>
      </c>
      <c r="V44" s="25"/>
      <c r="W44" s="25"/>
      <c r="X44" s="36">
        <f t="shared" si="45"/>
        <v>1.5979491809622079</v>
      </c>
      <c r="Y44" s="39">
        <f t="shared" si="36"/>
        <v>9.7991577248092945</v>
      </c>
      <c r="Z44" s="39">
        <v>2.3361545454545456</v>
      </c>
      <c r="AA44" s="39">
        <v>3.35</v>
      </c>
      <c r="AB44" s="39">
        <v>3</v>
      </c>
      <c r="AC44" s="39">
        <v>97</v>
      </c>
      <c r="AD44" s="99">
        <v>25</v>
      </c>
      <c r="AE44" s="37">
        <v>15783.0837263832</v>
      </c>
      <c r="AF44" s="41">
        <f t="shared" si="46"/>
        <v>7.9070155097606714</v>
      </c>
      <c r="AG44" s="37">
        <f t="shared" si="47"/>
        <v>24959.417563272644</v>
      </c>
      <c r="AH44" s="37">
        <f t="shared" si="51"/>
        <v>36.765015904827287</v>
      </c>
      <c r="AI44" s="9">
        <v>490</v>
      </c>
      <c r="AJ44" s="9">
        <v>261</v>
      </c>
      <c r="AK44" s="25">
        <v>75538</v>
      </c>
      <c r="AL44" s="25">
        <v>179257</v>
      </c>
      <c r="AM44" s="25">
        <v>107577</v>
      </c>
      <c r="AN44" s="25">
        <v>65368</v>
      </c>
      <c r="AO44" s="25">
        <v>6312</v>
      </c>
      <c r="AP44" s="25">
        <v>193468</v>
      </c>
      <c r="AQ44" s="92">
        <v>159.93556798953756</v>
      </c>
      <c r="AR44" s="25">
        <v>14401052899.999998</v>
      </c>
      <c r="AS44" s="76">
        <f t="shared" si="27"/>
        <v>74436.355883143449</v>
      </c>
      <c r="AT44" s="76">
        <f t="shared" si="28"/>
        <v>465.41464677833778</v>
      </c>
      <c r="AU44" s="25">
        <v>534859</v>
      </c>
      <c r="AV44" s="92">
        <v>99.557311813912108</v>
      </c>
      <c r="AW44" s="25">
        <v>25597812799.999992</v>
      </c>
      <c r="AX44" s="88">
        <f t="shared" si="26"/>
        <v>47858.992369951695</v>
      </c>
      <c r="AY44" s="88">
        <f t="shared" si="29"/>
        <v>480.718005518344</v>
      </c>
      <c r="AZ44" s="96">
        <f t="shared" si="30"/>
        <v>3.240824627029685</v>
      </c>
      <c r="BA44" s="94">
        <f t="shared" si="31"/>
        <v>5.1858167903145755</v>
      </c>
      <c r="BB44" s="89">
        <v>82.324366364621127</v>
      </c>
      <c r="BC44" s="9">
        <v>22927382</v>
      </c>
      <c r="BD44" s="37">
        <f t="shared" si="52"/>
        <v>509432</v>
      </c>
      <c r="BE44" s="9">
        <f t="shared" si="48"/>
        <v>529.54965816703623</v>
      </c>
      <c r="BF44" s="33">
        <f t="shared" si="53"/>
        <v>2.2724290133575948</v>
      </c>
      <c r="BG44" s="33">
        <f t="shared" si="49"/>
        <v>1.7604061390932344</v>
      </c>
      <c r="BH44" s="33">
        <f t="shared" si="54"/>
        <v>0.51202287426436044</v>
      </c>
      <c r="BI44" s="9">
        <v>51509.639999999992</v>
      </c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33"/>
      <c r="BW44" s="33"/>
      <c r="BX44" s="33"/>
      <c r="BY44" s="33"/>
      <c r="BZ44" s="33"/>
      <c r="CA44" s="33"/>
      <c r="CB44" s="33"/>
      <c r="CC44" s="9">
        <v>1533.125</v>
      </c>
      <c r="CD44" s="36">
        <v>3.37</v>
      </c>
      <c r="CE44" s="33">
        <f t="shared" si="19"/>
        <v>582.48893749999957</v>
      </c>
      <c r="CF44" s="33">
        <f t="shared" si="22"/>
        <v>950.63606250000043</v>
      </c>
      <c r="CG44" s="9">
        <f t="shared" si="18"/>
        <v>225.78324051736254</v>
      </c>
      <c r="CH44" s="33">
        <f t="shared" si="20"/>
        <v>11.742855286883014</v>
      </c>
      <c r="CI44" s="36">
        <f t="shared" si="23"/>
        <v>13.119667973253399</v>
      </c>
      <c r="CJ44" s="36">
        <f t="shared" si="24"/>
        <v>15.299907412446984</v>
      </c>
      <c r="CK44" s="36">
        <f t="shared" si="21"/>
        <v>1.6468033998521747</v>
      </c>
      <c r="CL44" s="36">
        <f t="shared" si="55"/>
        <v>13.537408455993855</v>
      </c>
      <c r="CM44" s="36">
        <f t="shared" si="56"/>
        <v>13.537408455993869</v>
      </c>
      <c r="CN44" s="41">
        <v>9.15</v>
      </c>
      <c r="CO44" s="33">
        <f t="shared" si="25"/>
        <v>17.119667973253399</v>
      </c>
      <c r="CP44" s="33">
        <f t="shared" si="37"/>
        <v>391.16</v>
      </c>
      <c r="CQ44" s="33">
        <f t="shared" si="7"/>
        <v>441.16</v>
      </c>
      <c r="CR44" s="33">
        <f t="shared" si="8"/>
        <v>341.16</v>
      </c>
      <c r="CS44" s="33">
        <f t="shared" si="9"/>
        <v>491.16</v>
      </c>
      <c r="CT44" s="33">
        <f t="shared" si="10"/>
        <v>291.16000000000003</v>
      </c>
      <c r="CU44" s="33">
        <f t="shared" si="38"/>
        <v>361.9</v>
      </c>
    </row>
    <row r="45" spans="1:99" ht="16" x14ac:dyDescent="0.4">
      <c r="A45" s="18">
        <v>2006</v>
      </c>
      <c r="B45" s="11">
        <v>44009000</v>
      </c>
      <c r="C45" s="9">
        <v>18401584</v>
      </c>
      <c r="D45" s="9">
        <f t="shared" si="50"/>
        <v>707753.23076923075</v>
      </c>
      <c r="E45" s="9">
        <f t="shared" si="40"/>
        <v>353876.61538461538</v>
      </c>
      <c r="F45" s="9">
        <f t="shared" si="35"/>
        <v>530814.92307692301</v>
      </c>
      <c r="G45" s="9">
        <v>792819</v>
      </c>
      <c r="H45" s="9">
        <f t="shared" si="41"/>
        <v>396409.5</v>
      </c>
      <c r="I45" s="9">
        <v>714420</v>
      </c>
      <c r="J45" s="9">
        <f t="shared" si="42"/>
        <v>357210</v>
      </c>
      <c r="K45" s="9">
        <v>554330</v>
      </c>
      <c r="L45" s="9">
        <f t="shared" si="43"/>
        <v>277165</v>
      </c>
      <c r="M45" s="34">
        <f>(M46*((R45*100/R46)/100))</f>
        <v>839933.46971886128</v>
      </c>
      <c r="N45" s="34">
        <f>N46*0.97</f>
        <v>127251.39</v>
      </c>
      <c r="O45" s="38"/>
      <c r="P45" s="38"/>
      <c r="Q45" s="38"/>
      <c r="R45" s="25">
        <v>1342171</v>
      </c>
      <c r="S45" s="25">
        <v>650836</v>
      </c>
      <c r="T45" s="9">
        <v>188339112</v>
      </c>
      <c r="U45" s="9">
        <f t="shared" si="57"/>
        <v>140324.22992301278</v>
      </c>
      <c r="V45" s="25">
        <v>44335</v>
      </c>
      <c r="W45" s="25">
        <v>17733</v>
      </c>
      <c r="X45" s="36">
        <f t="shared" si="45"/>
        <v>1.5979491809622082</v>
      </c>
      <c r="Y45" s="39">
        <f t="shared" si="36"/>
        <v>8.9219106073192158</v>
      </c>
      <c r="Z45" s="39">
        <v>3.491090909090909</v>
      </c>
      <c r="AA45" s="39">
        <v>3.76</v>
      </c>
      <c r="AB45" s="39">
        <v>2.2999999999999998</v>
      </c>
      <c r="AC45" s="39">
        <v>97.7</v>
      </c>
      <c r="AD45" s="99">
        <v>27</v>
      </c>
      <c r="AE45" s="37">
        <v>16394.110912608547</v>
      </c>
      <c r="AF45" s="41">
        <f t="shared" si="46"/>
        <v>8.5594290944494471</v>
      </c>
      <c r="AG45" s="37">
        <f t="shared" si="47"/>
        <v>28064.845984602558</v>
      </c>
      <c r="AH45" s="37">
        <f t="shared" si="51"/>
        <v>41.58488907581043</v>
      </c>
      <c r="AI45" s="9">
        <v>513</v>
      </c>
      <c r="AJ45" s="9">
        <v>269</v>
      </c>
      <c r="AK45" s="25">
        <v>58479</v>
      </c>
      <c r="AL45" s="25">
        <v>181702</v>
      </c>
      <c r="AM45" s="25">
        <v>113041</v>
      </c>
      <c r="AN45" s="25">
        <v>60548</v>
      </c>
      <c r="AO45" s="25">
        <v>8113</v>
      </c>
      <c r="AP45" s="25">
        <v>165988</v>
      </c>
      <c r="AQ45" s="92">
        <v>166.23240380210862</v>
      </c>
      <c r="AR45" s="25">
        <v>14037838399.999998</v>
      </c>
      <c r="AS45" s="76">
        <f t="shared" si="27"/>
        <v>84571.405161818911</v>
      </c>
      <c r="AT45" s="76">
        <f t="shared" si="28"/>
        <v>508.75402886248912</v>
      </c>
      <c r="AU45" s="25">
        <v>699162</v>
      </c>
      <c r="AV45" s="92">
        <v>99.186175801707236</v>
      </c>
      <c r="AW45" s="25">
        <v>35593133099.999992</v>
      </c>
      <c r="AX45" s="88">
        <f t="shared" si="26"/>
        <v>50908.277480755525</v>
      </c>
      <c r="AY45" s="88">
        <f t="shared" si="29"/>
        <v>513.2598073196333</v>
      </c>
      <c r="AZ45" s="96">
        <f t="shared" si="30"/>
        <v>3.3255420618340281</v>
      </c>
      <c r="BA45" s="94">
        <f t="shared" si="31"/>
        <v>8.0201421757555522</v>
      </c>
      <c r="BB45" s="89">
        <v>85.808933073493904</v>
      </c>
      <c r="BC45" s="9">
        <v>23493772</v>
      </c>
      <c r="BD45" s="37">
        <f t="shared" si="52"/>
        <v>566390</v>
      </c>
      <c r="BE45" s="9">
        <f t="shared" si="48"/>
        <v>533.84016905632939</v>
      </c>
      <c r="BF45" s="33">
        <f t="shared" si="53"/>
        <v>2.4703649112663584</v>
      </c>
      <c r="BG45" s="33">
        <f t="shared" si="49"/>
        <v>1.6468033998521747</v>
      </c>
      <c r="BH45" s="33">
        <f t="shared" si="54"/>
        <v>0.82356151141418366</v>
      </c>
      <c r="BI45" s="9">
        <v>55896.39</v>
      </c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33">
        <v>9.15</v>
      </c>
      <c r="BW45" s="33"/>
      <c r="BX45" s="33"/>
      <c r="BY45" s="33"/>
      <c r="BZ45" s="33"/>
      <c r="CA45" s="33"/>
      <c r="CB45" s="33"/>
      <c r="CC45" s="9">
        <v>1699.375</v>
      </c>
      <c r="CD45" s="36">
        <v>3.52</v>
      </c>
      <c r="CE45" s="33">
        <f t="shared" si="19"/>
        <v>642.30693749999955</v>
      </c>
      <c r="CF45" s="33">
        <f t="shared" si="22"/>
        <v>1057.0680625000005</v>
      </c>
      <c r="CG45" s="9">
        <f t="shared" si="18"/>
        <v>251.06164389661996</v>
      </c>
      <c r="CH45" s="33">
        <f t="shared" si="20"/>
        <v>8.5876109801140785</v>
      </c>
      <c r="CI45" s="36">
        <f>(CC45*100/CC44)-100</f>
        <v>10.843864655523845</v>
      </c>
      <c r="CJ45" s="36">
        <f t="shared" si="24"/>
        <v>11.195872342576948</v>
      </c>
      <c r="CK45" s="36">
        <f t="shared" si="21"/>
        <v>1.7610034311163645</v>
      </c>
      <c r="CL45" s="36">
        <f t="shared" si="55"/>
        <v>6.7236900381913927</v>
      </c>
      <c r="CM45" s="36">
        <f t="shared" si="56"/>
        <v>6.7236900381913927</v>
      </c>
      <c r="CN45" s="42">
        <v>8.4499999999999993</v>
      </c>
      <c r="CO45" s="33">
        <f t="shared" si="25"/>
        <v>14.843864655523845</v>
      </c>
      <c r="CP45" s="33">
        <f t="shared" si="37"/>
        <v>394.56</v>
      </c>
      <c r="CQ45" s="33">
        <f t="shared" si="7"/>
        <v>444.56</v>
      </c>
      <c r="CR45" s="33">
        <f t="shared" si="8"/>
        <v>344.56</v>
      </c>
      <c r="CS45" s="33">
        <f t="shared" si="9"/>
        <v>494.56</v>
      </c>
      <c r="CT45" s="33">
        <f t="shared" si="10"/>
        <v>294.56</v>
      </c>
      <c r="CU45" s="33">
        <f t="shared" si="38"/>
        <v>365.27499999999998</v>
      </c>
    </row>
    <row r="46" spans="1:99" ht="16" x14ac:dyDescent="0.4">
      <c r="A46" s="18">
        <v>2007</v>
      </c>
      <c r="B46" s="11">
        <v>44784000</v>
      </c>
      <c r="C46" s="9">
        <v>18807430</v>
      </c>
      <c r="D46" s="9">
        <f>C46/26</f>
        <v>723362.69230769225</v>
      </c>
      <c r="E46" s="9">
        <f t="shared" si="40"/>
        <v>361681.34615384613</v>
      </c>
      <c r="F46" s="9">
        <f t="shared" si="35"/>
        <v>542522.01923076925</v>
      </c>
      <c r="G46" s="9">
        <v>813429</v>
      </c>
      <c r="H46" s="9">
        <f t="shared" si="41"/>
        <v>406714.5</v>
      </c>
      <c r="I46" s="9">
        <v>742545</v>
      </c>
      <c r="J46" s="9">
        <f t="shared" si="42"/>
        <v>371272.5</v>
      </c>
      <c r="K46" s="9">
        <v>574966</v>
      </c>
      <c r="L46" s="9">
        <f t="shared" si="43"/>
        <v>287483</v>
      </c>
      <c r="M46" s="25">
        <v>775300</v>
      </c>
      <c r="N46" s="25">
        <v>131187</v>
      </c>
      <c r="O46" s="25">
        <v>19567</v>
      </c>
      <c r="P46" s="25">
        <v>11231</v>
      </c>
      <c r="Q46" s="25">
        <v>244856</v>
      </c>
      <c r="R46" s="25">
        <v>1238890</v>
      </c>
      <c r="S46" s="25">
        <v>640693</v>
      </c>
      <c r="T46" s="9">
        <v>184427159</v>
      </c>
      <c r="U46" s="9">
        <f t="shared" si="57"/>
        <v>148864.83787906918</v>
      </c>
      <c r="V46" s="25">
        <v>55159</v>
      </c>
      <c r="W46" s="25">
        <v>23084</v>
      </c>
      <c r="X46" s="36">
        <f t="shared" si="45"/>
        <v>1.5979491809622082</v>
      </c>
      <c r="Y46" s="39">
        <f t="shared" si="36"/>
        <v>3.2963387319083131</v>
      </c>
      <c r="Z46" s="39">
        <v>4.4847090909090914</v>
      </c>
      <c r="AA46" s="39">
        <v>4.6399999999999997</v>
      </c>
      <c r="AB46" s="39">
        <v>1.9</v>
      </c>
      <c r="AC46" s="39">
        <v>98.1</v>
      </c>
      <c r="AD46" s="99">
        <v>28</v>
      </c>
      <c r="AE46" s="37">
        <v>16941.921292094805</v>
      </c>
      <c r="AF46" s="41">
        <f t="shared" si="46"/>
        <v>8.7867742573287924</v>
      </c>
      <c r="AG46" s="37">
        <f t="shared" si="47"/>
        <v>29772.967575813836</v>
      </c>
      <c r="AH46" s="37">
        <f t="shared" si="51"/>
        <v>43.096296165459748</v>
      </c>
      <c r="AI46" s="9">
        <v>540</v>
      </c>
      <c r="AJ46" s="9">
        <v>279</v>
      </c>
      <c r="AK46" s="25">
        <v>46437</v>
      </c>
      <c r="AL46" s="25">
        <v>151730</v>
      </c>
      <c r="AM46" s="25">
        <v>86357</v>
      </c>
      <c r="AN46" s="25">
        <v>58193</v>
      </c>
      <c r="AO46" s="25">
        <v>7180</v>
      </c>
      <c r="AP46" s="25">
        <v>101152</v>
      </c>
      <c r="AQ46" s="92">
        <v>167.6163251138089</v>
      </c>
      <c r="AR46" s="25">
        <v>9562511100</v>
      </c>
      <c r="AS46" s="76">
        <f t="shared" si="27"/>
        <v>94536.055639038284</v>
      </c>
      <c r="AT46" s="76">
        <f t="shared" si="28"/>
        <v>564.00267441044161</v>
      </c>
      <c r="AU46" s="25">
        <v>550093</v>
      </c>
      <c r="AV46" s="92">
        <v>98.261833760132035</v>
      </c>
      <c r="AW46" s="25">
        <v>29850899100</v>
      </c>
      <c r="AX46" s="88">
        <f t="shared" si="26"/>
        <v>54265.186250324943</v>
      </c>
      <c r="AY46" s="88">
        <f t="shared" si="29"/>
        <v>552.25090122775691</v>
      </c>
      <c r="AZ46" s="96">
        <f t="shared" si="30"/>
        <v>3.2077941292322016</v>
      </c>
      <c r="BA46" s="94">
        <f t="shared" si="31"/>
        <v>9.2209846990058395</v>
      </c>
      <c r="BB46" s="89">
        <v>90.622368038503751</v>
      </c>
      <c r="BC46" s="9">
        <v>24034966</v>
      </c>
      <c r="BD46" s="37">
        <f t="shared" si="52"/>
        <v>541194</v>
      </c>
      <c r="BE46" s="9">
        <f t="shared" si="48"/>
        <v>536.68645051804219</v>
      </c>
      <c r="BF46" s="33">
        <f t="shared" si="53"/>
        <v>2.3035636848778438</v>
      </c>
      <c r="BG46" s="33">
        <f t="shared" si="49"/>
        <v>1.7610034311163645</v>
      </c>
      <c r="BH46" s="33">
        <f t="shared" si="54"/>
        <v>0.54256025376147932</v>
      </c>
      <c r="BI46" s="9">
        <v>55997.069999999992</v>
      </c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33">
        <v>8.4499999999999993</v>
      </c>
      <c r="BW46" s="33">
        <f t="shared" ref="BW46:BW59" si="58">((BV46*100)/BV45)-100</f>
        <v>-7.6502732240437297</v>
      </c>
      <c r="BX46" s="33">
        <f>CB46/(BV46*12)</f>
        <v>19.970414201183434</v>
      </c>
      <c r="BY46" s="33">
        <f>100/BX46</f>
        <v>5.0074074074074071</v>
      </c>
      <c r="BZ46" s="33">
        <f>CB46/((BV46*12)*0.75)</f>
        <v>26.627218934911244</v>
      </c>
      <c r="CA46" s="33">
        <f>100/BZ46</f>
        <v>3.7555555555555551</v>
      </c>
      <c r="CB46" s="9">
        <f>AVERAGE(Quarterly!D2:D5)</f>
        <v>2025</v>
      </c>
      <c r="CC46" s="9">
        <v>1790.3558333333333</v>
      </c>
      <c r="CD46" s="36">
        <v>2.79</v>
      </c>
      <c r="CE46" s="33">
        <f t="shared" si="19"/>
        <v>692.25786524999967</v>
      </c>
      <c r="CF46" s="33">
        <f t="shared" si="22"/>
        <v>1098.0979680833336</v>
      </c>
      <c r="CG46" s="9">
        <f t="shared" si="18"/>
        <v>260.80655617815501</v>
      </c>
      <c r="CH46" s="33">
        <f t="shared" si="20"/>
        <v>2.0412478107574259</v>
      </c>
      <c r="CI46" s="36">
        <f t="shared" si="23"/>
        <v>5.3537820277062735</v>
      </c>
      <c r="CJ46" s="36">
        <f t="shared" si="24"/>
        <v>3.8814819063113219</v>
      </c>
      <c r="CK46" s="36">
        <f t="shared" si="21"/>
        <v>1.9739192568774513</v>
      </c>
      <c r="CL46" s="36">
        <f t="shared" si="55"/>
        <v>-7.6950701512698458</v>
      </c>
      <c r="CM46" s="36">
        <f t="shared" si="56"/>
        <v>-7.6950701512698458</v>
      </c>
      <c r="CN46" s="42">
        <v>8.23</v>
      </c>
      <c r="CO46" s="33">
        <f>(CA46+CI46)</f>
        <v>9.1093375832618282</v>
      </c>
      <c r="CP46" s="33">
        <f t="shared" si="37"/>
        <v>397.84000000000003</v>
      </c>
      <c r="CQ46" s="33">
        <f t="shared" si="7"/>
        <v>447.84000000000003</v>
      </c>
      <c r="CR46" s="33">
        <f t="shared" si="8"/>
        <v>347.84000000000003</v>
      </c>
      <c r="CS46" s="33">
        <f t="shared" si="9"/>
        <v>497.84000000000003</v>
      </c>
      <c r="CT46" s="33">
        <f t="shared" si="10"/>
        <v>297.84000000000003</v>
      </c>
      <c r="CU46" s="33">
        <f t="shared" si="38"/>
        <v>368.6</v>
      </c>
    </row>
    <row r="47" spans="1:99" ht="16" x14ac:dyDescent="0.4">
      <c r="A47" s="18">
        <v>2008</v>
      </c>
      <c r="B47" s="11">
        <v>45668000</v>
      </c>
      <c r="C47" s="9">
        <v>19246126</v>
      </c>
      <c r="D47" s="9">
        <f>C47/26</f>
        <v>740235.61538461538</v>
      </c>
      <c r="E47" s="9">
        <f t="shared" si="40"/>
        <v>370117.80769230769</v>
      </c>
      <c r="F47" s="9">
        <f t="shared" si="35"/>
        <v>555176.7115384615</v>
      </c>
      <c r="G47" s="9">
        <v>817295</v>
      </c>
      <c r="H47" s="9">
        <f t="shared" si="41"/>
        <v>408647.5</v>
      </c>
      <c r="I47" s="9">
        <v>760332</v>
      </c>
      <c r="J47" s="9">
        <f t="shared" si="42"/>
        <v>380166</v>
      </c>
      <c r="K47" s="9">
        <v>620629</v>
      </c>
      <c r="L47" s="9">
        <f t="shared" si="43"/>
        <v>310314.5</v>
      </c>
      <c r="M47" s="25">
        <v>552080</v>
      </c>
      <c r="N47" s="25">
        <v>130481</v>
      </c>
      <c r="O47" s="25">
        <v>23507</v>
      </c>
      <c r="P47" s="25">
        <v>10653</v>
      </c>
      <c r="Q47" s="25">
        <v>208499</v>
      </c>
      <c r="R47" s="25">
        <v>836419</v>
      </c>
      <c r="S47" s="25">
        <v>481028</v>
      </c>
      <c r="T47" s="9">
        <v>116809939</v>
      </c>
      <c r="U47" s="9">
        <f t="shared" si="57"/>
        <v>139654.81295857698</v>
      </c>
      <c r="V47" s="25">
        <v>59375</v>
      </c>
      <c r="W47" s="25">
        <v>43992</v>
      </c>
      <c r="X47" s="36">
        <f t="shared" si="45"/>
        <v>1.5150322417041009</v>
      </c>
      <c r="Y47" s="39">
        <f t="shared" si="36"/>
        <v>-10.266837033990514</v>
      </c>
      <c r="Z47" s="39">
        <v>4.8421636363636358</v>
      </c>
      <c r="AA47" s="39">
        <v>5.12</v>
      </c>
      <c r="AB47" s="39">
        <v>2.1</v>
      </c>
      <c r="AC47" s="39">
        <v>97.9</v>
      </c>
      <c r="AD47" s="99">
        <v>27</v>
      </c>
      <c r="AE47" s="37">
        <v>17512.579556614142</v>
      </c>
      <c r="AF47" s="41">
        <f t="shared" si="46"/>
        <v>7.9745426712898055</v>
      </c>
      <c r="AG47" s="37">
        <f t="shared" si="47"/>
        <v>27930.962591715397</v>
      </c>
      <c r="AH47" s="37">
        <f t="shared" si="51"/>
        <v>37.300479712759532</v>
      </c>
      <c r="AI47" s="9">
        <v>570</v>
      </c>
      <c r="AJ47" s="9">
        <v>254.63333333333335</v>
      </c>
      <c r="AK47" s="25">
        <v>31479</v>
      </c>
      <c r="AL47" s="25">
        <v>108332</v>
      </c>
      <c r="AM47" s="25">
        <v>50959</v>
      </c>
      <c r="AN47" s="25">
        <v>53623</v>
      </c>
      <c r="AO47" s="25">
        <v>3750</v>
      </c>
      <c r="AP47" s="25">
        <v>53031</v>
      </c>
      <c r="AQ47" s="92">
        <v>172.45045712159359</v>
      </c>
      <c r="AR47" s="25">
        <v>5718860600.000001</v>
      </c>
      <c r="AS47" s="76">
        <f t="shared" si="27"/>
        <v>107839.95398917617</v>
      </c>
      <c r="AT47" s="76">
        <f t="shared" si="28"/>
        <v>625.33875403495733</v>
      </c>
      <c r="AU47" s="25">
        <v>211758</v>
      </c>
      <c r="AV47" s="92">
        <v>97.004441921524517</v>
      </c>
      <c r="AW47" s="25">
        <v>12685046799.999998</v>
      </c>
      <c r="AX47" s="88">
        <f t="shared" si="26"/>
        <v>59903.506833271931</v>
      </c>
      <c r="AY47" s="88">
        <f t="shared" si="29"/>
        <v>617.53364739455105</v>
      </c>
      <c r="AZ47" s="96">
        <f t="shared" si="30"/>
        <v>2.8418041915949028</v>
      </c>
      <c r="BA47" s="94">
        <f t="shared" si="31"/>
        <v>11.343195538604917</v>
      </c>
      <c r="BB47" s="89">
        <v>95.253208100834399</v>
      </c>
      <c r="BC47" s="9">
        <v>24569715</v>
      </c>
      <c r="BD47" s="37">
        <f t="shared" si="52"/>
        <v>534749</v>
      </c>
      <c r="BE47" s="9">
        <f t="shared" si="48"/>
        <v>538.00724796356315</v>
      </c>
      <c r="BF47" s="33">
        <f t="shared" si="53"/>
        <v>2.2248793694985949</v>
      </c>
      <c r="BG47" s="33">
        <f t="shared" si="49"/>
        <v>1.9739192568774513</v>
      </c>
      <c r="BH47" s="33">
        <f t="shared" si="54"/>
        <v>0.25096011262114359</v>
      </c>
      <c r="BI47" s="9">
        <v>42695.54</v>
      </c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33">
        <v>8</v>
      </c>
      <c r="BW47" s="33">
        <f t="shared" si="58"/>
        <v>-5.325443786982234</v>
      </c>
      <c r="BX47" s="33">
        <f t="shared" ref="BX47:BX59" si="59">CB47/(BV47*12)</f>
        <v>20.627604166666668</v>
      </c>
      <c r="BY47" s="33">
        <f t="shared" ref="BY47:BY59" si="60">100/BX47</f>
        <v>4.8478727433404867</v>
      </c>
      <c r="BZ47" s="33">
        <f t="shared" ref="BZ47:BZ60" si="61">CB47/((BV47*12)*0.75)</f>
        <v>27.503472222222221</v>
      </c>
      <c r="CA47" s="33">
        <f t="shared" ref="CA47:CA59" si="62">100/BZ47</f>
        <v>3.6359045575053655</v>
      </c>
      <c r="CB47" s="9">
        <f>AVERAGE(Quarterly!D6:D9)</f>
        <v>1980.25</v>
      </c>
      <c r="CC47" s="37">
        <v>1766</v>
      </c>
      <c r="CD47" s="36">
        <v>4.08</v>
      </c>
      <c r="CE47" s="33">
        <f t="shared" si="19"/>
        <v>764.3106652499996</v>
      </c>
      <c r="CF47" s="33">
        <f t="shared" si="22"/>
        <v>1001.6893347500004</v>
      </c>
      <c r="CG47" s="9">
        <f t="shared" si="18"/>
        <v>237.90877804147698</v>
      </c>
      <c r="CH47" s="33">
        <f t="shared" si="20"/>
        <v>-11.78850532677194</v>
      </c>
      <c r="CI47" s="36">
        <f t="shared" si="23"/>
        <v>-1.3603906486001165</v>
      </c>
      <c r="CJ47" s="36">
        <f t="shared" si="24"/>
        <v>-8.7796021972073106</v>
      </c>
      <c r="CK47" s="36">
        <f t="shared" si="21"/>
        <v>1.2503284575632847</v>
      </c>
      <c r="CL47" s="36">
        <f t="shared" si="55"/>
        <v>-28.791435573326453</v>
      </c>
      <c r="CM47" s="36">
        <f t="shared" si="56"/>
        <v>-32.486419294691217</v>
      </c>
      <c r="CN47" s="42">
        <v>11.25</v>
      </c>
      <c r="CO47" s="33">
        <f>(CA47+CI47)</f>
        <v>2.275513908905249</v>
      </c>
      <c r="CP47" s="33">
        <f t="shared" si="37"/>
        <v>401</v>
      </c>
      <c r="CQ47" s="33">
        <f t="shared" si="7"/>
        <v>451</v>
      </c>
      <c r="CR47" s="33">
        <f t="shared" si="8"/>
        <v>351</v>
      </c>
      <c r="CS47" s="33">
        <f t="shared" si="9"/>
        <v>501</v>
      </c>
      <c r="CT47" s="33">
        <f t="shared" si="10"/>
        <v>301</v>
      </c>
      <c r="CU47" s="33">
        <f t="shared" si="38"/>
        <v>371.875</v>
      </c>
    </row>
    <row r="48" spans="1:99" ht="16" x14ac:dyDescent="0.4">
      <c r="A48" s="18">
        <v>2009</v>
      </c>
      <c r="B48" s="11">
        <v>46239000</v>
      </c>
      <c r="C48" s="9">
        <v>19428733</v>
      </c>
      <c r="D48" s="9">
        <f t="shared" si="50"/>
        <v>747258.9615384615</v>
      </c>
      <c r="E48" s="9">
        <f t="shared" si="40"/>
        <v>373629.48076923075</v>
      </c>
      <c r="F48" s="9">
        <f t="shared" si="35"/>
        <v>560444.22115384613</v>
      </c>
      <c r="G48" s="9">
        <v>816375</v>
      </c>
      <c r="H48" s="9">
        <f t="shared" si="41"/>
        <v>408187.5</v>
      </c>
      <c r="I48" s="9">
        <v>764551</v>
      </c>
      <c r="J48" s="9">
        <f t="shared" si="42"/>
        <v>382275.5</v>
      </c>
      <c r="K48" s="9">
        <v>638318</v>
      </c>
      <c r="L48" s="9">
        <f t="shared" si="43"/>
        <v>319159</v>
      </c>
      <c r="M48" s="25">
        <v>413393</v>
      </c>
      <c r="N48" s="25">
        <v>122546</v>
      </c>
      <c r="O48" s="25">
        <v>22765</v>
      </c>
      <c r="P48" s="25">
        <v>7512</v>
      </c>
      <c r="Q48" s="25">
        <v>200749</v>
      </c>
      <c r="R48" s="25">
        <v>650889</v>
      </c>
      <c r="S48" s="25">
        <v>360397</v>
      </c>
      <c r="T48" s="9">
        <v>76677074</v>
      </c>
      <c r="U48" s="9">
        <f t="shared" si="57"/>
        <v>117803.61013936324</v>
      </c>
      <c r="V48" s="25">
        <v>70471</v>
      </c>
      <c r="W48" s="25">
        <v>27640</v>
      </c>
      <c r="X48" s="36">
        <f t="shared" si="45"/>
        <v>1.5745041643182154</v>
      </c>
      <c r="Y48" s="39">
        <f t="shared" si="36"/>
        <v>-15.356580562672782</v>
      </c>
      <c r="Z48" s="39">
        <v>1.5266454545454544</v>
      </c>
      <c r="AA48" s="39">
        <v>4.34</v>
      </c>
      <c r="AB48" s="39">
        <v>3.1</v>
      </c>
      <c r="AC48" s="39">
        <v>96.9</v>
      </c>
      <c r="AD48" s="99">
        <v>24</v>
      </c>
      <c r="AE48" s="37">
        <v>17213.60358419663</v>
      </c>
      <c r="AF48" s="41">
        <f t="shared" si="46"/>
        <v>6.8436344291973663</v>
      </c>
      <c r="AG48" s="37">
        <f t="shared" si="47"/>
        <v>23560.722027872649</v>
      </c>
      <c r="AH48" s="37">
        <f t="shared" si="51"/>
        <v>26.93940549091532</v>
      </c>
      <c r="AI48" s="9">
        <v>600</v>
      </c>
      <c r="AJ48" s="9">
        <v>239.02499999999998</v>
      </c>
      <c r="AK48" s="25">
        <v>22656</v>
      </c>
      <c r="AL48" s="25">
        <v>89108</v>
      </c>
      <c r="AM48" s="25">
        <v>31595</v>
      </c>
      <c r="AN48" s="25">
        <v>55012</v>
      </c>
      <c r="AO48" s="25">
        <v>2501</v>
      </c>
      <c r="AP48" s="25">
        <v>27072</v>
      </c>
      <c r="AQ48" s="92">
        <v>183.24247835965181</v>
      </c>
      <c r="AR48" s="25">
        <v>3199472400.0000005</v>
      </c>
      <c r="AS48" s="76">
        <f t="shared" si="27"/>
        <v>118183.82092198584</v>
      </c>
      <c r="AT48" s="76">
        <f t="shared" si="28"/>
        <v>644.95864703393329</v>
      </c>
      <c r="AU48" s="25">
        <v>83750</v>
      </c>
      <c r="AV48" s="92">
        <v>99.153449626823587</v>
      </c>
      <c r="AW48" s="25">
        <v>5318232000</v>
      </c>
      <c r="AX48" s="88">
        <f t="shared" si="26"/>
        <v>63501.277611940299</v>
      </c>
      <c r="AY48" s="88">
        <f t="shared" si="29"/>
        <v>640.43437571698519</v>
      </c>
      <c r="AZ48" s="96">
        <f t="shared" si="30"/>
        <v>2.6326578253535038</v>
      </c>
      <c r="BA48" s="94">
        <f t="shared" si="31"/>
        <v>3.4211574150736936</v>
      </c>
      <c r="BB48" s="89">
        <v>96.384006819595854</v>
      </c>
      <c r="BC48" s="9">
        <v>24908126</v>
      </c>
      <c r="BD48" s="37">
        <f t="shared" si="52"/>
        <v>338411</v>
      </c>
      <c r="BE48" s="9">
        <f t="shared" si="48"/>
        <v>538.68219468414111</v>
      </c>
      <c r="BF48" s="33">
        <f t="shared" si="53"/>
        <v>1.3773501239228807</v>
      </c>
      <c r="BG48" s="33">
        <f t="shared" si="49"/>
        <v>1.2503284575632847</v>
      </c>
      <c r="BH48" s="33">
        <f t="shared" si="54"/>
        <v>0.127021666359596</v>
      </c>
      <c r="BI48" s="9">
        <v>28911.140000000003</v>
      </c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33">
        <v>7.65</v>
      </c>
      <c r="BW48" s="33">
        <f t="shared" si="58"/>
        <v>-4.375</v>
      </c>
      <c r="BX48" s="33">
        <f t="shared" si="59"/>
        <v>20.687182280319533</v>
      </c>
      <c r="BY48" s="33">
        <f t="shared" si="60"/>
        <v>4.8339110974593007</v>
      </c>
      <c r="BZ48" s="33">
        <f t="shared" si="61"/>
        <v>27.582909707092714</v>
      </c>
      <c r="CA48" s="33">
        <f t="shared" si="62"/>
        <v>3.6254333230944753</v>
      </c>
      <c r="CB48" s="9">
        <f>AVERAGE(Quarterly!D10:D13)</f>
        <v>1899.0833333333335</v>
      </c>
      <c r="CC48" s="37">
        <v>1692</v>
      </c>
      <c r="CD48" s="36">
        <v>-0.28999999999999998</v>
      </c>
      <c r="CE48" s="33">
        <f t="shared" si="19"/>
        <v>759.40386524999985</v>
      </c>
      <c r="CF48" s="33">
        <f t="shared" si="22"/>
        <v>932.59613475000015</v>
      </c>
      <c r="CG48" s="9">
        <f t="shared" si="18"/>
        <v>221.49862150618955</v>
      </c>
      <c r="CH48" s="33">
        <f t="shared" si="20"/>
        <v>-8.7516561314759258</v>
      </c>
      <c r="CI48" s="36">
        <f t="shared" si="23"/>
        <v>-4.1902604756511863</v>
      </c>
      <c r="CJ48" s="36">
        <f t="shared" si="24"/>
        <v>-6.8976675305467126</v>
      </c>
      <c r="CK48" s="36">
        <f t="shared" si="21"/>
        <v>0.53418110253250006</v>
      </c>
      <c r="CL48" s="36">
        <f t="shared" si="55"/>
        <v>-25.120815823793649</v>
      </c>
      <c r="CM48" s="36">
        <f t="shared" si="56"/>
        <v>-22.181466465969805</v>
      </c>
      <c r="CN48" s="42">
        <v>17.86</v>
      </c>
      <c r="CO48" s="33">
        <f t="shared" ref="CO48:CO61" si="63">(CA48+CI48)</f>
        <v>-0.56482715255671101</v>
      </c>
      <c r="CP48" s="33">
        <f t="shared" si="37"/>
        <v>404.04</v>
      </c>
      <c r="CQ48" s="33">
        <f t="shared" si="7"/>
        <v>454.04</v>
      </c>
      <c r="CR48" s="33">
        <f t="shared" si="8"/>
        <v>354.04</v>
      </c>
      <c r="CS48" s="33">
        <f t="shared" si="9"/>
        <v>504.04</v>
      </c>
      <c r="CT48" s="33">
        <f t="shared" si="10"/>
        <v>304.04000000000002</v>
      </c>
      <c r="CU48" s="33">
        <f t="shared" si="38"/>
        <v>375.1</v>
      </c>
    </row>
    <row r="49" spans="1:99" ht="16" x14ac:dyDescent="0.4">
      <c r="A49" s="18">
        <v>2010</v>
      </c>
      <c r="B49" s="11">
        <v>46486000</v>
      </c>
      <c r="C49" s="9">
        <v>19403020</v>
      </c>
      <c r="D49" s="9">
        <f t="shared" si="50"/>
        <v>746270</v>
      </c>
      <c r="E49" s="9">
        <f t="shared" si="40"/>
        <v>373135</v>
      </c>
      <c r="F49" s="9">
        <f t="shared" si="35"/>
        <v>559702.5</v>
      </c>
      <c r="G49" s="9">
        <v>779876</v>
      </c>
      <c r="H49" s="9">
        <f t="shared" si="41"/>
        <v>389938</v>
      </c>
      <c r="I49" s="9">
        <v>771872</v>
      </c>
      <c r="J49" s="9">
        <f t="shared" si="42"/>
        <v>385936</v>
      </c>
      <c r="K49" s="9">
        <v>652384</v>
      </c>
      <c r="L49" s="9">
        <f t="shared" si="43"/>
        <v>326192</v>
      </c>
      <c r="M49" s="25">
        <v>439591</v>
      </c>
      <c r="N49" s="25">
        <v>132407</v>
      </c>
      <c r="O49" s="25">
        <v>21986</v>
      </c>
      <c r="P49" s="25">
        <v>5885</v>
      </c>
      <c r="Q49" s="25">
        <v>194221</v>
      </c>
      <c r="R49" s="25">
        <v>607535</v>
      </c>
      <c r="S49" s="25">
        <v>370543</v>
      </c>
      <c r="T49" s="9">
        <v>71041231</v>
      </c>
      <c r="U49" s="9">
        <f t="shared" si="57"/>
        <v>116933.56102940571</v>
      </c>
      <c r="V49" s="25">
        <v>57697</v>
      </c>
      <c r="W49" s="25">
        <v>23852</v>
      </c>
      <c r="X49" s="36">
        <f t="shared" si="45"/>
        <v>1.3820460382491908</v>
      </c>
      <c r="Y49" s="39">
        <f t="shared" si="36"/>
        <v>-2.5385589532682813</v>
      </c>
      <c r="Z49" s="39">
        <v>1.361181818181818</v>
      </c>
      <c r="AA49" s="39">
        <v>3.59</v>
      </c>
      <c r="AB49" s="39">
        <v>2.7</v>
      </c>
      <c r="AC49" s="39">
        <v>97.3</v>
      </c>
      <c r="AD49" s="99">
        <v>24</v>
      </c>
      <c r="AE49" s="37">
        <v>17210.40711623021</v>
      </c>
      <c r="AF49" s="41">
        <f t="shared" si="46"/>
        <v>6.7943518267578895</v>
      </c>
      <c r="AG49" s="37">
        <f t="shared" si="47"/>
        <v>23386.712205881144</v>
      </c>
      <c r="AH49" s="37">
        <f t="shared" si="51"/>
        <v>26.409462926121591</v>
      </c>
      <c r="AI49" s="9">
        <v>624</v>
      </c>
      <c r="AJ49" s="9">
        <v>208.47500000000002</v>
      </c>
      <c r="AK49" s="25">
        <v>21220</v>
      </c>
      <c r="AL49" s="25">
        <v>89788</v>
      </c>
      <c r="AM49" s="25">
        <v>29715</v>
      </c>
      <c r="AN49" s="25">
        <v>56957</v>
      </c>
      <c r="AO49" s="25">
        <v>3116</v>
      </c>
      <c r="AP49" s="25">
        <v>24633</v>
      </c>
      <c r="AQ49" s="92">
        <v>188.56656918891656</v>
      </c>
      <c r="AR49" s="25">
        <v>3009437099.999999</v>
      </c>
      <c r="AS49" s="76">
        <f t="shared" si="27"/>
        <v>122170.95359883079</v>
      </c>
      <c r="AT49" s="76">
        <f t="shared" si="28"/>
        <v>647.89296493183303</v>
      </c>
      <c r="AU49" s="25">
        <v>66994</v>
      </c>
      <c r="AV49" s="92">
        <v>100.52870557289202</v>
      </c>
      <c r="AW49" s="25">
        <v>4380167900</v>
      </c>
      <c r="AX49" s="88">
        <f t="shared" si="26"/>
        <v>65381.495357793232</v>
      </c>
      <c r="AY49" s="88">
        <f t="shared" si="29"/>
        <v>650.37637742570939</v>
      </c>
      <c r="AZ49" s="96">
        <f t="shared" si="30"/>
        <v>2.5603315826313127</v>
      </c>
      <c r="BA49" s="94">
        <f t="shared" si="31"/>
        <v>1.0017418313868518</v>
      </c>
      <c r="BB49" s="89">
        <v>96.803079050758882</v>
      </c>
      <c r="BC49" s="9">
        <v>25106251</v>
      </c>
      <c r="BD49" s="37">
        <f t="shared" si="52"/>
        <v>198125</v>
      </c>
      <c r="BE49" s="9">
        <f t="shared" si="48"/>
        <v>540.08198167190119</v>
      </c>
      <c r="BF49" s="33">
        <f t="shared" si="53"/>
        <v>0.79542314825290816</v>
      </c>
      <c r="BG49" s="33">
        <f t="shared" si="49"/>
        <v>0.53418110253250006</v>
      </c>
      <c r="BH49" s="33">
        <f t="shared" si="54"/>
        <v>0.2612420457204081</v>
      </c>
      <c r="BI49" s="9">
        <v>24456.010000000002</v>
      </c>
      <c r="BJ49" s="25"/>
      <c r="BK49" s="25"/>
      <c r="BL49" s="36"/>
      <c r="BM49" s="25"/>
      <c r="BN49" s="25"/>
      <c r="BO49" s="25"/>
      <c r="BP49" s="25"/>
      <c r="BQ49" s="25"/>
      <c r="BR49" s="25"/>
      <c r="BS49" s="25"/>
      <c r="BT49" s="25"/>
      <c r="BU49" s="25"/>
      <c r="BV49" s="33">
        <v>7.65</v>
      </c>
      <c r="BW49" s="33">
        <f t="shared" si="58"/>
        <v>0</v>
      </c>
      <c r="BX49" s="33">
        <f t="shared" si="59"/>
        <v>20.875998547567171</v>
      </c>
      <c r="BY49" s="33">
        <f t="shared" si="60"/>
        <v>4.7901900247858427</v>
      </c>
      <c r="BZ49" s="33">
        <f t="shared" si="61"/>
        <v>27.83466473008956</v>
      </c>
      <c r="CA49" s="33">
        <f t="shared" si="62"/>
        <v>3.5926425185893822</v>
      </c>
      <c r="CB49" s="9">
        <f>AVERAGE(Quarterly!D14:D17)</f>
        <v>1916.4166666666665</v>
      </c>
      <c r="CC49" s="37">
        <v>1662</v>
      </c>
      <c r="CD49" s="36">
        <v>1.7999999999999998</v>
      </c>
      <c r="CE49" s="33">
        <f t="shared" si="19"/>
        <v>789.31986524999979</v>
      </c>
      <c r="CF49" s="33">
        <f t="shared" si="22"/>
        <v>872.68013475000021</v>
      </c>
      <c r="CG49" s="9">
        <f t="shared" si="18"/>
        <v>207.26811924303951</v>
      </c>
      <c r="CH49" s="33">
        <f t="shared" si="20"/>
        <v>-7.436602453815965</v>
      </c>
      <c r="CI49" s="36">
        <f t="shared" si="23"/>
        <v>-1.7730496453900741</v>
      </c>
      <c r="CJ49" s="36">
        <f t="shared" si="24"/>
        <v>-6.42464597133052</v>
      </c>
      <c r="CK49" s="36">
        <f t="shared" si="21"/>
        <v>0.38936453986146091</v>
      </c>
      <c r="CL49" s="36">
        <f t="shared" si="55"/>
        <v>6.3373109849465266</v>
      </c>
      <c r="CM49" s="36">
        <f t="shared" si="56"/>
        <v>-6.6607363160231614</v>
      </c>
      <c r="CN49" s="42">
        <v>19.86</v>
      </c>
      <c r="CO49" s="33">
        <f>(CA49+CI49)</f>
        <v>1.8195928731993081</v>
      </c>
      <c r="CP49" s="33">
        <f t="shared" si="37"/>
        <v>406.96000000000004</v>
      </c>
      <c r="CQ49" s="33">
        <f t="shared" si="7"/>
        <v>456.96000000000004</v>
      </c>
      <c r="CR49" s="33">
        <f t="shared" si="8"/>
        <v>356.96000000000004</v>
      </c>
      <c r="CS49" s="33">
        <f t="shared" si="9"/>
        <v>506.96000000000004</v>
      </c>
      <c r="CT49" s="33">
        <f t="shared" si="10"/>
        <v>306.96000000000004</v>
      </c>
      <c r="CU49" s="33">
        <f t="shared" si="38"/>
        <v>378.27499999999998</v>
      </c>
    </row>
    <row r="50" spans="1:99" ht="16" x14ac:dyDescent="0.4">
      <c r="A50" s="18">
        <v>2011</v>
      </c>
      <c r="B50" s="11">
        <v>46667000</v>
      </c>
      <c r="C50" s="9">
        <v>19304501</v>
      </c>
      <c r="D50" s="9">
        <f t="shared" si="50"/>
        <v>742480.80769230775</v>
      </c>
      <c r="E50" s="9">
        <f t="shared" si="40"/>
        <v>371240.40384615387</v>
      </c>
      <c r="F50" s="9">
        <f t="shared" si="35"/>
        <v>556860.60576923075</v>
      </c>
      <c r="G50" s="9">
        <v>754073</v>
      </c>
      <c r="H50" s="9">
        <f t="shared" si="41"/>
        <v>377036.5</v>
      </c>
      <c r="I50" s="9">
        <v>780597</v>
      </c>
      <c r="J50" s="9">
        <f t="shared" si="42"/>
        <v>390298.5</v>
      </c>
      <c r="K50" s="9">
        <v>670579</v>
      </c>
      <c r="L50" s="9">
        <f t="shared" si="43"/>
        <v>335289.5</v>
      </c>
      <c r="M50" s="25">
        <v>359824</v>
      </c>
      <c r="N50" s="25">
        <v>134536</v>
      </c>
      <c r="O50" s="25">
        <v>18875</v>
      </c>
      <c r="P50" s="25">
        <v>4310</v>
      </c>
      <c r="Q50" s="25">
        <v>191539</v>
      </c>
      <c r="R50" s="25">
        <v>408461</v>
      </c>
      <c r="S50" s="25">
        <v>320866</v>
      </c>
      <c r="T50" s="9">
        <v>45715937</v>
      </c>
      <c r="U50" s="9">
        <f t="shared" si="57"/>
        <v>111922.40385250979</v>
      </c>
      <c r="V50" s="25">
        <v>38155</v>
      </c>
      <c r="W50" s="25">
        <v>16266</v>
      </c>
      <c r="X50" s="36">
        <f t="shared" si="45"/>
        <v>1.1351688603317178</v>
      </c>
      <c r="Y50" s="39">
        <f t="shared" si="36"/>
        <v>-7.4854738475259071</v>
      </c>
      <c r="Z50" s="39">
        <v>2.0471727272727271</v>
      </c>
      <c r="AA50" s="39">
        <v>3.75</v>
      </c>
      <c r="AB50" s="39">
        <v>3.4</v>
      </c>
      <c r="AC50" s="39">
        <v>96.6</v>
      </c>
      <c r="AD50" s="99">
        <v>24</v>
      </c>
      <c r="AE50" s="37">
        <v>17290.887015308257</v>
      </c>
      <c r="AF50" s="41">
        <f t="shared" si="46"/>
        <v>6.472912798135849</v>
      </c>
      <c r="AG50" s="37">
        <f t="shared" si="47"/>
        <v>22384.480770501956</v>
      </c>
      <c r="AH50" s="37">
        <f t="shared" si="51"/>
        <v>22.755023033216759</v>
      </c>
      <c r="AI50" s="9">
        <v>633</v>
      </c>
      <c r="AJ50" s="9">
        <v>194.6</v>
      </c>
      <c r="AK50" s="25">
        <v>16796</v>
      </c>
      <c r="AL50" s="25">
        <v>76339</v>
      </c>
      <c r="AM50" s="25">
        <v>24285</v>
      </c>
      <c r="AN50" s="25">
        <v>49199</v>
      </c>
      <c r="AO50" s="25">
        <v>2855</v>
      </c>
      <c r="AP50" s="25">
        <v>19914</v>
      </c>
      <c r="AQ50" s="92">
        <v>189.77535706948277</v>
      </c>
      <c r="AR50" s="25">
        <v>2440981800.0000005</v>
      </c>
      <c r="AS50" s="76">
        <f t="shared" si="27"/>
        <v>122576.16752033748</v>
      </c>
      <c r="AT50" s="76">
        <f t="shared" si="28"/>
        <v>645.90139316907448</v>
      </c>
      <c r="AU50" s="25">
        <v>58346</v>
      </c>
      <c r="AV50" s="92">
        <v>104.08889406620307</v>
      </c>
      <c r="AW50" s="25">
        <v>3923135000</v>
      </c>
      <c r="AX50" s="88">
        <f t="shared" si="26"/>
        <v>67239.142357659483</v>
      </c>
      <c r="AY50" s="88">
        <f t="shared" si="29"/>
        <v>645.9780648153851</v>
      </c>
      <c r="AZ50" s="96">
        <f t="shared" si="30"/>
        <v>2.3810271004688444</v>
      </c>
      <c r="BA50" s="94">
        <f t="shared" si="31"/>
        <v>-0.49218480053448843</v>
      </c>
      <c r="BB50" s="89">
        <v>100.27227714631812</v>
      </c>
      <c r="BC50" s="25">
        <v>25249053</v>
      </c>
      <c r="BD50" s="37">
        <f t="shared" si="52"/>
        <v>142802</v>
      </c>
      <c r="BE50" s="9">
        <f t="shared" si="48"/>
        <v>541.04727109092073</v>
      </c>
      <c r="BF50" s="33">
        <f t="shared" si="53"/>
        <v>0.5687906171255861</v>
      </c>
      <c r="BG50" s="33">
        <f t="shared" si="49"/>
        <v>0.38936453986146091</v>
      </c>
      <c r="BH50" s="33">
        <f t="shared" si="54"/>
        <v>0.17942607726412518</v>
      </c>
      <c r="BI50" s="9">
        <v>20441.07</v>
      </c>
      <c r="BJ50" s="25">
        <v>12.77</v>
      </c>
      <c r="BK50" s="36">
        <f t="shared" ref="BK50:BK60" si="64">100-(BJ50+BL50)</f>
        <v>81.961308000000002</v>
      </c>
      <c r="BL50" s="36">
        <f t="shared" ref="BL50:BL60" si="65">(BM50*(100-BJ50))/100</f>
        <v>5.2686919999999997</v>
      </c>
      <c r="BM50" s="25">
        <v>6.04</v>
      </c>
      <c r="BN50" s="25"/>
      <c r="BO50" s="25"/>
      <c r="BP50" s="25"/>
      <c r="BQ50" s="25"/>
      <c r="BR50" s="25"/>
      <c r="BS50" s="25"/>
      <c r="BT50" s="25"/>
      <c r="BU50" s="25"/>
      <c r="BV50" s="33">
        <v>7.9</v>
      </c>
      <c r="BW50" s="33">
        <f t="shared" si="58"/>
        <v>3.2679738562091387</v>
      </c>
      <c r="BX50" s="33">
        <f t="shared" si="59"/>
        <v>20.683895921237688</v>
      </c>
      <c r="BY50" s="33">
        <f t="shared" si="60"/>
        <v>4.8346791330216758</v>
      </c>
      <c r="BZ50" s="33">
        <f t="shared" si="61"/>
        <v>27.578527894983587</v>
      </c>
      <c r="CA50" s="33">
        <f t="shared" si="62"/>
        <v>3.6260093497662562</v>
      </c>
      <c r="CB50" s="9">
        <f>AVERAGE(Quarterly!D18:D21)</f>
        <v>1960.8333333333333</v>
      </c>
      <c r="CC50" s="37">
        <v>1538</v>
      </c>
      <c r="CD50" s="36">
        <v>3.2</v>
      </c>
      <c r="CE50" s="33">
        <f>(CC50-((1-(CD50/100))*CC50))+CE49</f>
        <v>838.53586524999992</v>
      </c>
      <c r="CF50" s="33">
        <f t="shared" si="22"/>
        <v>699.46413475000008</v>
      </c>
      <c r="CG50" s="9">
        <f t="shared" si="18"/>
        <v>166.12801175899855</v>
      </c>
      <c r="CH50" s="33">
        <f t="shared" si="20"/>
        <v>-25.249887480543435</v>
      </c>
      <c r="CI50" s="36">
        <f t="shared" si="23"/>
        <v>-7.4608904933814699</v>
      </c>
      <c r="CJ50" s="36">
        <f t="shared" si="24"/>
        <v>-19.848738742015925</v>
      </c>
      <c r="CK50" s="36">
        <f t="shared" si="21"/>
        <v>0.32356911736344784</v>
      </c>
      <c r="CL50" s="36">
        <f t="shared" si="55"/>
        <v>-18.145730918057922</v>
      </c>
      <c r="CM50" s="36">
        <f t="shared" si="56"/>
        <v>-32.76749487683837</v>
      </c>
      <c r="CN50" s="42">
        <v>21.39</v>
      </c>
      <c r="CO50" s="33">
        <f t="shared" si="63"/>
        <v>-3.8348811436152137</v>
      </c>
      <c r="CP50" s="33">
        <f t="shared" si="37"/>
        <v>409.76</v>
      </c>
      <c r="CQ50" s="33">
        <f t="shared" si="7"/>
        <v>459.76</v>
      </c>
      <c r="CR50" s="33">
        <f t="shared" si="8"/>
        <v>359.76</v>
      </c>
      <c r="CS50" s="33">
        <f t="shared" si="9"/>
        <v>509.76</v>
      </c>
      <c r="CT50" s="33">
        <f t="shared" si="10"/>
        <v>309.76</v>
      </c>
      <c r="CU50" s="33">
        <f t="shared" si="38"/>
        <v>381.4</v>
      </c>
    </row>
    <row r="51" spans="1:99" ht="16" x14ac:dyDescent="0.4">
      <c r="A51" s="18">
        <v>2012</v>
      </c>
      <c r="B51" s="11">
        <v>46818000</v>
      </c>
      <c r="C51" s="9">
        <v>19150018</v>
      </c>
      <c r="D51" s="9">
        <f>C51/26</f>
        <v>736539.15384615387</v>
      </c>
      <c r="E51" s="9">
        <f>D51/2</f>
        <v>368269.57692307694</v>
      </c>
      <c r="F51" s="9">
        <f t="shared" si="35"/>
        <v>552404.36538461538</v>
      </c>
      <c r="G51" s="9">
        <v>712602</v>
      </c>
      <c r="H51" s="9">
        <f t="shared" si="41"/>
        <v>356301</v>
      </c>
      <c r="I51" s="9">
        <v>789026</v>
      </c>
      <c r="J51" s="9">
        <f t="shared" si="42"/>
        <v>394513</v>
      </c>
      <c r="K51" s="9">
        <v>666360</v>
      </c>
      <c r="L51" s="9">
        <f t="shared" si="43"/>
        <v>333180</v>
      </c>
      <c r="M51" s="25">
        <v>318534</v>
      </c>
      <c r="N51" s="25">
        <v>136922</v>
      </c>
      <c r="O51" s="25">
        <v>19901</v>
      </c>
      <c r="P51" s="25">
        <v>2890</v>
      </c>
      <c r="Q51" s="25">
        <v>201009</v>
      </c>
      <c r="R51" s="25">
        <v>273873</v>
      </c>
      <c r="S51" s="25">
        <v>294261</v>
      </c>
      <c r="T51" s="9">
        <v>28328881</v>
      </c>
      <c r="U51" s="9">
        <f t="shared" si="57"/>
        <v>103438.02054236818</v>
      </c>
      <c r="V51" s="25">
        <v>37108</v>
      </c>
      <c r="W51" s="25">
        <v>17271</v>
      </c>
      <c r="X51" s="36">
        <f t="shared" si="45"/>
        <v>0.85979204731676995</v>
      </c>
      <c r="Y51" s="39">
        <f t="shared" si="36"/>
        <v>-10.030594249317797</v>
      </c>
      <c r="Z51" s="39">
        <v>1.0449181818181819</v>
      </c>
      <c r="AA51" s="39">
        <v>4.13</v>
      </c>
      <c r="AB51" s="39">
        <v>4.7</v>
      </c>
      <c r="AC51" s="39">
        <v>95.3</v>
      </c>
      <c r="AD51" s="99">
        <v>24</v>
      </c>
      <c r="AE51" s="37">
        <v>16365.786136376784</v>
      </c>
      <c r="AF51" s="41">
        <f t="shared" si="46"/>
        <v>6.3203820262842738</v>
      </c>
      <c r="AG51" s="37">
        <f t="shared" si="47"/>
        <v>20687.604108473635</v>
      </c>
      <c r="AH51" s="37">
        <f t="shared" si="51"/>
        <v>20.890857875256017</v>
      </c>
      <c r="AI51" s="9">
        <v>641</v>
      </c>
      <c r="AJ51" s="9">
        <v>182.22499999999999</v>
      </c>
      <c r="AK51" s="25">
        <v>14908</v>
      </c>
      <c r="AL51" s="25">
        <v>60670</v>
      </c>
      <c r="AM51" s="25">
        <v>18289</v>
      </c>
      <c r="AN51" s="25">
        <v>40094</v>
      </c>
      <c r="AO51" s="25">
        <v>2287</v>
      </c>
      <c r="AP51" s="25">
        <v>14515</v>
      </c>
      <c r="AQ51" s="92">
        <v>196.6635838317799</v>
      </c>
      <c r="AR51" s="25">
        <v>1816255299.9999998</v>
      </c>
      <c r="AS51" s="76">
        <f t="shared" si="27"/>
        <v>125129.54185325524</v>
      </c>
      <c r="AT51" s="76">
        <f t="shared" si="28"/>
        <v>636.26188140803572</v>
      </c>
      <c r="AU51" s="25">
        <v>29611</v>
      </c>
      <c r="AV51" s="92">
        <v>108.01988521501141</v>
      </c>
      <c r="AW51" s="25">
        <v>2082608800.0000002</v>
      </c>
      <c r="AX51" s="88">
        <f t="shared" si="26"/>
        <v>70332.268413765167</v>
      </c>
      <c r="AY51" s="88">
        <f t="shared" si="29"/>
        <v>651.10482457716182</v>
      </c>
      <c r="AZ51" s="96">
        <f t="shared" si="30"/>
        <v>2.1190543357359184</v>
      </c>
      <c r="BA51" s="94">
        <f t="shared" si="31"/>
        <v>-0.34931680129837162</v>
      </c>
      <c r="BB51" s="89">
        <v>101.29567221861966</v>
      </c>
      <c r="BC51" s="9">
        <v>25382415</v>
      </c>
      <c r="BD51" s="37">
        <f t="shared" si="52"/>
        <v>133362</v>
      </c>
      <c r="BE51" s="9">
        <f t="shared" si="48"/>
        <v>542.15077534281681</v>
      </c>
      <c r="BF51" s="33">
        <f>(BC51*100/BC50)-100</f>
        <v>0.52818614622893278</v>
      </c>
      <c r="BG51" s="33">
        <f t="shared" si="49"/>
        <v>0.32356911736344784</v>
      </c>
      <c r="BH51" s="33">
        <f t="shared" si="54"/>
        <v>0.20461702886548494</v>
      </c>
      <c r="BI51" s="9">
        <v>13581.800000000001</v>
      </c>
      <c r="BJ51" s="25">
        <v>18.649999999999999</v>
      </c>
      <c r="BK51" s="36">
        <f t="shared" si="64"/>
        <v>74.744380000000007</v>
      </c>
      <c r="BL51" s="36">
        <f t="shared" si="65"/>
        <v>6.6056199999999992</v>
      </c>
      <c r="BM51" s="25">
        <v>8.1199999999999992</v>
      </c>
      <c r="BN51" s="25"/>
      <c r="BO51" s="25"/>
      <c r="BP51" s="25"/>
      <c r="BQ51" s="25"/>
      <c r="BR51" s="25"/>
      <c r="BS51" s="25"/>
      <c r="BT51" s="25"/>
      <c r="BU51" s="25"/>
      <c r="BV51" s="33">
        <v>7.75</v>
      </c>
      <c r="BW51" s="33">
        <f t="shared" si="58"/>
        <v>-1.8987341772151893</v>
      </c>
      <c r="BX51" s="33">
        <f t="shared" si="59"/>
        <v>19.378136200716845</v>
      </c>
      <c r="BY51" s="33">
        <f t="shared" si="60"/>
        <v>5.1604550078609082</v>
      </c>
      <c r="BZ51" s="33">
        <f t="shared" si="61"/>
        <v>25.837514934289125</v>
      </c>
      <c r="CA51" s="33">
        <f t="shared" si="62"/>
        <v>3.8703412558956818</v>
      </c>
      <c r="CB51" s="9">
        <f>AVERAGE(Quarterly!D22:D25)</f>
        <v>1802.1666666666665</v>
      </c>
      <c r="CC51" s="37">
        <v>1364</v>
      </c>
      <c r="CD51" s="36">
        <v>2.4500000000000002</v>
      </c>
      <c r="CE51" s="33">
        <f t="shared" si="19"/>
        <v>871.95386524999981</v>
      </c>
      <c r="CF51" s="33">
        <f t="shared" si="22"/>
        <v>492.04613475000019</v>
      </c>
      <c r="CG51" s="9">
        <f t="shared" si="18"/>
        <v>116.86467110845359</v>
      </c>
      <c r="CH51" s="33">
        <f t="shared" si="20"/>
        <v>-42.614144308565614</v>
      </c>
      <c r="CI51" s="36">
        <f t="shared" si="23"/>
        <v>-11.313394018205457</v>
      </c>
      <c r="CJ51" s="36">
        <f t="shared" si="24"/>
        <v>-29.653843520387852</v>
      </c>
      <c r="CK51" s="36">
        <f t="shared" si="21"/>
        <v>-0.19223375624760308</v>
      </c>
      <c r="CL51" s="36">
        <f t="shared" si="55"/>
        <v>-11.475054471074742</v>
      </c>
      <c r="CM51" s="36">
        <f t="shared" si="56"/>
        <v>-32.950024604552212</v>
      </c>
      <c r="CN51" s="42">
        <v>24.79</v>
      </c>
      <c r="CO51" s="33">
        <f t="shared" si="63"/>
        <v>-7.443052762309776</v>
      </c>
      <c r="CP51" s="33">
        <f t="shared" si="37"/>
        <v>412.44</v>
      </c>
      <c r="CQ51" s="33">
        <f t="shared" si="7"/>
        <v>462.44</v>
      </c>
      <c r="CR51" s="33">
        <f t="shared" si="8"/>
        <v>362.44</v>
      </c>
      <c r="CS51" s="33">
        <f t="shared" si="9"/>
        <v>512.44000000000005</v>
      </c>
      <c r="CT51" s="33">
        <f t="shared" si="10"/>
        <v>312.44</v>
      </c>
      <c r="CU51" s="33">
        <f t="shared" si="38"/>
        <v>384.47500000000002</v>
      </c>
    </row>
    <row r="52" spans="1:99" ht="16" x14ac:dyDescent="0.4">
      <c r="A52" s="18">
        <v>2013</v>
      </c>
      <c r="B52" s="11">
        <v>46728000</v>
      </c>
      <c r="C52" s="9">
        <v>18863926</v>
      </c>
      <c r="D52" s="9">
        <f t="shared" si="50"/>
        <v>725535.61538461538</v>
      </c>
      <c r="E52" s="9">
        <f t="shared" si="40"/>
        <v>362767.80769230769</v>
      </c>
      <c r="F52" s="9">
        <f t="shared" si="35"/>
        <v>544151.7115384615</v>
      </c>
      <c r="G52" s="9">
        <v>671705</v>
      </c>
      <c r="H52" s="9">
        <f t="shared" si="41"/>
        <v>335852.5</v>
      </c>
      <c r="I52" s="9">
        <v>790313</v>
      </c>
      <c r="J52" s="9">
        <f t="shared" si="42"/>
        <v>395156.5</v>
      </c>
      <c r="K52" s="9">
        <v>679546</v>
      </c>
      <c r="L52" s="9">
        <f t="shared" si="43"/>
        <v>339773</v>
      </c>
      <c r="M52" s="25">
        <v>312593</v>
      </c>
      <c r="N52" s="25">
        <v>132980</v>
      </c>
      <c r="O52" s="25">
        <v>15898</v>
      </c>
      <c r="P52" s="25">
        <v>2351</v>
      </c>
      <c r="Q52" s="25">
        <v>231836</v>
      </c>
      <c r="R52" s="25">
        <v>199703</v>
      </c>
      <c r="S52" s="25">
        <v>283488</v>
      </c>
      <c r="T52" s="9">
        <v>19972573</v>
      </c>
      <c r="U52" s="9">
        <f t="shared" si="57"/>
        <v>100011.38190212466</v>
      </c>
      <c r="V52" s="25">
        <v>36877</v>
      </c>
      <c r="W52" s="25">
        <v>11325</v>
      </c>
      <c r="X52" s="36">
        <f t="shared" si="45"/>
        <v>0.63885947542011501</v>
      </c>
      <c r="Y52" s="39">
        <f t="shared" si="36"/>
        <v>-4.7227457604817324</v>
      </c>
      <c r="Z52" s="39">
        <v>0.53268181818181815</v>
      </c>
      <c r="AA52" s="39">
        <v>4.21</v>
      </c>
      <c r="AB52" s="39">
        <v>5.9</v>
      </c>
      <c r="AC52" s="39">
        <v>94.1</v>
      </c>
      <c r="AD52" s="99">
        <v>23</v>
      </c>
      <c r="AE52" s="37">
        <v>16402.678656625441</v>
      </c>
      <c r="AF52" s="41">
        <f t="shared" si="46"/>
        <v>6.0972591121101809</v>
      </c>
      <c r="AG52" s="37">
        <f t="shared" si="47"/>
        <v>20002.276380424933</v>
      </c>
      <c r="AH52" s="37">
        <f>100-((AE52*100)/AG52)</f>
        <v>17.995940338681706</v>
      </c>
      <c r="AI52" s="9">
        <v>641</v>
      </c>
      <c r="AJ52" s="9">
        <v>153.52500000000001</v>
      </c>
      <c r="AK52" s="25">
        <v>14555</v>
      </c>
      <c r="AL52" s="25">
        <v>56436</v>
      </c>
      <c r="AM52" s="25">
        <v>15025</v>
      </c>
      <c r="AN52" s="25">
        <v>38894</v>
      </c>
      <c r="AO52" s="25">
        <v>2517</v>
      </c>
      <c r="AP52" s="25">
        <v>11311</v>
      </c>
      <c r="AQ52" s="92">
        <v>197.77760310692932</v>
      </c>
      <c r="AR52" s="25">
        <v>1487085500.0000002</v>
      </c>
      <c r="AS52" s="76">
        <f t="shared" si="27"/>
        <v>131472.50464149946</v>
      </c>
      <c r="AT52" s="76">
        <f t="shared" si="28"/>
        <v>664.74920605857619</v>
      </c>
      <c r="AU52" s="25">
        <v>22961</v>
      </c>
      <c r="AV52" s="92">
        <v>106.78645446722538</v>
      </c>
      <c r="AW52" s="25">
        <v>1620894999.9999998</v>
      </c>
      <c r="AX52" s="88">
        <f t="shared" si="26"/>
        <v>70593.397500108869</v>
      </c>
      <c r="AY52" s="88">
        <f t="shared" si="29"/>
        <v>661.0707121264636</v>
      </c>
      <c r="AZ52" s="96">
        <f t="shared" si="30"/>
        <v>1.8856256160507345</v>
      </c>
      <c r="BA52" s="94">
        <f t="shared" si="31"/>
        <v>2.9869664968859553</v>
      </c>
      <c r="BB52" s="89">
        <v>101.1237404705056</v>
      </c>
      <c r="BC52" s="9">
        <v>25441306</v>
      </c>
      <c r="BD52" s="37">
        <f t="shared" si="52"/>
        <v>58891</v>
      </c>
      <c r="BE52" s="9">
        <f t="shared" si="48"/>
        <v>544.45527306967983</v>
      </c>
      <c r="BF52" s="33">
        <f t="shared" si="53"/>
        <v>0.23201495996342203</v>
      </c>
      <c r="BG52" s="33">
        <f t="shared" si="49"/>
        <v>-0.19223375624760308</v>
      </c>
      <c r="BH52" s="33">
        <f t="shared" si="54"/>
        <v>0.42424871621102511</v>
      </c>
      <c r="BI52" s="9">
        <v>10742.990000000002</v>
      </c>
      <c r="BJ52" s="25">
        <v>21.93</v>
      </c>
      <c r="BK52" s="36">
        <f t="shared" si="64"/>
        <v>69.365195</v>
      </c>
      <c r="BL52" s="36">
        <f t="shared" si="65"/>
        <v>8.7048050000000003</v>
      </c>
      <c r="BM52" s="25">
        <v>11.15</v>
      </c>
      <c r="BN52" s="25">
        <v>8893100</v>
      </c>
      <c r="BO52" s="25">
        <v>5485900</v>
      </c>
      <c r="BP52" s="25">
        <v>2939400</v>
      </c>
      <c r="BQ52" s="25">
        <v>898900</v>
      </c>
      <c r="BR52" s="33">
        <f>((BN52*100)/SUM($BN$52:$BQ$52))</f>
        <v>48.816784045934362</v>
      </c>
      <c r="BS52" s="33">
        <f>((BO52*100)/SUM($BN$52:$BQ$52))</f>
        <v>30.113683147337969</v>
      </c>
      <c r="BT52" s="33">
        <f>((BP52*100)/SUM($BN$52:$BQ$52))</f>
        <v>16.135212133521431</v>
      </c>
      <c r="BU52" s="33">
        <f>((BQ52*100)/SUM($BN$52:$BQ$52))</f>
        <v>4.9343206732062379</v>
      </c>
      <c r="BV52" s="33">
        <v>7.3</v>
      </c>
      <c r="BW52" s="33">
        <f t="shared" si="58"/>
        <v>-5.8064516129032313</v>
      </c>
      <c r="BX52" s="33">
        <f>CB52/(BV52*12)</f>
        <v>18.774733637747335</v>
      </c>
      <c r="BY52" s="33">
        <f>100/BX52</f>
        <v>5.3263072557762472</v>
      </c>
      <c r="BZ52" s="33">
        <f t="shared" si="61"/>
        <v>25.032978183663118</v>
      </c>
      <c r="CA52" s="33">
        <f t="shared" si="62"/>
        <v>3.9947304418321843</v>
      </c>
      <c r="CB52" s="9">
        <f>AVERAGE(Quarterly!D26:D29)</f>
        <v>1644.6666666666665</v>
      </c>
      <c r="CC52" s="37">
        <v>1250</v>
      </c>
      <c r="CD52" s="36">
        <v>1.41</v>
      </c>
      <c r="CE52" s="33">
        <f t="shared" si="19"/>
        <v>889.57886524999981</v>
      </c>
      <c r="CF52" s="33">
        <f t="shared" si="22"/>
        <v>360.42113475000019</v>
      </c>
      <c r="CG52" s="9">
        <f t="shared" si="18"/>
        <v>85.602740065207655</v>
      </c>
      <c r="CH52" s="33">
        <f t="shared" si="20"/>
        <v>-36.257341380200188</v>
      </c>
      <c r="CI52" s="36">
        <f t="shared" si="23"/>
        <v>-8.3577712609970689</v>
      </c>
      <c r="CJ52" s="36">
        <f t="shared" si="24"/>
        <v>-26.750540387209071</v>
      </c>
      <c r="CK52" s="36">
        <f t="shared" si="21"/>
        <v>-0.47080979284369562</v>
      </c>
      <c r="CL52" s="36">
        <f t="shared" si="55"/>
        <v>-1.8651070215424426</v>
      </c>
      <c r="CM52" s="36">
        <f t="shared" si="56"/>
        <v>-27.081895623153798</v>
      </c>
      <c r="CN52" s="42">
        <v>26.09</v>
      </c>
      <c r="CO52" s="33">
        <f t="shared" si="63"/>
        <v>-4.3630408191648851</v>
      </c>
      <c r="CP52" s="33">
        <f t="shared" si="37"/>
        <v>415</v>
      </c>
      <c r="CQ52" s="33">
        <f t="shared" si="7"/>
        <v>465</v>
      </c>
      <c r="CR52" s="33">
        <f t="shared" si="8"/>
        <v>365</v>
      </c>
      <c r="CS52" s="33">
        <f t="shared" si="9"/>
        <v>515</v>
      </c>
      <c r="CT52" s="33">
        <f t="shared" si="10"/>
        <v>315</v>
      </c>
      <c r="CU52" s="33">
        <f t="shared" si="38"/>
        <v>387.5</v>
      </c>
    </row>
    <row r="53" spans="1:99" ht="16" x14ac:dyDescent="0.4">
      <c r="A53" s="18">
        <v>2014</v>
      </c>
      <c r="B53" s="11">
        <v>46508000</v>
      </c>
      <c r="C53" s="9">
        <v>18485411</v>
      </c>
      <c r="D53" s="9">
        <f t="shared" si="50"/>
        <v>710977.34615384613</v>
      </c>
      <c r="E53" s="9">
        <f t="shared" si="40"/>
        <v>355488.67307692306</v>
      </c>
      <c r="F53" s="9">
        <f t="shared" si="35"/>
        <v>533233.00961538462</v>
      </c>
      <c r="G53" s="9">
        <v>619820</v>
      </c>
      <c r="H53" s="9">
        <f t="shared" si="41"/>
        <v>309910</v>
      </c>
      <c r="I53" s="9">
        <v>795232</v>
      </c>
      <c r="J53" s="9">
        <f t="shared" si="42"/>
        <v>397616</v>
      </c>
      <c r="K53" s="9">
        <v>698441</v>
      </c>
      <c r="L53" s="9">
        <f t="shared" si="43"/>
        <v>349220.5</v>
      </c>
      <c r="M53" s="25">
        <v>318830</v>
      </c>
      <c r="N53" s="25">
        <v>137594</v>
      </c>
      <c r="O53" s="25">
        <v>14306</v>
      </c>
      <c r="P53" s="25">
        <v>1827</v>
      </c>
      <c r="Q53" s="25">
        <v>196646</v>
      </c>
      <c r="R53" s="25">
        <v>204302</v>
      </c>
      <c r="S53" s="25">
        <v>282360</v>
      </c>
      <c r="T53" s="9">
        <v>20890540</v>
      </c>
      <c r="U53" s="9">
        <f t="shared" si="57"/>
        <v>102253.23295905082</v>
      </c>
      <c r="V53" s="25">
        <v>33601</v>
      </c>
      <c r="W53" s="25">
        <v>9547</v>
      </c>
      <c r="X53" s="36">
        <f t="shared" si="45"/>
        <v>0.64078662610168424</v>
      </c>
      <c r="Y53" s="39">
        <f t="shared" si="36"/>
        <v>2.391595920672438</v>
      </c>
      <c r="Z53" s="39">
        <v>0.46862727272727284</v>
      </c>
      <c r="AA53" s="39">
        <v>3.83</v>
      </c>
      <c r="AB53" s="39">
        <v>5.4</v>
      </c>
      <c r="AC53" s="39">
        <v>94.6</v>
      </c>
      <c r="AD53" s="99">
        <v>23</v>
      </c>
      <c r="AE53" s="37">
        <v>16480.969714502153</v>
      </c>
      <c r="AF53" s="41">
        <f t="shared" si="46"/>
        <v>6.2043213919066185</v>
      </c>
      <c r="AG53" s="37">
        <f t="shared" si="47"/>
        <v>20450.646591810164</v>
      </c>
      <c r="AH53" s="37">
        <f>100-((AE53*100)/AG53)</f>
        <v>19.411009131113445</v>
      </c>
      <c r="AI53" s="9">
        <v>645</v>
      </c>
      <c r="AJ53" s="9">
        <v>146.52500000000001</v>
      </c>
      <c r="AK53" s="25">
        <v>15899</v>
      </c>
      <c r="AL53" s="25">
        <v>56606</v>
      </c>
      <c r="AM53" s="25">
        <v>14934</v>
      </c>
      <c r="AN53" s="25">
        <v>39293</v>
      </c>
      <c r="AO53" s="25">
        <v>2379</v>
      </c>
      <c r="AP53" s="25">
        <v>11550</v>
      </c>
      <c r="AQ53" s="92">
        <v>198.73922895243689</v>
      </c>
      <c r="AR53" s="25">
        <v>1527021399.9999998</v>
      </c>
      <c r="AS53" s="76">
        <f t="shared" si="27"/>
        <v>132209.645021645</v>
      </c>
      <c r="AT53" s="76">
        <f t="shared" si="28"/>
        <v>665.24181319675927</v>
      </c>
      <c r="AU53" s="25">
        <v>23301</v>
      </c>
      <c r="AV53" s="92">
        <v>112.14759479853062</v>
      </c>
      <c r="AW53" s="25">
        <v>1719056499.9999998</v>
      </c>
      <c r="AX53" s="88">
        <f t="shared" si="26"/>
        <v>73776.082571563442</v>
      </c>
      <c r="AY53" s="88">
        <f t="shared" si="29"/>
        <v>657.84810368960382</v>
      </c>
      <c r="AZ53" s="96">
        <f t="shared" si="30"/>
        <v>1.8940511661500588</v>
      </c>
      <c r="BA53" s="94">
        <f t="shared" si="31"/>
        <v>-0.2059104152254605</v>
      </c>
      <c r="BB53" s="89">
        <v>101.11235098230269</v>
      </c>
      <c r="BC53" s="9">
        <v>25492335</v>
      </c>
      <c r="BD53" s="37">
        <f t="shared" si="52"/>
        <v>51029</v>
      </c>
      <c r="BE53" s="9">
        <f t="shared" si="48"/>
        <v>548.12795648060558</v>
      </c>
      <c r="BF53" s="33">
        <f t="shared" si="53"/>
        <v>0.20057539498955634</v>
      </c>
      <c r="BG53" s="33">
        <f t="shared" si="49"/>
        <v>-0.47080979284369562</v>
      </c>
      <c r="BH53" s="33">
        <f t="shared" si="54"/>
        <v>0.67138518783325196</v>
      </c>
      <c r="BI53" s="9">
        <v>10833.2</v>
      </c>
      <c r="BJ53" s="25">
        <v>15.28</v>
      </c>
      <c r="BK53" s="36">
        <f t="shared" si="64"/>
        <v>73.69792799999999</v>
      </c>
      <c r="BL53" s="36">
        <f t="shared" si="65"/>
        <v>11.022072000000001</v>
      </c>
      <c r="BM53" s="25">
        <v>13.01</v>
      </c>
      <c r="BN53" s="25">
        <v>8885000</v>
      </c>
      <c r="BO53" s="25">
        <v>5396300</v>
      </c>
      <c r="BP53" s="25">
        <v>3044500</v>
      </c>
      <c r="BQ53" s="25">
        <v>977300</v>
      </c>
      <c r="BR53" s="33">
        <f>((BN53*100)/SUM($BN$53:$BQ$53))</f>
        <v>48.543689320388353</v>
      </c>
      <c r="BS53" s="33">
        <f>((BO53*100)/SUM($BN$53:$BQ$53))</f>
        <v>29.482983756849933</v>
      </c>
      <c r="BT53" s="33">
        <f>((BP53*100)/SUM($BN$53:$BQ$53))</f>
        <v>16.6337942752867</v>
      </c>
      <c r="BU53" s="33">
        <f>((BQ53*100)/SUM($BN$53:$BQ$53))</f>
        <v>5.3395326474750178</v>
      </c>
      <c r="BV53" s="33">
        <v>7.25</v>
      </c>
      <c r="BW53" s="33">
        <f t="shared" si="58"/>
        <v>-0.68493150684930981</v>
      </c>
      <c r="BX53" s="33">
        <f t="shared" si="59"/>
        <v>17.995210727969351</v>
      </c>
      <c r="BY53" s="33">
        <f t="shared" si="60"/>
        <v>5.557034119337839</v>
      </c>
      <c r="BZ53" s="33">
        <f t="shared" si="61"/>
        <v>23.993614303959134</v>
      </c>
      <c r="CA53" s="33">
        <f t="shared" si="62"/>
        <v>4.1677755895033792</v>
      </c>
      <c r="CB53" s="9">
        <f>AVERAGE(Quarterly!D30:D33)</f>
        <v>1565.5833333333335</v>
      </c>
      <c r="CC53" s="37">
        <v>1253</v>
      </c>
      <c r="CD53" s="36">
        <v>-0.15</v>
      </c>
      <c r="CE53" s="33">
        <f t="shared" si="19"/>
        <v>887.6993652499998</v>
      </c>
      <c r="CF53" s="33">
        <f t="shared" si="22"/>
        <v>365.3006347500002</v>
      </c>
      <c r="CG53" s="9">
        <f t="shared" si="18"/>
        <v>86.761658147072936</v>
      </c>
      <c r="CH53" s="33">
        <f t="shared" si="20"/>
        <v>1.8002700713569766</v>
      </c>
      <c r="CI53" s="36">
        <f t="shared" si="23"/>
        <v>0.23999999999999488</v>
      </c>
      <c r="CJ53" s="36">
        <f t="shared" si="24"/>
        <v>1.3538329275236691</v>
      </c>
      <c r="CK53" s="36">
        <f t="shared" si="21"/>
        <v>-0.12685989507181716</v>
      </c>
      <c r="CL53" s="36">
        <f t="shared" si="55"/>
        <v>1.9952462147264924</v>
      </c>
      <c r="CM53" s="36">
        <f t="shared" si="56"/>
        <v>2.302919835956402</v>
      </c>
      <c r="CN53" s="42">
        <v>24.44</v>
      </c>
      <c r="CO53" s="33">
        <f t="shared" si="63"/>
        <v>4.4077755895033741</v>
      </c>
      <c r="CP53" s="33">
        <f t="shared" si="37"/>
        <v>417.44</v>
      </c>
      <c r="CQ53" s="33">
        <f t="shared" si="7"/>
        <v>467.44</v>
      </c>
      <c r="CR53" s="33">
        <f t="shared" si="8"/>
        <v>367.44</v>
      </c>
      <c r="CS53" s="33">
        <f t="shared" si="9"/>
        <v>517.44000000000005</v>
      </c>
      <c r="CT53" s="33">
        <f t="shared" si="10"/>
        <v>317.44</v>
      </c>
      <c r="CU53" s="33">
        <f t="shared" si="38"/>
        <v>390.47500000000002</v>
      </c>
    </row>
    <row r="54" spans="1:99" ht="16" x14ac:dyDescent="0.4">
      <c r="A54" s="18">
        <v>2015</v>
      </c>
      <c r="B54" s="11">
        <v>46449000</v>
      </c>
      <c r="C54" s="9">
        <v>18171401</v>
      </c>
      <c r="D54" s="9">
        <f t="shared" si="50"/>
        <v>698900.0384615385</v>
      </c>
      <c r="E54" s="9">
        <f t="shared" si="40"/>
        <v>349450.01923076925</v>
      </c>
      <c r="F54" s="9">
        <f t="shared" si="35"/>
        <v>524175.02884615387</v>
      </c>
      <c r="G54" s="9">
        <v>591237</v>
      </c>
      <c r="H54" s="9">
        <f t="shared" si="41"/>
        <v>295618.5</v>
      </c>
      <c r="I54" s="9">
        <v>803340</v>
      </c>
      <c r="J54" s="9">
        <f t="shared" si="42"/>
        <v>401670</v>
      </c>
      <c r="K54" s="9">
        <v>730731</v>
      </c>
      <c r="L54" s="9">
        <f t="shared" si="43"/>
        <v>365365.5</v>
      </c>
      <c r="M54" s="25">
        <v>355556</v>
      </c>
      <c r="N54" s="25">
        <v>151206</v>
      </c>
      <c r="O54" s="25">
        <v>14992</v>
      </c>
      <c r="P54" s="25">
        <v>1720</v>
      </c>
      <c r="Q54" s="25">
        <v>196668</v>
      </c>
      <c r="R54" s="25">
        <v>246767</v>
      </c>
      <c r="S54" s="25">
        <v>302418</v>
      </c>
      <c r="T54" s="9">
        <v>26338940</v>
      </c>
      <c r="U54" s="9">
        <f t="shared" si="57"/>
        <v>106736.07086847107</v>
      </c>
      <c r="V54" s="25">
        <v>29029</v>
      </c>
      <c r="W54" s="25">
        <v>7055</v>
      </c>
      <c r="X54" s="36">
        <f t="shared" si="45"/>
        <v>0.6940313199608501</v>
      </c>
      <c r="Y54" s="39">
        <f t="shared" si="36"/>
        <v>4.8840549386008121</v>
      </c>
      <c r="Z54" s="39">
        <v>0.15673636363636365</v>
      </c>
      <c r="AA54" s="39">
        <v>3.31</v>
      </c>
      <c r="AB54" s="39">
        <v>7.4</v>
      </c>
      <c r="AC54" s="39">
        <v>92.6</v>
      </c>
      <c r="AD54" s="99">
        <v>23</v>
      </c>
      <c r="AE54" s="37">
        <v>17159.32578363661</v>
      </c>
      <c r="AF54" s="41">
        <f t="shared" si="46"/>
        <v>6.220295145293889</v>
      </c>
      <c r="AG54" s="37">
        <f t="shared" si="47"/>
        <v>21347.214173694214</v>
      </c>
      <c r="AH54" s="37">
        <f>100-((AE54*100)/AG54)</f>
        <v>19.617962119002229</v>
      </c>
      <c r="AI54" s="9">
        <v>645</v>
      </c>
      <c r="AJ54" s="9">
        <v>152.875</v>
      </c>
      <c r="AK54" s="25">
        <v>15718</v>
      </c>
      <c r="AL54" s="25">
        <v>64156</v>
      </c>
      <c r="AM54" s="25">
        <v>17915</v>
      </c>
      <c r="AN54" s="25">
        <v>43700</v>
      </c>
      <c r="AO54" s="25">
        <v>2541</v>
      </c>
      <c r="AP54" s="25">
        <v>14651</v>
      </c>
      <c r="AQ54" s="92">
        <v>201.52778170772271</v>
      </c>
      <c r="AR54" s="25">
        <v>2013348599.9999998</v>
      </c>
      <c r="AS54" s="76">
        <f t="shared" si="27"/>
        <v>137420.55832366389</v>
      </c>
      <c r="AT54" s="76">
        <f t="shared" si="28"/>
        <v>681.89386673727188</v>
      </c>
      <c r="AU54" s="25">
        <v>35025</v>
      </c>
      <c r="AV54" s="92">
        <v>113.62321060148459</v>
      </c>
      <c r="AW54" s="25">
        <v>2698152700</v>
      </c>
      <c r="AX54" s="88">
        <f t="shared" si="26"/>
        <v>77035.052105638824</v>
      </c>
      <c r="AY54" s="88">
        <f t="shared" si="29"/>
        <v>677.98693328449474</v>
      </c>
      <c r="AZ54" s="96">
        <f t="shared" si="30"/>
        <v>1.879576504028212</v>
      </c>
      <c r="BA54" s="94">
        <f t="shared" si="31"/>
        <v>2.7806789747127567</v>
      </c>
      <c r="BB54" s="89">
        <v>100.00061646188163</v>
      </c>
      <c r="BC54" s="9">
        <v>25541915</v>
      </c>
      <c r="BD54" s="37">
        <f t="shared" si="52"/>
        <v>49580</v>
      </c>
      <c r="BE54" s="9">
        <f t="shared" si="48"/>
        <v>549.89160154147567</v>
      </c>
      <c r="BF54" s="33">
        <f t="shared" si="53"/>
        <v>0.19448983390498142</v>
      </c>
      <c r="BG54" s="33">
        <f t="shared" si="49"/>
        <v>-0.12685989507181716</v>
      </c>
      <c r="BH54" s="33">
        <f t="shared" si="54"/>
        <v>0.32134972897679859</v>
      </c>
      <c r="BI54" s="9">
        <v>11491.999999999998</v>
      </c>
      <c r="BJ54" s="25">
        <v>12.71</v>
      </c>
      <c r="BK54" s="36">
        <f t="shared" si="64"/>
        <v>75.785178000000002</v>
      </c>
      <c r="BL54" s="36">
        <f t="shared" si="65"/>
        <v>11.504821999999999</v>
      </c>
      <c r="BM54" s="25">
        <v>13.18</v>
      </c>
      <c r="BN54" s="25">
        <v>8975000</v>
      </c>
      <c r="BO54" s="25">
        <v>5199800</v>
      </c>
      <c r="BP54" s="25">
        <v>3203500</v>
      </c>
      <c r="BQ54" s="25">
        <v>967900</v>
      </c>
      <c r="BR54" s="33">
        <f>((BN54*100)/SUM($BN$54:$BQ$54))</f>
        <v>48.920212360052766</v>
      </c>
      <c r="BS54" s="33">
        <f>((BO54*100)/SUM($BN$54:$BQ$54))</f>
        <v>28.342654064601934</v>
      </c>
      <c r="BT54" s="33">
        <f>((BP54*100)/SUM($BN$54:$BQ$54))</f>
        <v>17.461381648515768</v>
      </c>
      <c r="BU54" s="33">
        <f>((BQ54*100)/SUM($BN$54:$BQ$54))</f>
        <v>5.2757519268295345</v>
      </c>
      <c r="BV54" s="33">
        <v>7.4</v>
      </c>
      <c r="BW54" s="33">
        <f t="shared" si="58"/>
        <v>2.0689655172413808</v>
      </c>
      <c r="BX54" s="33">
        <f t="shared" si="59"/>
        <v>17.334834834834833</v>
      </c>
      <c r="BY54" s="33">
        <f t="shared" si="60"/>
        <v>5.7687310524036386</v>
      </c>
      <c r="BZ54" s="33">
        <f t="shared" si="61"/>
        <v>23.113113113113108</v>
      </c>
      <c r="CA54" s="33">
        <f t="shared" si="62"/>
        <v>4.3265482893027292</v>
      </c>
      <c r="CB54" s="9">
        <f>AVERAGE(Quarterly!D34:D37)</f>
        <v>1539.3333333333333</v>
      </c>
      <c r="CC54" s="37">
        <v>1278</v>
      </c>
      <c r="CD54" s="36">
        <v>-0.5</v>
      </c>
      <c r="CE54" s="33">
        <f t="shared" si="19"/>
        <v>881.30936524999993</v>
      </c>
      <c r="CF54" s="33">
        <f t="shared" si="22"/>
        <v>396.69063475000007</v>
      </c>
      <c r="CG54" s="9">
        <f t="shared" si="18"/>
        <v>94.217020087794594</v>
      </c>
      <c r="CH54" s="33">
        <f t="shared" si="20"/>
        <v>8.0297887602047808</v>
      </c>
      <c r="CI54" s="36">
        <f t="shared" si="23"/>
        <v>1.9952114924181927</v>
      </c>
      <c r="CJ54" s="36">
        <f t="shared" si="24"/>
        <v>8.5929223806255379</v>
      </c>
      <c r="CK54" s="36">
        <f t="shared" si="21"/>
        <v>-1.9376089905051685E-2</v>
      </c>
      <c r="CL54" s="36">
        <f t="shared" si="55"/>
        <v>11.518991311984436</v>
      </c>
      <c r="CM54" s="36">
        <f t="shared" si="56"/>
        <v>20.785405918688994</v>
      </c>
      <c r="CN54" s="42">
        <v>22.06</v>
      </c>
      <c r="CO54" s="33">
        <f t="shared" si="63"/>
        <v>6.3217597817209219</v>
      </c>
      <c r="CP54" s="33">
        <f t="shared" si="37"/>
        <v>419.76</v>
      </c>
      <c r="CQ54" s="33">
        <f t="shared" si="7"/>
        <v>469.76</v>
      </c>
      <c r="CR54" s="33">
        <f t="shared" si="8"/>
        <v>369.76</v>
      </c>
      <c r="CS54" s="33">
        <f t="shared" si="9"/>
        <v>519.76</v>
      </c>
      <c r="CT54" s="33">
        <f t="shared" si="10"/>
        <v>319.76</v>
      </c>
      <c r="CU54" s="33">
        <f t="shared" si="38"/>
        <v>393.4</v>
      </c>
    </row>
    <row r="55" spans="1:99" ht="16" x14ac:dyDescent="0.4">
      <c r="A55" s="18">
        <v>2016</v>
      </c>
      <c r="B55" s="11">
        <v>46440000</v>
      </c>
      <c r="C55" s="9">
        <v>17870984</v>
      </c>
      <c r="D55" s="9">
        <f t="shared" si="50"/>
        <v>687345.5384615385</v>
      </c>
      <c r="E55" s="9">
        <f t="shared" si="40"/>
        <v>343672.76923076925</v>
      </c>
      <c r="F55" s="9">
        <f t="shared" si="35"/>
        <v>515509.15384615387</v>
      </c>
      <c r="G55" s="9">
        <v>563692</v>
      </c>
      <c r="H55" s="9">
        <f t="shared" si="41"/>
        <v>281846</v>
      </c>
      <c r="I55" s="9">
        <v>805801</v>
      </c>
      <c r="J55" s="9">
        <f t="shared" si="42"/>
        <v>402900.5</v>
      </c>
      <c r="K55" s="9">
        <v>719688</v>
      </c>
      <c r="L55" s="9">
        <f t="shared" si="43"/>
        <v>359844</v>
      </c>
      <c r="M55" s="25">
        <v>405385</v>
      </c>
      <c r="N55" s="25">
        <v>159988</v>
      </c>
      <c r="O55" s="25">
        <v>16148</v>
      </c>
      <c r="P55" s="25">
        <v>1313</v>
      </c>
      <c r="Q55" s="25">
        <v>187238</v>
      </c>
      <c r="R55" s="25">
        <v>282707</v>
      </c>
      <c r="S55" s="25">
        <v>309357</v>
      </c>
      <c r="T55" s="9">
        <v>31036970</v>
      </c>
      <c r="U55" s="9">
        <f t="shared" si="57"/>
        <v>109784.93634752589</v>
      </c>
      <c r="V55" s="25">
        <v>22583</v>
      </c>
      <c r="W55" s="25">
        <v>7440</v>
      </c>
      <c r="X55" s="36">
        <f t="shared" si="45"/>
        <v>0.69737903474474883</v>
      </c>
      <c r="Y55" s="39">
        <f t="shared" si="36"/>
        <v>3.056452794493322</v>
      </c>
      <c r="Z55" s="39">
        <v>-4.1390909090909096E-2</v>
      </c>
      <c r="AA55" s="39">
        <v>3.21</v>
      </c>
      <c r="AB55" s="39">
        <v>23.7</v>
      </c>
      <c r="AC55" s="39">
        <v>76.3</v>
      </c>
      <c r="AD55" s="99">
        <v>23</v>
      </c>
      <c r="AE55" s="37">
        <v>17620.136831208958</v>
      </c>
      <c r="AF55" s="41">
        <f t="shared" si="46"/>
        <v>6.2306517480087749</v>
      </c>
      <c r="AG55" s="37">
        <f t="shared" si="47"/>
        <v>21956.987269505178</v>
      </c>
      <c r="AH55" s="37">
        <f t="shared" si="51"/>
        <v>19.751573314975801</v>
      </c>
      <c r="AI55" s="9">
        <v>648</v>
      </c>
      <c r="AJ55" s="9">
        <v>160.92500000000001</v>
      </c>
      <c r="AK55" s="25">
        <v>17396</v>
      </c>
      <c r="AL55" s="25">
        <v>66417</v>
      </c>
      <c r="AM55" s="25">
        <v>19285</v>
      </c>
      <c r="AN55" s="25">
        <v>44361</v>
      </c>
      <c r="AO55" s="25">
        <v>2771</v>
      </c>
      <c r="AP55" s="25">
        <v>17134</v>
      </c>
      <c r="AQ55" s="92">
        <v>198.13151507455737</v>
      </c>
      <c r="AR55" s="25">
        <v>2337858800.0000005</v>
      </c>
      <c r="AS55" s="76">
        <f t="shared" si="27"/>
        <v>136445.59355667097</v>
      </c>
      <c r="AT55" s="76">
        <f t="shared" si="28"/>
        <v>688.66173816581454</v>
      </c>
      <c r="AU55" s="25">
        <v>46889</v>
      </c>
      <c r="AV55" s="92">
        <v>116.65208387727343</v>
      </c>
      <c r="AW55" s="25">
        <v>3646366499.9999995</v>
      </c>
      <c r="AX55" s="88">
        <f t="shared" si="26"/>
        <v>77765.925910128164</v>
      </c>
      <c r="AY55" s="88">
        <f t="shared" si="29"/>
        <v>666.64840717242259</v>
      </c>
      <c r="AZ55" s="96">
        <f t="shared" si="30"/>
        <v>1.9331368609700337</v>
      </c>
      <c r="BA55" s="94">
        <f t="shared" si="31"/>
        <v>-0.3361070090449374</v>
      </c>
      <c r="BB55" s="89">
        <v>98.831387763584075</v>
      </c>
      <c r="BC55" s="9">
        <v>25586279</v>
      </c>
      <c r="BD55" s="37">
        <f t="shared" si="52"/>
        <v>44364</v>
      </c>
      <c r="BE55" s="9">
        <f t="shared" si="48"/>
        <v>550.95346683893194</v>
      </c>
      <c r="BF55" s="33">
        <f t="shared" si="53"/>
        <v>0.17369097031291858</v>
      </c>
      <c r="BG55" s="33">
        <f t="shared" si="49"/>
        <v>-1.9376089905051685E-2</v>
      </c>
      <c r="BH55" s="33">
        <f t="shared" si="54"/>
        <v>0.19306706021797027</v>
      </c>
      <c r="BI55" s="9">
        <v>11157.839999999998</v>
      </c>
      <c r="BJ55" s="25">
        <v>12.54</v>
      </c>
      <c r="BK55" s="36">
        <f t="shared" si="64"/>
        <v>75.871549999999999</v>
      </c>
      <c r="BL55" s="36">
        <f t="shared" si="65"/>
        <v>11.58845</v>
      </c>
      <c r="BM55" s="25">
        <v>13.25</v>
      </c>
      <c r="BN55" s="25">
        <v>8963700</v>
      </c>
      <c r="BO55" s="25">
        <v>5306900</v>
      </c>
      <c r="BP55" s="25">
        <v>3190600</v>
      </c>
      <c r="BQ55" s="25">
        <v>944800</v>
      </c>
      <c r="BR55" s="33">
        <f>((BN55*100)/SUM($BN$55:$BQ$55))</f>
        <v>48.699880473758554</v>
      </c>
      <c r="BS55" s="33">
        <f>((BO55*100)/SUM($BN$55:$BQ$55))</f>
        <v>28.832445941540801</v>
      </c>
      <c r="BT55" s="33">
        <f>((BP55*100)/SUM($BN$55:$BQ$55))</f>
        <v>17.334564815820929</v>
      </c>
      <c r="BU55" s="33">
        <f>((BQ55*100)/SUM($BN$55:$BQ$55))</f>
        <v>5.1331087688797128</v>
      </c>
      <c r="BV55" s="33">
        <v>7.9</v>
      </c>
      <c r="BW55" s="33">
        <f t="shared" si="58"/>
        <v>6.7567567567567579</v>
      </c>
      <c r="BX55" s="33">
        <f t="shared" si="59"/>
        <v>15.974859353023909</v>
      </c>
      <c r="BY55" s="33">
        <f>100/BX55</f>
        <v>6.2598360204699279</v>
      </c>
      <c r="BZ55" s="33">
        <f t="shared" si="61"/>
        <v>21.299812470698544</v>
      </c>
      <c r="CA55" s="33">
        <f t="shared" si="62"/>
        <v>4.6948770153524464</v>
      </c>
      <c r="CB55" s="9">
        <f>AVERAGE(Quarterly!D38:D41)</f>
        <v>1514.4166666666667</v>
      </c>
      <c r="CC55" s="37">
        <v>1310</v>
      </c>
      <c r="CD55" s="36">
        <v>-0.2</v>
      </c>
      <c r="CE55" s="33">
        <f t="shared" si="19"/>
        <v>878.68936525000004</v>
      </c>
      <c r="CF55" s="33">
        <f t="shared" si="22"/>
        <v>431.31063474999996</v>
      </c>
      <c r="CG55" s="9">
        <f t="shared" si="18"/>
        <v>102.43953140948248</v>
      </c>
      <c r="CH55" s="33">
        <f t="shared" si="20"/>
        <v>8.0445183444514896</v>
      </c>
      <c r="CI55" s="36">
        <f t="shared" si="23"/>
        <v>2.5039123630672862</v>
      </c>
      <c r="CJ55" s="36">
        <f t="shared" si="24"/>
        <v>8.727203762150296</v>
      </c>
      <c r="CK55" s="36">
        <f t="shared" si="21"/>
        <v>0.23471145564168694</v>
      </c>
      <c r="CL55" s="36">
        <f t="shared" si="55"/>
        <v>14.014388732014083</v>
      </c>
      <c r="CM55" s="36">
        <f t="shared" si="56"/>
        <v>14.564346124076565</v>
      </c>
      <c r="CN55" s="42">
        <v>19.63</v>
      </c>
      <c r="CO55" s="33">
        <f t="shared" si="63"/>
        <v>7.1987893784197325</v>
      </c>
      <c r="CP55" s="33">
        <f t="shared" si="37"/>
        <v>421.96000000000004</v>
      </c>
      <c r="CQ55" s="33">
        <f t="shared" si="7"/>
        <v>471.96000000000004</v>
      </c>
      <c r="CR55" s="33">
        <f t="shared" si="8"/>
        <v>371.96000000000004</v>
      </c>
      <c r="CS55" s="33">
        <f t="shared" si="9"/>
        <v>521.96</v>
      </c>
      <c r="CT55" s="33">
        <f t="shared" si="10"/>
        <v>321.96000000000004</v>
      </c>
      <c r="CU55" s="33">
        <f t="shared" si="38"/>
        <v>396.27499999999998</v>
      </c>
    </row>
    <row r="56" spans="1:99" ht="16" x14ac:dyDescent="0.4">
      <c r="A56" s="18">
        <v>2017</v>
      </c>
      <c r="B56" s="11">
        <v>46549000</v>
      </c>
      <c r="C56" s="9">
        <v>17626310</v>
      </c>
      <c r="D56" s="9">
        <f t="shared" si="50"/>
        <v>677935</v>
      </c>
      <c r="E56" s="9">
        <f t="shared" si="40"/>
        <v>338967.5</v>
      </c>
      <c r="F56" s="9">
        <f t="shared" si="35"/>
        <v>508451.25</v>
      </c>
      <c r="G56" s="9">
        <v>543363</v>
      </c>
      <c r="H56" s="9">
        <f t="shared" si="41"/>
        <v>271681.5</v>
      </c>
      <c r="I56" s="9">
        <v>798927</v>
      </c>
      <c r="J56" s="9">
        <f t="shared" si="42"/>
        <v>399463.5</v>
      </c>
      <c r="K56" s="9">
        <v>724119</v>
      </c>
      <c r="L56" s="9">
        <f t="shared" si="43"/>
        <v>362059.5</v>
      </c>
      <c r="M56" s="25">
        <v>467644</v>
      </c>
      <c r="N56" s="25">
        <v>169851</v>
      </c>
      <c r="O56" s="25">
        <v>15865</v>
      </c>
      <c r="P56" s="25">
        <v>1407</v>
      </c>
      <c r="Q56" s="25">
        <v>179964</v>
      </c>
      <c r="R56" s="25">
        <v>312843</v>
      </c>
      <c r="S56" s="25">
        <v>313911</v>
      </c>
      <c r="T56" s="9">
        <v>36664867</v>
      </c>
      <c r="U56" s="9">
        <f t="shared" si="57"/>
        <v>117198.93684691683</v>
      </c>
      <c r="V56" s="25">
        <v>14469</v>
      </c>
      <c r="W56" s="25">
        <v>4572</v>
      </c>
      <c r="X56" s="36">
        <f t="shared" si="45"/>
        <v>0.66897682852768348</v>
      </c>
      <c r="Y56" s="39">
        <f t="shared" si="36"/>
        <v>4.7932038055947936</v>
      </c>
      <c r="Z56" s="39">
        <v>-0.14981818181818179</v>
      </c>
      <c r="AA56" s="39">
        <v>2.89</v>
      </c>
      <c r="AB56" s="39">
        <v>37.799999999999997</v>
      </c>
      <c r="AC56" s="39">
        <v>62.2</v>
      </c>
      <c r="AD56" s="99">
        <v>23</v>
      </c>
      <c r="AE56" s="37">
        <v>18142.504030136399</v>
      </c>
      <c r="AF56" s="41">
        <f t="shared" si="46"/>
        <v>6.4599096493096217</v>
      </c>
      <c r="AG56" s="37">
        <f t="shared" si="47"/>
        <v>23439.787369383364</v>
      </c>
      <c r="AH56" s="37">
        <f t="shared" si="51"/>
        <v>22.599536658622526</v>
      </c>
      <c r="AI56" s="9">
        <v>655</v>
      </c>
      <c r="AJ56" s="9">
        <v>162.22499999999999</v>
      </c>
      <c r="AK56" s="25">
        <v>20789</v>
      </c>
      <c r="AL56" s="25">
        <v>70982</v>
      </c>
      <c r="AM56" s="25">
        <v>22041</v>
      </c>
      <c r="AN56" s="25">
        <v>45719</v>
      </c>
      <c r="AO56" s="25">
        <v>3222</v>
      </c>
      <c r="AP56" s="25">
        <v>19411</v>
      </c>
      <c r="AQ56" s="92">
        <v>199.19877171105509</v>
      </c>
      <c r="AR56" s="25">
        <v>2714055300</v>
      </c>
      <c r="AS56" s="76">
        <f t="shared" si="27"/>
        <v>139820.47807943949</v>
      </c>
      <c r="AT56" s="76">
        <f t="shared" si="28"/>
        <v>701.91435859983153</v>
      </c>
      <c r="AU56" s="25">
        <v>61337</v>
      </c>
      <c r="AV56" s="92">
        <v>118.89275319185471</v>
      </c>
      <c r="AW56" s="25">
        <v>4978249800</v>
      </c>
      <c r="AX56" s="88">
        <f t="shared" si="26"/>
        <v>81162.264212465554</v>
      </c>
      <c r="AY56" s="88">
        <f t="shared" si="29"/>
        <v>682.65106184811566</v>
      </c>
      <c r="AZ56" s="96">
        <f t="shared" si="30"/>
        <v>1.9818492932693901</v>
      </c>
      <c r="BA56" s="94">
        <f t="shared" si="31"/>
        <v>2.158566820320587</v>
      </c>
      <c r="BB56" s="89">
        <v>100.53840530111977</v>
      </c>
      <c r="BC56" s="9">
        <v>25645100</v>
      </c>
      <c r="BD56" s="37">
        <f t="shared" si="52"/>
        <v>58821</v>
      </c>
      <c r="BE56" s="9">
        <f t="shared" si="48"/>
        <v>550.92698017143232</v>
      </c>
      <c r="BF56" s="33">
        <f t="shared" si="53"/>
        <v>0.22989274837502194</v>
      </c>
      <c r="BG56" s="33">
        <f t="shared" si="49"/>
        <v>0.23471145564168694</v>
      </c>
      <c r="BH56" s="33">
        <f t="shared" si="54"/>
        <v>-4.818707266665001E-3</v>
      </c>
      <c r="BI56" s="9">
        <v>12392.989999999998</v>
      </c>
      <c r="BJ56" s="25">
        <v>12.55</v>
      </c>
      <c r="BK56" s="36">
        <f t="shared" si="64"/>
        <v>75.985304999999997</v>
      </c>
      <c r="BL56" s="36">
        <f t="shared" si="65"/>
        <v>11.464694999999999</v>
      </c>
      <c r="BM56" s="25">
        <v>13.11</v>
      </c>
      <c r="BN56" s="25">
        <v>9005600</v>
      </c>
      <c r="BO56" s="25">
        <v>5169000</v>
      </c>
      <c r="BP56" s="25">
        <v>3330900</v>
      </c>
      <c r="BQ56" s="25">
        <v>967300</v>
      </c>
      <c r="BR56" s="33">
        <f>((BN56*100)/SUM($BN$56:$BQ$56))</f>
        <v>48.750595470096577</v>
      </c>
      <c r="BS56" s="33">
        <f>((BO56*100)/SUM($BN$56:$BQ$56))</f>
        <v>27.981681174483565</v>
      </c>
      <c r="BT56" s="33">
        <f>((BP56*100)/SUM($BN$56:$BQ$56))</f>
        <v>18.031375860724957</v>
      </c>
      <c r="BU56" s="33">
        <f>((BQ56*100)/SUM($BN$56:$BQ$56))</f>
        <v>5.2363474946949031</v>
      </c>
      <c r="BV56" s="33">
        <v>8.9499999999999993</v>
      </c>
      <c r="BW56" s="33">
        <f>((BV56*100)/BV55)-100</f>
        <v>13.291139240506311</v>
      </c>
      <c r="BX56" s="33">
        <f t="shared" si="59"/>
        <v>14.351334574798262</v>
      </c>
      <c r="BY56" s="33">
        <f>100/BX56</f>
        <v>6.9679930795847751</v>
      </c>
      <c r="BZ56" s="33">
        <f t="shared" si="61"/>
        <v>19.135112766397683</v>
      </c>
      <c r="CA56" s="33">
        <f t="shared" si="62"/>
        <v>5.2259948096885811</v>
      </c>
      <c r="CB56" s="9">
        <f>AVERAGE(Quarterly!D42:D45)</f>
        <v>1541.3333333333333</v>
      </c>
      <c r="CC56" s="37">
        <v>1372</v>
      </c>
      <c r="CD56" s="36">
        <v>1.96</v>
      </c>
      <c r="CE56" s="33">
        <f t="shared" si="19"/>
        <v>905.58056525000006</v>
      </c>
      <c r="CF56" s="33">
        <f t="shared" si="22"/>
        <v>466.41943474999994</v>
      </c>
      <c r="CG56" s="9">
        <f t="shared" si="18"/>
        <v>110.778136420773</v>
      </c>
      <c r="CH56" s="33">
        <f t="shared" si="20"/>
        <v>7.3102581047285327</v>
      </c>
      <c r="CI56" s="36">
        <f t="shared" si="23"/>
        <v>4.7328244274809208</v>
      </c>
      <c r="CJ56" s="36">
        <f t="shared" si="24"/>
        <v>8.1400265078903118</v>
      </c>
      <c r="CK56" s="36">
        <f t="shared" si="21"/>
        <v>0.23512212936904575</v>
      </c>
      <c r="CL56" s="36">
        <f t="shared" si="55"/>
        <v>15.357993018981958</v>
      </c>
      <c r="CM56" s="36">
        <f t="shared" si="56"/>
        <v>10.659799721973627</v>
      </c>
      <c r="CN56" s="42">
        <v>17.22</v>
      </c>
      <c r="CO56" s="33">
        <f t="shared" si="63"/>
        <v>9.9588192371695019</v>
      </c>
      <c r="CP56" s="33">
        <f t="shared" si="37"/>
        <v>424.04</v>
      </c>
      <c r="CQ56" s="33">
        <f t="shared" si="7"/>
        <v>474.04</v>
      </c>
      <c r="CR56" s="33">
        <f t="shared" si="8"/>
        <v>374.04</v>
      </c>
      <c r="CS56" s="33">
        <f t="shared" si="9"/>
        <v>524.04</v>
      </c>
      <c r="CT56" s="33">
        <f t="shared" si="10"/>
        <v>324.04000000000002</v>
      </c>
      <c r="CU56" s="33">
        <f t="shared" si="38"/>
        <v>399.1</v>
      </c>
    </row>
    <row r="57" spans="1:99" ht="16" x14ac:dyDescent="0.4">
      <c r="A57" s="18">
        <v>2018</v>
      </c>
      <c r="B57" s="11">
        <v>46658447</v>
      </c>
      <c r="C57" s="9">
        <v>17425139</v>
      </c>
      <c r="D57" s="9">
        <f>C57/26</f>
        <v>670197.65384615387</v>
      </c>
      <c r="E57" s="9">
        <f>D57/2</f>
        <v>335098.82692307694</v>
      </c>
      <c r="F57" s="9">
        <f t="shared" si="35"/>
        <v>502648.24038461538</v>
      </c>
      <c r="G57" s="9">
        <v>531498</v>
      </c>
      <c r="H57" s="9">
        <f t="shared" si="41"/>
        <v>265749</v>
      </c>
      <c r="I57" s="9">
        <v>791467.40806499997</v>
      </c>
      <c r="J57" s="9">
        <f t="shared" si="42"/>
        <v>395733.70403249998</v>
      </c>
      <c r="K57" s="9">
        <v>741197</v>
      </c>
      <c r="L57" s="9">
        <f t="shared" si="43"/>
        <v>370598.5</v>
      </c>
      <c r="M57" s="25">
        <v>517984</v>
      </c>
      <c r="N57" s="25">
        <v>179385</v>
      </c>
      <c r="O57" s="25">
        <v>16278</v>
      </c>
      <c r="P57" s="25">
        <v>1338</v>
      </c>
      <c r="Q57" s="25">
        <v>210091</v>
      </c>
      <c r="R57" s="25">
        <v>348326</v>
      </c>
      <c r="S57" s="25">
        <v>342799</v>
      </c>
      <c r="T57" s="9">
        <v>43284882</v>
      </c>
      <c r="U57" s="9">
        <f t="shared" si="57"/>
        <v>124265.43525318237</v>
      </c>
      <c r="V57" s="25">
        <v>11970</v>
      </c>
      <c r="W57" s="25">
        <v>4049</v>
      </c>
      <c r="X57" s="36">
        <f t="shared" si="45"/>
        <v>0.67246478655711373</v>
      </c>
      <c r="Y57" s="39">
        <f t="shared" si="36"/>
        <v>4.3594901953724037</v>
      </c>
      <c r="Z57" s="39">
        <v>-0.17148181818181818</v>
      </c>
      <c r="AA57" s="39">
        <v>2.63</v>
      </c>
      <c r="AB57" s="39">
        <v>39.200000000000003</v>
      </c>
      <c r="AC57" s="39">
        <v>60.8</v>
      </c>
      <c r="AD57" s="99">
        <v>24</v>
      </c>
      <c r="AE57" s="37">
        <v>18592.418122523672</v>
      </c>
      <c r="AF57" s="41">
        <f t="shared" si="46"/>
        <v>6.6836618257117273</v>
      </c>
      <c r="AG57" s="37">
        <f t="shared" si="47"/>
        <v>24853.087050636474</v>
      </c>
      <c r="AH57" s="37">
        <f t="shared" si="51"/>
        <v>25.190709368848687</v>
      </c>
      <c r="AI57" s="9">
        <v>707</v>
      </c>
      <c r="AJ57" s="9">
        <v>159.69999999999999</v>
      </c>
      <c r="AK57" s="25">
        <v>21901</v>
      </c>
      <c r="AL57" s="25">
        <v>74081</v>
      </c>
      <c r="AM57" s="25">
        <v>24175</v>
      </c>
      <c r="AN57" s="25">
        <v>46560</v>
      </c>
      <c r="AO57" s="25">
        <v>3346</v>
      </c>
      <c r="AP57" s="25">
        <v>21254</v>
      </c>
      <c r="AQ57" s="92">
        <v>200.23759273547648</v>
      </c>
      <c r="AR57" s="25">
        <v>3063400400</v>
      </c>
      <c r="AS57" s="76">
        <f t="shared" si="27"/>
        <v>144132.88792697844</v>
      </c>
      <c r="AT57" s="76">
        <f t="shared" si="28"/>
        <v>719.80933229348659</v>
      </c>
      <c r="AU57" s="25">
        <v>79453</v>
      </c>
      <c r="AV57" s="92">
        <v>117.0283231932777</v>
      </c>
      <c r="AW57" s="25">
        <v>6541922000</v>
      </c>
      <c r="AX57" s="88">
        <f t="shared" si="26"/>
        <v>82337.004266673379</v>
      </c>
      <c r="AY57" s="88">
        <f t="shared" si="29"/>
        <v>703.56476124749736</v>
      </c>
      <c r="AZ57" s="96">
        <f t="shared" si="30"/>
        <v>1.9769925648987337</v>
      </c>
      <c r="BA57" s="94">
        <f t="shared" si="31"/>
        <v>2.8029497573672728</v>
      </c>
      <c r="BB57" s="89">
        <v>102.65783758787809</v>
      </c>
      <c r="BC57" s="9">
        <v>25712558</v>
      </c>
      <c r="BD57" s="37">
        <f t="shared" si="52"/>
        <v>67458</v>
      </c>
      <c r="BE57" s="9">
        <f t="shared" si="48"/>
        <v>551.08045066309217</v>
      </c>
      <c r="BF57" s="33">
        <f t="shared" si="53"/>
        <v>0.26304440224448911</v>
      </c>
      <c r="BG57" s="33">
        <f t="shared" si="49"/>
        <v>0.23512212936904575</v>
      </c>
      <c r="BH57" s="33">
        <f t="shared" si="54"/>
        <v>2.7922272875443355E-2</v>
      </c>
      <c r="BI57" s="9">
        <v>13461.079999999998</v>
      </c>
      <c r="BJ57" s="25">
        <v>12.18</v>
      </c>
      <c r="BK57" s="36">
        <f t="shared" si="64"/>
        <v>76.719551999999993</v>
      </c>
      <c r="BL57" s="36">
        <f t="shared" si="65"/>
        <v>11.100447999999998</v>
      </c>
      <c r="BM57" s="25">
        <v>12.64</v>
      </c>
      <c r="BN57" s="25">
        <v>9104600</v>
      </c>
      <c r="BO57" s="25">
        <v>5119400</v>
      </c>
      <c r="BP57" s="25">
        <v>3291300</v>
      </c>
      <c r="BQ57" s="25">
        <v>1020600</v>
      </c>
      <c r="BR57" s="33">
        <f>((BN57*100)/SUM($BN$57:$BQ$57))</f>
        <v>49.118737153307904</v>
      </c>
      <c r="BS57" s="33">
        <f>((BO57*100)/SUM($BN$57:$BQ$57))</f>
        <v>27.618836959629693</v>
      </c>
      <c r="BT57" s="33">
        <f>((BP57*100)/SUM($BN$57:$BQ$57))</f>
        <v>17.756353886242373</v>
      </c>
      <c r="BU57" s="33">
        <f>((BQ57*100)/SUM($BN$57:$BQ$57))</f>
        <v>5.5060720008200299</v>
      </c>
      <c r="BV57" s="33">
        <v>10.050000000000001</v>
      </c>
      <c r="BW57" s="33">
        <f>((BV57*100)/BV56)-100</f>
        <v>12.290502793296113</v>
      </c>
      <c r="BX57" s="33">
        <f t="shared" si="59"/>
        <v>13.574488667772249</v>
      </c>
      <c r="BY57" s="33">
        <f>100/BX57</f>
        <v>7.3667599898192933</v>
      </c>
      <c r="BZ57" s="33">
        <f t="shared" si="61"/>
        <v>18.099318223696333</v>
      </c>
      <c r="CA57" s="33">
        <f>100/BZ57</f>
        <v>5.5250699923644691</v>
      </c>
      <c r="CB57" s="9">
        <f>AVERAGE(Quarterly!D46:D49)</f>
        <v>1637.0833333333333</v>
      </c>
      <c r="CC57" s="37">
        <v>1407</v>
      </c>
      <c r="CD57" s="36">
        <v>1.67</v>
      </c>
      <c r="CE57" s="33">
        <f t="shared" si="19"/>
        <v>929.07746525000016</v>
      </c>
      <c r="CF57" s="33">
        <f t="shared" si="22"/>
        <v>477.92253474999984</v>
      </c>
      <c r="CG57" s="9">
        <f t="shared" si="18"/>
        <v>113.51020949947049</v>
      </c>
      <c r="CH57" s="33">
        <f t="shared" si="20"/>
        <v>2.1774333572004707</v>
      </c>
      <c r="CI57" s="36">
        <f t="shared" si="23"/>
        <v>2.5510204081632679</v>
      </c>
      <c r="CJ57" s="36">
        <f t="shared" si="24"/>
        <v>2.4662565800169887</v>
      </c>
      <c r="CK57" s="36">
        <f t="shared" si="21"/>
        <v>0.59713303359625058</v>
      </c>
      <c r="CL57" s="36">
        <f t="shared" si="55"/>
        <v>10.764598711840634</v>
      </c>
      <c r="CM57" s="36">
        <f t="shared" si="56"/>
        <v>11.34211089907717</v>
      </c>
      <c r="CN57" s="42">
        <v>15.25</v>
      </c>
      <c r="CO57" s="33">
        <f t="shared" si="63"/>
        <v>8.0760904005277361</v>
      </c>
      <c r="CP57" s="33">
        <f t="shared" si="37"/>
        <v>426</v>
      </c>
      <c r="CQ57" s="33">
        <f t="shared" si="7"/>
        <v>476</v>
      </c>
      <c r="CR57" s="33">
        <f t="shared" si="8"/>
        <v>376</v>
      </c>
      <c r="CS57" s="33">
        <f t="shared" si="9"/>
        <v>526</v>
      </c>
      <c r="CT57" s="33">
        <f t="shared" si="10"/>
        <v>326</v>
      </c>
      <c r="CU57" s="33">
        <f t="shared" si="38"/>
        <v>401.875</v>
      </c>
    </row>
    <row r="58" spans="1:99" ht="16" x14ac:dyDescent="0.4">
      <c r="A58" s="18">
        <v>2019</v>
      </c>
      <c r="B58" s="11">
        <v>46937060</v>
      </c>
      <c r="C58" s="9">
        <v>17297371</v>
      </c>
      <c r="D58" s="9">
        <f t="shared" si="50"/>
        <v>665283.5</v>
      </c>
      <c r="E58" s="9">
        <f t="shared" si="40"/>
        <v>332641.75</v>
      </c>
      <c r="F58" s="9">
        <f t="shared" si="35"/>
        <v>498962.625</v>
      </c>
      <c r="G58" s="9">
        <v>531765</v>
      </c>
      <c r="H58" s="9">
        <f t="shared" si="41"/>
        <v>265882.5</v>
      </c>
      <c r="I58" s="9">
        <v>779874.82120899996</v>
      </c>
      <c r="J58" s="9">
        <f t="shared" si="42"/>
        <v>389937.41060449998</v>
      </c>
      <c r="K58" s="9">
        <v>737469</v>
      </c>
      <c r="L58" s="9">
        <f t="shared" si="43"/>
        <v>368734.5</v>
      </c>
      <c r="M58" s="25">
        <v>503546</v>
      </c>
      <c r="N58" s="25">
        <v>176046</v>
      </c>
      <c r="O58" s="25">
        <v>18764</v>
      </c>
      <c r="P58" s="25">
        <v>1355</v>
      </c>
      <c r="Q58" s="25">
        <v>249414</v>
      </c>
      <c r="R58" s="25">
        <v>361291</v>
      </c>
      <c r="S58" s="25">
        <v>340776</v>
      </c>
      <c r="T58" s="9">
        <v>45383450</v>
      </c>
      <c r="U58" s="9">
        <f t="shared" si="57"/>
        <v>125614.67072249239</v>
      </c>
      <c r="V58" s="25">
        <v>11183</v>
      </c>
      <c r="W58" s="25">
        <v>3607</v>
      </c>
      <c r="X58" s="36">
        <f t="shared" si="45"/>
        <v>0.71749353584379583</v>
      </c>
      <c r="Y58" s="39">
        <f t="shared" si="36"/>
        <v>0.38576891599908258</v>
      </c>
      <c r="Z58" s="39">
        <v>-0.22453636363636367</v>
      </c>
      <c r="AA58" s="39">
        <v>2.57</v>
      </c>
      <c r="AB58" s="39">
        <v>42.1</v>
      </c>
      <c r="AC58" s="39">
        <v>57.9</v>
      </c>
      <c r="AD58" s="99">
        <v>23</v>
      </c>
      <c r="AE58" s="37">
        <v>19374.718026230894</v>
      </c>
      <c r="AF58" s="41">
        <f t="shared" si="46"/>
        <v>6.4834322002738913</v>
      </c>
      <c r="AG58" s="37">
        <f t="shared" si="47"/>
        <v>25122.934144498478</v>
      </c>
      <c r="AH58" s="37">
        <f t="shared" si="51"/>
        <v>22.880353406197784</v>
      </c>
      <c r="AI58" s="9">
        <v>735</v>
      </c>
      <c r="AJ58" s="9">
        <v>160.9</v>
      </c>
      <c r="AK58" s="25">
        <v>19047</v>
      </c>
      <c r="AL58" s="25">
        <v>78325</v>
      </c>
      <c r="AM58" s="25">
        <v>24947</v>
      </c>
      <c r="AN58" s="25">
        <v>50024</v>
      </c>
      <c r="AO58" s="25">
        <v>3354</v>
      </c>
      <c r="AP58" s="25">
        <v>21982</v>
      </c>
      <c r="AQ58" s="92">
        <v>197.91902503962376</v>
      </c>
      <c r="AR58" s="25">
        <v>3245249300</v>
      </c>
      <c r="AS58" s="76">
        <f t="shared" si="27"/>
        <v>147632.1217359658</v>
      </c>
      <c r="AT58" s="76">
        <f t="shared" si="28"/>
        <v>745.92183195329289</v>
      </c>
      <c r="AU58" s="25">
        <v>84223</v>
      </c>
      <c r="AV58" s="92">
        <v>112.47271621837696</v>
      </c>
      <c r="AW58" s="25">
        <v>6965173000</v>
      </c>
      <c r="AX58" s="88">
        <f t="shared" si="26"/>
        <v>82699.17955902782</v>
      </c>
      <c r="AY58" s="88">
        <f t="shared" si="29"/>
        <v>735.28214076789197</v>
      </c>
      <c r="AZ58" s="96">
        <f t="shared" si="30"/>
        <v>1.9416637093650067</v>
      </c>
      <c r="BA58" s="94">
        <f t="shared" si="31"/>
        <v>4.062872820477935</v>
      </c>
      <c r="BB58" s="89">
        <v>103.99901420426859</v>
      </c>
      <c r="BC58" s="9">
        <v>25793043</v>
      </c>
      <c r="BD58" s="37">
        <f t="shared" si="52"/>
        <v>80485</v>
      </c>
      <c r="BE58" s="9">
        <f t="shared" si="48"/>
        <v>549.52404347438892</v>
      </c>
      <c r="BF58" s="33">
        <f t="shared" si="53"/>
        <v>0.31301825357088831</v>
      </c>
      <c r="BG58" s="33">
        <f t="shared" si="49"/>
        <v>0.59713303359625058</v>
      </c>
      <c r="BH58" s="33">
        <f t="shared" si="54"/>
        <v>-0.28411478002536228</v>
      </c>
      <c r="BI58" s="9">
        <v>14718.939999999997</v>
      </c>
      <c r="BJ58" s="25">
        <v>12.03</v>
      </c>
      <c r="BK58" s="36">
        <f t="shared" si="64"/>
        <v>76.876982999999996</v>
      </c>
      <c r="BL58" s="36">
        <f t="shared" si="65"/>
        <v>11.093017</v>
      </c>
      <c r="BM58" s="25">
        <v>12.61</v>
      </c>
      <c r="BN58" s="25">
        <v>9153900</v>
      </c>
      <c r="BO58" s="25">
        <v>5031700</v>
      </c>
      <c r="BP58" s="25">
        <v>3401200</v>
      </c>
      <c r="BQ58" s="25">
        <v>1038800</v>
      </c>
      <c r="BR58" s="33">
        <f>((BN58*100)/SUM($BN$58:$BQ$58))</f>
        <v>49.146873120865905</v>
      </c>
      <c r="BS58" s="33">
        <f>((BO58*100)/SUM($BN$58:$BQ$58))</f>
        <v>27.014968645305387</v>
      </c>
      <c r="BT58" s="33">
        <f>((BP58*100)/SUM($BN$58:$BQ$58))</f>
        <v>18.26088823984194</v>
      </c>
      <c r="BU58" s="33">
        <f>((BQ58*100)/SUM($BN$58:$BQ$58))</f>
        <v>5.5772699939867705</v>
      </c>
      <c r="BV58" s="33">
        <v>10.65</v>
      </c>
      <c r="BW58" s="33">
        <f t="shared" si="58"/>
        <v>5.9701492537313356</v>
      </c>
      <c r="BX58" s="33">
        <f t="shared" si="59"/>
        <v>13.513302034428794</v>
      </c>
      <c r="BY58" s="33">
        <f t="shared" si="60"/>
        <v>7.4001158077591205</v>
      </c>
      <c r="BZ58" s="33">
        <f t="shared" si="61"/>
        <v>18.017736045905057</v>
      </c>
      <c r="CA58" s="33">
        <f t="shared" si="62"/>
        <v>5.550086855819341</v>
      </c>
      <c r="CB58" s="9">
        <f>AVERAGE(Quarterly!D50:D53)</f>
        <v>1727</v>
      </c>
      <c r="CC58" s="37">
        <v>1438</v>
      </c>
      <c r="CD58" s="36">
        <v>0.70000000000000007</v>
      </c>
      <c r="CE58" s="33">
        <f t="shared" si="19"/>
        <v>939.14346525000019</v>
      </c>
      <c r="CF58" s="33">
        <f t="shared" si="22"/>
        <v>498.85653474999981</v>
      </c>
      <c r="CG58" s="9">
        <f t="shared" si="18"/>
        <v>118.48219251530571</v>
      </c>
      <c r="CH58" s="33">
        <f t="shared" si="20"/>
        <v>3.6243219063108114</v>
      </c>
      <c r="CI58" s="36">
        <f t="shared" si="23"/>
        <v>2.2032693674484705</v>
      </c>
      <c r="CJ58" s="36">
        <f t="shared" si="24"/>
        <v>4.3802077696442012</v>
      </c>
      <c r="CK58" s="36">
        <f t="shared" si="21"/>
        <v>0.84273280005182016</v>
      </c>
      <c r="CL58" s="36">
        <f t="shared" si="55"/>
        <v>-2.7873447828504396</v>
      </c>
      <c r="CM58" s="36">
        <f t="shared" si="56"/>
        <v>3.7220879291238731</v>
      </c>
      <c r="CN58" s="42">
        <v>14.1</v>
      </c>
      <c r="CO58" s="33">
        <f t="shared" si="63"/>
        <v>7.7533562232678115</v>
      </c>
      <c r="CP58" s="33">
        <f t="shared" si="37"/>
        <v>427.84000000000003</v>
      </c>
      <c r="CQ58" s="33">
        <f t="shared" si="7"/>
        <v>477.84000000000003</v>
      </c>
      <c r="CR58" s="33">
        <f t="shared" si="8"/>
        <v>377.84000000000003</v>
      </c>
      <c r="CS58" s="33">
        <f t="shared" si="9"/>
        <v>527.84</v>
      </c>
      <c r="CT58" s="33">
        <f t="shared" si="10"/>
        <v>327.84000000000003</v>
      </c>
      <c r="CU58" s="33">
        <f t="shared" si="38"/>
        <v>404.6</v>
      </c>
    </row>
    <row r="59" spans="1:99" ht="16" x14ac:dyDescent="0.4">
      <c r="A59" s="18">
        <v>2020</v>
      </c>
      <c r="B59" s="11">
        <v>47332614</v>
      </c>
      <c r="C59" s="9">
        <v>17226469</v>
      </c>
      <c r="D59" s="9">
        <f t="shared" si="50"/>
        <v>662556.5</v>
      </c>
      <c r="E59" s="9">
        <f t="shared" si="40"/>
        <v>331278.25</v>
      </c>
      <c r="F59" s="9">
        <f t="shared" si="35"/>
        <v>496917.375</v>
      </c>
      <c r="G59" s="9">
        <v>533950</v>
      </c>
      <c r="H59" s="9">
        <f t="shared" si="41"/>
        <v>266975</v>
      </c>
      <c r="I59" s="9">
        <v>752076.17524500005</v>
      </c>
      <c r="J59" s="9">
        <f t="shared" si="42"/>
        <v>376038.08762250002</v>
      </c>
      <c r="K59" s="9">
        <v>746118</v>
      </c>
      <c r="L59" s="9">
        <f t="shared" si="43"/>
        <v>373059</v>
      </c>
      <c r="M59" s="25">
        <v>415748</v>
      </c>
      <c r="N59" s="25">
        <v>151533</v>
      </c>
      <c r="O59" s="25">
        <v>20020</v>
      </c>
      <c r="P59" s="25">
        <v>1028</v>
      </c>
      <c r="Q59" s="25">
        <v>178365</v>
      </c>
      <c r="R59" s="43">
        <v>333721</v>
      </c>
      <c r="S59" s="43">
        <v>274789</v>
      </c>
      <c r="T59" s="9">
        <v>45020403</v>
      </c>
      <c r="U59" s="37">
        <f t="shared" si="57"/>
        <v>134904.31528132781</v>
      </c>
      <c r="V59" s="43">
        <v>14717</v>
      </c>
      <c r="W59" s="43">
        <v>4716</v>
      </c>
      <c r="X59" s="36">
        <f t="shared" si="45"/>
        <v>0.80270019338637832</v>
      </c>
      <c r="Y59" s="39">
        <f t="shared" si="36"/>
        <v>7.7153500060180775</v>
      </c>
      <c r="Z59" s="39">
        <v>-0.30785454545454549</v>
      </c>
      <c r="AA59" s="39">
        <v>2.4900000000000002</v>
      </c>
      <c r="AB59" s="39">
        <v>47.4</v>
      </c>
      <c r="AC59" s="39">
        <v>52.6</v>
      </c>
      <c r="AD59" s="99">
        <v>24</v>
      </c>
      <c r="AE59" s="37">
        <v>18741.448458664589</v>
      </c>
      <c r="AF59" s="41">
        <f t="shared" si="46"/>
        <v>7.1981797767054951</v>
      </c>
      <c r="AG59" s="37">
        <f t="shared" si="47"/>
        <v>26980.863056265564</v>
      </c>
      <c r="AH59" s="37">
        <f t="shared" si="51"/>
        <v>30.537994950045146</v>
      </c>
      <c r="AI59" s="9">
        <v>900</v>
      </c>
      <c r="AJ59" s="9">
        <v>145.81</v>
      </c>
      <c r="AK59" s="25">
        <v>16207</v>
      </c>
      <c r="AL59" s="25">
        <v>71099</v>
      </c>
      <c r="AM59" s="25">
        <v>22808</v>
      </c>
      <c r="AN59" s="25">
        <v>45317</v>
      </c>
      <c r="AO59" s="25">
        <v>2974</v>
      </c>
      <c r="AP59" s="25">
        <v>20314</v>
      </c>
      <c r="AQ59" s="92">
        <v>195.01493287086069</v>
      </c>
      <c r="AR59" s="25">
        <v>2987751300.0000005</v>
      </c>
      <c r="AS59" s="76">
        <f t="shared" si="27"/>
        <v>147078.43359259627</v>
      </c>
      <c r="AT59" s="76">
        <f t="shared" si="28"/>
        <v>754.19062236629804</v>
      </c>
      <c r="AU59" s="25">
        <v>65191</v>
      </c>
      <c r="AV59" s="92">
        <v>109.57353420146507</v>
      </c>
      <c r="AW59" s="25">
        <v>5413764100.000001</v>
      </c>
      <c r="AX59" s="88">
        <f t="shared" si="26"/>
        <v>83044.654937031199</v>
      </c>
      <c r="AY59" s="88">
        <f t="shared" si="29"/>
        <v>757.8897180074789</v>
      </c>
      <c r="AZ59" s="96">
        <f t="shared" si="30"/>
        <v>1.8834978036259582</v>
      </c>
      <c r="BA59" s="94">
        <f t="shared" si="31"/>
        <v>2.0845452902659645</v>
      </c>
      <c r="BB59" s="89">
        <v>102.77458176611511</v>
      </c>
      <c r="BC59" s="37">
        <v>25882055</v>
      </c>
      <c r="BD59" s="37">
        <f>BC59-BC58</f>
        <v>89012</v>
      </c>
      <c r="BE59" s="9">
        <f t="shared" si="48"/>
        <v>546.81228887971406</v>
      </c>
      <c r="BF59" s="41">
        <f t="shared" si="53"/>
        <v>0.34510080877234373</v>
      </c>
      <c r="BG59" s="33">
        <f t="shared" si="49"/>
        <v>0.84273280005182016</v>
      </c>
      <c r="BH59" s="41">
        <f t="shared" si="54"/>
        <v>-0.49763199127947644</v>
      </c>
      <c r="BI59" s="9">
        <v>13287.560000000001</v>
      </c>
      <c r="BJ59" s="25">
        <v>11.16</v>
      </c>
      <c r="BK59" s="36">
        <f t="shared" si="64"/>
        <v>78.783311999999995</v>
      </c>
      <c r="BL59" s="36">
        <f t="shared" si="65"/>
        <v>10.056688000000001</v>
      </c>
      <c r="BM59" s="25">
        <v>11.32</v>
      </c>
      <c r="BN59" s="25">
        <v>9212400</v>
      </c>
      <c r="BO59" s="25">
        <v>5201200</v>
      </c>
      <c r="BP59" s="25">
        <v>3244400</v>
      </c>
      <c r="BQ59" s="25">
        <v>1096700</v>
      </c>
      <c r="BR59" s="33">
        <f>((BN59*100)/SUM($BN$59:$BQ$59))</f>
        <v>49.120487131225772</v>
      </c>
      <c r="BS59" s="33">
        <f>((BO59*100)/SUM($BN$59:$BQ$59))</f>
        <v>27.732781649399882</v>
      </c>
      <c r="BT59" s="33">
        <f>((BP59*100)/SUM($BN$59:$BQ$59))</f>
        <v>17.299130351325267</v>
      </c>
      <c r="BU59" s="33">
        <f>((BQ59*100)/SUM($BN$59:$BQ$59))</f>
        <v>5.8476008680490761</v>
      </c>
      <c r="BV59" s="33">
        <v>11.05</v>
      </c>
      <c r="BW59" s="33">
        <f t="shared" si="58"/>
        <v>3.7558685446009292</v>
      </c>
      <c r="BX59" s="33">
        <f t="shared" si="59"/>
        <v>13.10646053293112</v>
      </c>
      <c r="BY59" s="33">
        <f t="shared" si="60"/>
        <v>7.6298249820187012</v>
      </c>
      <c r="BZ59" s="33">
        <f t="shared" si="61"/>
        <v>17.475280710574825</v>
      </c>
      <c r="CA59" s="33">
        <f t="shared" si="62"/>
        <v>5.7223687365140261</v>
      </c>
      <c r="CB59" s="9">
        <f>AVERAGE(Quarterly!D54:D57)</f>
        <v>1737.9166666666667</v>
      </c>
      <c r="CC59" s="37">
        <v>1424</v>
      </c>
      <c r="CD59" s="36">
        <v>-0.32</v>
      </c>
      <c r="CE59" s="33">
        <f t="shared" si="19"/>
        <v>934.58666525000012</v>
      </c>
      <c r="CF59" s="33">
        <f t="shared" si="22"/>
        <v>489.41333474999988</v>
      </c>
      <c r="CG59" s="9">
        <f t="shared" si="18"/>
        <v>116.2393612353241</v>
      </c>
      <c r="CH59" s="33">
        <f t="shared" si="20"/>
        <v>-2.7884870874046328</v>
      </c>
      <c r="CI59" s="36">
        <f t="shared" si="23"/>
        <v>-0.97357440890125702</v>
      </c>
      <c r="CJ59" s="36">
        <f t="shared" si="24"/>
        <v>-1.8929690887446071</v>
      </c>
      <c r="CK59" s="36">
        <f t="shared" si="21"/>
        <v>0.13954648691068883</v>
      </c>
      <c r="CL59" s="36">
        <f t="shared" si="55"/>
        <v>-17.43594428314394</v>
      </c>
      <c r="CM59" s="36">
        <f t="shared" si="56"/>
        <v>-7.6309678347924574</v>
      </c>
      <c r="CN59" s="42">
        <v>15.53</v>
      </c>
      <c r="CO59" s="33">
        <f t="shared" si="63"/>
        <v>4.7487943276127691</v>
      </c>
      <c r="CP59" s="33">
        <f t="shared" si="37"/>
        <v>429.56</v>
      </c>
      <c r="CQ59" s="33">
        <f t="shared" si="7"/>
        <v>479.56</v>
      </c>
      <c r="CR59" s="33">
        <f t="shared" si="8"/>
        <v>379.56</v>
      </c>
      <c r="CS59" s="33">
        <f t="shared" si="9"/>
        <v>529.55999999999995</v>
      </c>
      <c r="CT59" s="33">
        <f t="shared" si="10"/>
        <v>329.56</v>
      </c>
      <c r="CU59" s="33">
        <f t="shared" si="38"/>
        <v>407.27499999999998</v>
      </c>
    </row>
    <row r="60" spans="1:99" ht="16" x14ac:dyDescent="0.4">
      <c r="A60" s="18">
        <v>2021</v>
      </c>
      <c r="B60" s="16">
        <v>47398665</v>
      </c>
      <c r="C60" s="37">
        <v>17044268</v>
      </c>
      <c r="D60" s="37">
        <f t="shared" si="50"/>
        <v>655548.76923076925</v>
      </c>
      <c r="E60" s="37">
        <f t="shared" si="40"/>
        <v>327774.38461538462</v>
      </c>
      <c r="F60" s="37">
        <f t="shared" si="35"/>
        <v>491661.57692307694</v>
      </c>
      <c r="G60" s="37">
        <v>531524</v>
      </c>
      <c r="H60" s="37">
        <f t="shared" si="41"/>
        <v>265762</v>
      </c>
      <c r="I60" s="37">
        <v>731583</v>
      </c>
      <c r="J60" s="37">
        <f t="shared" si="42"/>
        <v>365791.5</v>
      </c>
      <c r="K60" s="37">
        <v>753583</v>
      </c>
      <c r="L60" s="37">
        <f t="shared" si="43"/>
        <v>376791.5</v>
      </c>
      <c r="M60" s="37">
        <v>565523</v>
      </c>
      <c r="N60" s="37">
        <v>198939</v>
      </c>
      <c r="O60" s="43">
        <v>25062</v>
      </c>
      <c r="P60" s="15">
        <v>1500</v>
      </c>
      <c r="Q60" s="43">
        <v>195881</v>
      </c>
      <c r="R60" s="43">
        <v>417501</v>
      </c>
      <c r="S60" s="43">
        <v>372543</v>
      </c>
      <c r="T60" s="37">
        <v>57582131</v>
      </c>
      <c r="U60" s="37">
        <f t="shared" si="57"/>
        <v>137920.94150672693</v>
      </c>
      <c r="V60" s="43">
        <v>33455</v>
      </c>
      <c r="W60" s="43">
        <v>10539</v>
      </c>
      <c r="X60" s="46">
        <f t="shared" si="45"/>
        <v>0.73825644580326533</v>
      </c>
      <c r="Y60" s="39">
        <f t="shared" si="36"/>
        <v>-0.85387714573230866</v>
      </c>
      <c r="Z60" s="39">
        <v>-0.4896727272727272</v>
      </c>
      <c r="AA60" s="39">
        <v>2.5099999999999998</v>
      </c>
      <c r="AB60" s="39">
        <v>62.9</v>
      </c>
      <c r="AC60" s="39">
        <v>37.1</v>
      </c>
      <c r="AD60" s="99">
        <v>25</v>
      </c>
      <c r="AE60" s="37">
        <v>19224.054569848919</v>
      </c>
      <c r="AF60" s="41">
        <f t="shared" si="46"/>
        <v>7.1743939867421451</v>
      </c>
      <c r="AG60" s="37">
        <f t="shared" si="47"/>
        <v>27584.188301345384</v>
      </c>
      <c r="AH60" s="37">
        <f t="shared" si="51"/>
        <v>30.307702514808867</v>
      </c>
      <c r="AI60" s="37">
        <v>950</v>
      </c>
      <c r="AJ60" s="37">
        <v>151.19999999999999</v>
      </c>
      <c r="AK60" s="25">
        <v>29826</v>
      </c>
      <c r="AL60" s="43">
        <v>82647</v>
      </c>
      <c r="AM60" s="43">
        <v>28465</v>
      </c>
      <c r="AN60" s="43">
        <v>50560</v>
      </c>
      <c r="AO60" s="43">
        <v>3622</v>
      </c>
      <c r="AP60" s="43">
        <v>26576</v>
      </c>
      <c r="AQ60" s="93">
        <v>192.91200151575268</v>
      </c>
      <c r="AR60" s="43">
        <v>3909758900</v>
      </c>
      <c r="AS60" s="76">
        <f>AR60/AP60</f>
        <v>147116.15367248646</v>
      </c>
      <c r="AT60" s="76">
        <f t="shared" si="28"/>
        <v>762.60757504230935</v>
      </c>
      <c r="AU60" s="43">
        <v>81561</v>
      </c>
      <c r="AV60" s="93">
        <v>107.58787794061321</v>
      </c>
      <c r="AW60" s="43">
        <v>6738291700</v>
      </c>
      <c r="AX60" s="88">
        <f t="shared" si="26"/>
        <v>82616.59003690489</v>
      </c>
      <c r="AY60" s="88">
        <f t="shared" si="29"/>
        <v>767.89868541238377</v>
      </c>
      <c r="AZ60" s="96">
        <f t="shared" si="30"/>
        <v>1.9784303261199476</v>
      </c>
      <c r="BA60" s="94">
        <f t="shared" si="31"/>
        <v>1.2185807585039754</v>
      </c>
      <c r="BB60" s="89">
        <v>111.49696262134763</v>
      </c>
      <c r="BC60" s="37">
        <v>25976305</v>
      </c>
      <c r="BD60" s="37">
        <f>BC60-BC59</f>
        <v>94250</v>
      </c>
      <c r="BE60" s="9">
        <f t="shared" si="48"/>
        <v>548.03874750480838</v>
      </c>
      <c r="BF60" s="41">
        <f>(BC60*100/BC59)-100</f>
        <v>0.3641519191578908</v>
      </c>
      <c r="BG60" s="33">
        <f t="shared" si="49"/>
        <v>0.13954648691068883</v>
      </c>
      <c r="BH60" s="45">
        <f>BF60-BG60</f>
        <v>0.22460543224720197</v>
      </c>
      <c r="BI60" s="37">
        <v>14933</v>
      </c>
      <c r="BJ60" s="25">
        <v>9.44</v>
      </c>
      <c r="BK60" s="36">
        <f t="shared" si="64"/>
        <v>80.779519999999991</v>
      </c>
      <c r="BL60" s="36">
        <f t="shared" si="65"/>
        <v>9.7804800000000007</v>
      </c>
      <c r="BM60" s="25">
        <v>10.8</v>
      </c>
      <c r="BN60" s="25"/>
      <c r="BO60" s="25"/>
      <c r="BP60" s="25"/>
      <c r="BQ60" s="25"/>
      <c r="BR60" s="25"/>
      <c r="BS60" s="25"/>
      <c r="BT60" s="25"/>
      <c r="BU60" s="25"/>
      <c r="BV60" s="33">
        <v>10.85</v>
      </c>
      <c r="BW60" s="33">
        <f>((BV60*100)/BV59)-100</f>
        <v>-1.8099547511312295</v>
      </c>
      <c r="BX60" s="33">
        <f>CB60/(BV60*12)</f>
        <v>13.886328725038402</v>
      </c>
      <c r="BY60" s="33">
        <f>100/BX60</f>
        <v>7.2013274336283191</v>
      </c>
      <c r="BZ60" s="33">
        <f t="shared" si="61"/>
        <v>18.515104966717868</v>
      </c>
      <c r="CA60" s="33">
        <f>100/BZ60</f>
        <v>5.4009955752212395</v>
      </c>
      <c r="CB60" s="9">
        <f>AVERAGE(Quarterly!D58:D61)</f>
        <v>1807.9999999999998</v>
      </c>
      <c r="CC60" s="47">
        <v>1514</v>
      </c>
      <c r="CD60" s="46">
        <v>3.09</v>
      </c>
      <c r="CE60" s="41">
        <f t="shared" si="19"/>
        <v>981.36926525000013</v>
      </c>
      <c r="CF60" s="41">
        <f t="shared" si="22"/>
        <v>532.63073474999987</v>
      </c>
      <c r="CG60" s="37">
        <f t="shared" si="18"/>
        <v>126.50381995265272</v>
      </c>
      <c r="CH60" s="41">
        <f t="shared" si="20"/>
        <v>7.9857278429207241</v>
      </c>
      <c r="CI60" s="46">
        <f t="shared" si="23"/>
        <v>6.3202247191011196</v>
      </c>
      <c r="CJ60" s="46">
        <f t="shared" si="24"/>
        <v>8.83045003709924</v>
      </c>
      <c r="CK60" s="46">
        <f t="shared" si="21"/>
        <v>7.2027345073962579E-2</v>
      </c>
      <c r="CL60" s="36">
        <f t="shared" si="55"/>
        <v>36.025428865562787</v>
      </c>
      <c r="CM60" s="36">
        <f t="shared" si="56"/>
        <v>25.104803113978448</v>
      </c>
      <c r="CN60" s="41">
        <v>14.8</v>
      </c>
      <c r="CO60" s="41">
        <f t="shared" si="63"/>
        <v>11.721220294322359</v>
      </c>
      <c r="CP60" s="33">
        <f t="shared" si="37"/>
        <v>431.15999999999997</v>
      </c>
      <c r="CQ60" s="45">
        <f t="shared" si="7"/>
        <v>481.15999999999997</v>
      </c>
      <c r="CR60" s="45">
        <f t="shared" si="8"/>
        <v>381.15999999999997</v>
      </c>
      <c r="CS60" s="45">
        <f t="shared" si="9"/>
        <v>531.16</v>
      </c>
      <c r="CT60" s="45">
        <f t="shared" si="10"/>
        <v>331.15999999999997</v>
      </c>
      <c r="CU60" s="33">
        <f t="shared" si="38"/>
        <v>409.9</v>
      </c>
    </row>
    <row r="61" spans="1:99" ht="16" x14ac:dyDescent="0.4">
      <c r="A61" s="18">
        <v>2022</v>
      </c>
      <c r="B61" s="16">
        <v>47432805</v>
      </c>
      <c r="C61" s="44">
        <v>16745758.088183999</v>
      </c>
      <c r="D61" s="44">
        <f>C61/26</f>
        <v>644067.61877630767</v>
      </c>
      <c r="E61" s="44">
        <f t="shared" si="40"/>
        <v>322033.80938815384</v>
      </c>
      <c r="F61" s="44">
        <f t="shared" si="35"/>
        <v>483050.71408223076</v>
      </c>
      <c r="G61" s="44">
        <v>528019.09555600001</v>
      </c>
      <c r="H61" s="44">
        <f t="shared" si="41"/>
        <v>264009.54777800001</v>
      </c>
      <c r="I61" s="44">
        <v>696564.92515599995</v>
      </c>
      <c r="J61" s="44">
        <f t="shared" si="42"/>
        <v>348282.46257799998</v>
      </c>
      <c r="K61" s="44">
        <v>763428.68024699995</v>
      </c>
      <c r="L61" s="44">
        <f t="shared" si="43"/>
        <v>381714.34012349998</v>
      </c>
      <c r="M61" s="49">
        <v>663066</v>
      </c>
      <c r="N61" s="44">
        <v>203007</v>
      </c>
      <c r="O61" s="38"/>
      <c r="P61" s="12"/>
      <c r="Q61" s="38"/>
      <c r="R61" s="38">
        <v>463641</v>
      </c>
      <c r="S61" s="38">
        <v>419332</v>
      </c>
      <c r="T61" s="44">
        <v>67303636</v>
      </c>
      <c r="U61" s="44">
        <f t="shared" si="57"/>
        <v>145163.25346550456</v>
      </c>
      <c r="V61" s="38">
        <v>26384</v>
      </c>
      <c r="W61" s="38">
        <v>7196</v>
      </c>
      <c r="X61" s="50">
        <f t="shared" si="45"/>
        <v>0.69923808489652617</v>
      </c>
      <c r="Y61" s="98">
        <f t="shared" si="36"/>
        <v>-3.1989395883913794</v>
      </c>
      <c r="Z61" s="50">
        <v>1.03</v>
      </c>
      <c r="AA61" s="98">
        <v>2.5</v>
      </c>
      <c r="AB61" s="98">
        <v>73.125</v>
      </c>
      <c r="AC61" s="98">
        <v>26.88</v>
      </c>
      <c r="AD61" s="44">
        <v>25</v>
      </c>
      <c r="AE61" s="38">
        <v>19922</v>
      </c>
      <c r="AF61" s="45">
        <f t="shared" si="46"/>
        <v>7.2865803365879209</v>
      </c>
      <c r="AG61" s="44">
        <f t="shared" si="47"/>
        <v>29032.650693100913</v>
      </c>
      <c r="AH61" s="37">
        <f t="shared" si="51"/>
        <v>31.380705776430858</v>
      </c>
      <c r="AI61" s="44"/>
      <c r="AJ61" s="38">
        <v>162</v>
      </c>
      <c r="AK61" s="38"/>
      <c r="AL61" s="38">
        <v>80433</v>
      </c>
      <c r="AM61" s="38">
        <v>27504</v>
      </c>
      <c r="AN61" s="38">
        <v>45434</v>
      </c>
      <c r="AO61" s="38">
        <v>3091</v>
      </c>
      <c r="AP61" s="44">
        <v>26871</v>
      </c>
      <c r="AQ61" s="75">
        <v>196.39370586211422</v>
      </c>
      <c r="AR61" s="38">
        <v>4316299542.8571444</v>
      </c>
      <c r="AS61" s="86">
        <f t="shared" si="27"/>
        <v>160630.40239876241</v>
      </c>
      <c r="AT61" s="86">
        <f t="shared" si="28"/>
        <v>817.89995098691804</v>
      </c>
      <c r="AU61" s="44">
        <v>78073</v>
      </c>
      <c r="AV61" s="75">
        <v>109.87686066317193</v>
      </c>
      <c r="AW61" s="38">
        <v>6858606342.8571424</v>
      </c>
      <c r="AX61" s="86">
        <f t="shared" si="26"/>
        <v>87848.633238855211</v>
      </c>
      <c r="AY61" s="86">
        <f t="shared" si="29"/>
        <v>799.51895884753787</v>
      </c>
      <c r="AZ61" s="97">
        <f>CC61/((AY61+AT61)/2)</f>
        <v>2.0007185400912664</v>
      </c>
      <c r="BA61" s="95">
        <f t="shared" si="31"/>
        <v>5.6786863030499575</v>
      </c>
      <c r="BB61" s="90">
        <v>125.39</v>
      </c>
      <c r="BC61" s="44">
        <v>26074305</v>
      </c>
      <c r="BD61" s="44">
        <f>BC61-BC60</f>
        <v>98000</v>
      </c>
      <c r="BE61" s="44">
        <f t="shared" si="48"/>
        <v>549.7103744971439</v>
      </c>
      <c r="BF61" s="45">
        <f>(BC61*100/BC60)-100</f>
        <v>0.37726689765922572</v>
      </c>
      <c r="BG61" s="45">
        <f t="shared" si="49"/>
        <v>7.2027345073962579E-2</v>
      </c>
      <c r="BH61" s="45">
        <f>BF61-BG61</f>
        <v>0.30523955258526314</v>
      </c>
      <c r="BI61" s="44">
        <v>14724</v>
      </c>
      <c r="BJ61" s="44"/>
      <c r="BK61" s="44"/>
      <c r="BL61" s="44"/>
      <c r="BM61" s="44"/>
      <c r="BN61" s="25"/>
      <c r="BO61" s="25"/>
      <c r="BP61" s="25"/>
      <c r="BQ61" s="25"/>
      <c r="BR61" s="25"/>
      <c r="BS61" s="25"/>
      <c r="BT61" s="25"/>
      <c r="BU61" s="25"/>
      <c r="BV61" s="45">
        <v>11</v>
      </c>
      <c r="BW61" s="45">
        <f>((BV61*100)/BV60)-100</f>
        <v>1.3824884792626762</v>
      </c>
      <c r="BX61" s="45">
        <f>CB61/(BV61*12)</f>
        <v>14.121212121212121</v>
      </c>
      <c r="BY61" s="45">
        <f>100/BX61</f>
        <v>7.0815450643776821</v>
      </c>
      <c r="BZ61" s="45">
        <f>CB61/((BV61*12)*0.75)</f>
        <v>18.828282828282827</v>
      </c>
      <c r="CA61" s="45">
        <f>100/BZ61</f>
        <v>5.3111587982832624</v>
      </c>
      <c r="CB61" s="38">
        <v>1864</v>
      </c>
      <c r="CC61" s="44">
        <v>1618</v>
      </c>
      <c r="CD61" s="50">
        <v>8.4499999999999993</v>
      </c>
      <c r="CE61" s="45">
        <f>(CC61-((1-(CD61/100))*CC61))+CE60</f>
        <v>1118.0902652500001</v>
      </c>
      <c r="CF61" s="45">
        <f>CC61-CE61</f>
        <v>499.90973474999987</v>
      </c>
      <c r="CG61" s="44">
        <f t="shared" si="18"/>
        <v>118.73233546516134</v>
      </c>
      <c r="CH61" s="45">
        <f t="shared" si="20"/>
        <v>-6.6221234507153071</v>
      </c>
      <c r="CI61" s="50">
        <f t="shared" si="23"/>
        <v>6.8692206076618163</v>
      </c>
      <c r="CJ61" s="50">
        <f t="shared" si="24"/>
        <v>-6.1432804878145504</v>
      </c>
      <c r="CK61" s="50">
        <f t="shared" si="21"/>
        <v>0.10541227743119919</v>
      </c>
      <c r="CL61" s="50">
        <f t="shared" si="55"/>
        <v>17.248281679082908</v>
      </c>
      <c r="CM61" s="50">
        <f t="shared" si="56"/>
        <v>11.051470535399915</v>
      </c>
      <c r="CN61" s="51">
        <v>12.93</v>
      </c>
      <c r="CO61" s="41">
        <f t="shared" si="63"/>
        <v>12.180379405945079</v>
      </c>
      <c r="CP61" s="33">
        <f t="shared" si="37"/>
        <v>432.64</v>
      </c>
      <c r="CQ61" s="45">
        <f t="shared" si="7"/>
        <v>482.64</v>
      </c>
      <c r="CR61" s="45">
        <f t="shared" si="8"/>
        <v>382.64</v>
      </c>
      <c r="CS61" s="45">
        <f t="shared" si="9"/>
        <v>532.64</v>
      </c>
      <c r="CT61" s="45">
        <f t="shared" si="10"/>
        <v>332.64</v>
      </c>
      <c r="CU61" s="33">
        <f t="shared" si="38"/>
        <v>412.47500000000002</v>
      </c>
    </row>
    <row r="62" spans="1:99" ht="16" x14ac:dyDescent="0.4">
      <c r="A62" s="18">
        <v>2023</v>
      </c>
      <c r="B62" s="14">
        <v>47482805</v>
      </c>
      <c r="C62" s="44">
        <v>16502601.299354004</v>
      </c>
      <c r="D62" s="44">
        <f t="shared" si="50"/>
        <v>634715.43459053861</v>
      </c>
      <c r="E62" s="44">
        <f t="shared" si="40"/>
        <v>317357.71729526931</v>
      </c>
      <c r="F62" s="44">
        <f t="shared" si="35"/>
        <v>476036.57594290399</v>
      </c>
      <c r="G62" s="44">
        <v>523292.16734799999</v>
      </c>
      <c r="H62" s="44">
        <f t="shared" si="41"/>
        <v>261646.08367399999</v>
      </c>
      <c r="I62" s="44">
        <v>667442.91504500003</v>
      </c>
      <c r="J62" s="44">
        <f t="shared" si="42"/>
        <v>333721.45752250002</v>
      </c>
      <c r="K62" s="44">
        <v>774828.89329200005</v>
      </c>
      <c r="L62" s="44">
        <f t="shared" si="43"/>
        <v>387414.44664600003</v>
      </c>
      <c r="M62" s="44"/>
      <c r="N62" s="44">
        <f>N61*1.03</f>
        <v>209097.21</v>
      </c>
      <c r="O62" s="38"/>
      <c r="P62" s="13"/>
      <c r="Q62" s="45"/>
      <c r="R62" s="44"/>
      <c r="S62" s="44"/>
      <c r="T62" s="50"/>
      <c r="U62" s="44"/>
      <c r="V62" s="38"/>
      <c r="W62" s="38"/>
      <c r="X62" s="38"/>
      <c r="Y62" s="35"/>
      <c r="Z62" s="50"/>
      <c r="AA62" s="52"/>
      <c r="AB62" s="52"/>
      <c r="AC62" s="52"/>
      <c r="AD62" s="52"/>
      <c r="AE62" s="25"/>
      <c r="AF62" s="45"/>
      <c r="AG62" s="38"/>
      <c r="AH62" s="38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5"/>
      <c r="BA62" s="45"/>
      <c r="BB62" s="44"/>
      <c r="BC62" s="25"/>
      <c r="BD62" s="9"/>
      <c r="BE62" s="25"/>
      <c r="BF62" s="25"/>
      <c r="BG62" s="33"/>
      <c r="BH62" s="25"/>
      <c r="BI62" s="48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50"/>
      <c r="CE62" s="45"/>
      <c r="CF62" s="45"/>
      <c r="CG62" s="44"/>
      <c r="CH62" s="45"/>
      <c r="CI62" s="50"/>
      <c r="CJ62" s="50"/>
      <c r="CK62" s="50"/>
      <c r="CL62" s="38"/>
      <c r="CM62" s="38"/>
      <c r="CN62" s="50"/>
      <c r="CO62" s="44"/>
      <c r="CP62" s="33">
        <f t="shared" si="37"/>
        <v>434</v>
      </c>
      <c r="CQ62" s="45">
        <f t="shared" si="7"/>
        <v>484</v>
      </c>
      <c r="CR62" s="45">
        <f t="shared" si="8"/>
        <v>384</v>
      </c>
      <c r="CS62" s="45">
        <f t="shared" si="9"/>
        <v>534</v>
      </c>
      <c r="CT62" s="45">
        <f t="shared" si="10"/>
        <v>334</v>
      </c>
      <c r="CU62" s="33">
        <f t="shared" si="38"/>
        <v>415</v>
      </c>
    </row>
    <row r="63" spans="1:99" ht="16" x14ac:dyDescent="0.4">
      <c r="A63" s="18">
        <v>2024</v>
      </c>
      <c r="B63" s="14">
        <v>47508101.693512447</v>
      </c>
      <c r="C63" s="44">
        <v>16250838.702938998</v>
      </c>
      <c r="D63" s="44">
        <f t="shared" si="50"/>
        <v>625032.25780534605</v>
      </c>
      <c r="E63" s="44">
        <f t="shared" si="40"/>
        <v>312516.12890267302</v>
      </c>
      <c r="F63" s="44">
        <f t="shared" si="35"/>
        <v>468774.19335400953</v>
      </c>
      <c r="G63" s="44">
        <v>516126.85299799999</v>
      </c>
      <c r="H63" s="44">
        <f t="shared" si="41"/>
        <v>258063.42649899999</v>
      </c>
      <c r="I63" s="44">
        <v>632727.36444599996</v>
      </c>
      <c r="J63" s="44">
        <f t="shared" si="42"/>
        <v>316363.68222299998</v>
      </c>
      <c r="K63" s="44">
        <v>778332.34440099995</v>
      </c>
      <c r="L63" s="44">
        <f t="shared" si="43"/>
        <v>389166.17220049998</v>
      </c>
      <c r="M63" s="44"/>
      <c r="N63" s="44">
        <f t="shared" ref="N63:N109" si="66">N62*1.03</f>
        <v>215370.1263</v>
      </c>
      <c r="O63" s="38"/>
      <c r="P63" s="13"/>
      <c r="Q63" s="45"/>
      <c r="R63" s="44"/>
      <c r="S63" s="38"/>
      <c r="T63" s="44"/>
      <c r="U63" s="38"/>
      <c r="V63" s="38"/>
      <c r="W63" s="38"/>
      <c r="X63" s="38"/>
      <c r="Y63" s="35"/>
      <c r="Z63" s="52"/>
      <c r="AA63" s="52"/>
      <c r="AB63" s="52"/>
      <c r="AC63" s="52"/>
      <c r="AD63" s="52"/>
      <c r="AE63" s="25"/>
      <c r="AF63" s="38"/>
      <c r="AG63" s="38"/>
      <c r="AH63" s="38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25"/>
      <c r="BD63" s="9"/>
      <c r="BE63" s="25"/>
      <c r="BF63" s="25"/>
      <c r="BG63" s="33"/>
      <c r="BH63" s="25"/>
      <c r="BI63" s="48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50"/>
      <c r="CE63" s="45"/>
      <c r="CF63" s="45"/>
      <c r="CG63" s="44"/>
      <c r="CH63" s="45"/>
      <c r="CI63" s="50"/>
      <c r="CJ63" s="50"/>
      <c r="CK63" s="50"/>
      <c r="CL63" s="38"/>
      <c r="CM63" s="38"/>
      <c r="CN63" s="38"/>
      <c r="CO63" s="44"/>
      <c r="CP63" s="33">
        <f t="shared" si="37"/>
        <v>435.24</v>
      </c>
      <c r="CQ63" s="45">
        <f t="shared" si="7"/>
        <v>485.24</v>
      </c>
      <c r="CR63" s="45">
        <f t="shared" si="8"/>
        <v>385.24</v>
      </c>
      <c r="CS63" s="45">
        <f t="shared" si="9"/>
        <v>535.24</v>
      </c>
      <c r="CT63" s="45">
        <f t="shared" si="10"/>
        <v>335.24</v>
      </c>
      <c r="CU63" s="33">
        <f t="shared" si="38"/>
        <v>417.47500000000002</v>
      </c>
    </row>
    <row r="64" spans="1:99" ht="16" x14ac:dyDescent="0.4">
      <c r="A64" s="18">
        <v>2025</v>
      </c>
      <c r="B64" s="14">
        <v>47544784.05866617</v>
      </c>
      <c r="C64" s="44">
        <v>16015363.242989998</v>
      </c>
      <c r="D64" s="44">
        <f>C64/26</f>
        <v>615975.50934576918</v>
      </c>
      <c r="E64" s="44">
        <f t="shared" si="40"/>
        <v>307987.75467288459</v>
      </c>
      <c r="F64" s="44">
        <f t="shared" si="35"/>
        <v>461981.63200932689</v>
      </c>
      <c r="G64" s="44">
        <v>501837.52931900002</v>
      </c>
      <c r="H64" s="44">
        <f t="shared" si="41"/>
        <v>250918.76465950001</v>
      </c>
      <c r="I64" s="44">
        <v>614866.50834099995</v>
      </c>
      <c r="J64" s="44">
        <f t="shared" si="42"/>
        <v>307433.25417049997</v>
      </c>
      <c r="K64" s="44">
        <v>797242.68682499998</v>
      </c>
      <c r="L64" s="44">
        <f t="shared" si="43"/>
        <v>398621.34341249999</v>
      </c>
      <c r="M64" s="44"/>
      <c r="N64" s="44">
        <f t="shared" si="66"/>
        <v>221831.23008900002</v>
      </c>
      <c r="O64" s="38"/>
      <c r="P64" s="13"/>
      <c r="Q64" s="45"/>
      <c r="R64" s="38"/>
      <c r="S64" s="38"/>
      <c r="T64" s="38"/>
      <c r="U64" s="38"/>
      <c r="V64" s="38"/>
      <c r="W64" s="38"/>
      <c r="X64" s="38"/>
      <c r="Y64" s="35"/>
      <c r="Z64" s="52"/>
      <c r="AA64" s="52"/>
      <c r="AB64" s="52"/>
      <c r="AC64" s="52"/>
      <c r="AD64" s="52"/>
      <c r="AE64" s="25"/>
      <c r="AF64" s="38"/>
      <c r="AG64" s="38"/>
      <c r="AH64" s="38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25"/>
      <c r="BD64" s="9"/>
      <c r="BE64" s="25"/>
      <c r="BF64" s="25"/>
      <c r="BG64" s="33"/>
      <c r="BH64" s="25"/>
      <c r="BI64" s="48"/>
      <c r="BJ64" s="38"/>
      <c r="BK64" s="38"/>
      <c r="BL64" s="38"/>
      <c r="BM64" s="38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50"/>
      <c r="CE64" s="45"/>
      <c r="CF64" s="45"/>
      <c r="CG64" s="44"/>
      <c r="CH64" s="45"/>
      <c r="CI64" s="50"/>
      <c r="CJ64" s="50"/>
      <c r="CK64" s="50"/>
      <c r="CL64" s="38"/>
      <c r="CM64" s="38"/>
      <c r="CN64" s="38"/>
      <c r="CO64" s="44"/>
      <c r="CP64" s="33">
        <f t="shared" si="37"/>
        <v>436.36</v>
      </c>
      <c r="CQ64" s="45">
        <f t="shared" si="7"/>
        <v>486.36</v>
      </c>
      <c r="CR64" s="45">
        <f t="shared" si="8"/>
        <v>386.36</v>
      </c>
      <c r="CS64" s="45">
        <f t="shared" si="9"/>
        <v>536.36</v>
      </c>
      <c r="CT64" s="45">
        <f t="shared" si="10"/>
        <v>336.36</v>
      </c>
      <c r="CU64" s="33">
        <f t="shared" si="38"/>
        <v>419.9</v>
      </c>
    </row>
    <row r="65" spans="1:99" ht="16" x14ac:dyDescent="0.4">
      <c r="A65" s="18">
        <v>2026</v>
      </c>
      <c r="B65" s="14">
        <v>47587609.722386882</v>
      </c>
      <c r="C65" s="44">
        <v>15778182.705500999</v>
      </c>
      <c r="D65" s="44">
        <f t="shared" si="50"/>
        <v>606853.18098080764</v>
      </c>
      <c r="E65" s="44">
        <f t="shared" si="40"/>
        <v>303426.59049040382</v>
      </c>
      <c r="F65" s="44">
        <f t="shared" si="35"/>
        <v>455139.88573560573</v>
      </c>
      <c r="G65" s="44">
        <v>498581.19506400003</v>
      </c>
      <c r="H65" s="44">
        <f t="shared" si="41"/>
        <v>249290.59753200001</v>
      </c>
      <c r="I65" s="44">
        <v>594746.80457599997</v>
      </c>
      <c r="J65" s="44">
        <f t="shared" si="42"/>
        <v>297373.40228799998</v>
      </c>
      <c r="K65" s="44">
        <v>803005.67792499997</v>
      </c>
      <c r="L65" s="44">
        <f t="shared" si="43"/>
        <v>401502.83896249998</v>
      </c>
      <c r="M65" s="44"/>
      <c r="N65" s="44">
        <f t="shared" si="66"/>
        <v>228486.16699167003</v>
      </c>
      <c r="O65" s="38"/>
      <c r="P65" s="13"/>
      <c r="Q65" s="45"/>
      <c r="R65" s="38"/>
      <c r="S65" s="38"/>
      <c r="T65" s="38"/>
      <c r="U65" s="38"/>
      <c r="V65" s="38"/>
      <c r="W65" s="38"/>
      <c r="X65" s="38"/>
      <c r="Y65" s="35"/>
      <c r="Z65" s="52"/>
      <c r="AA65" s="52"/>
      <c r="AB65" s="52"/>
      <c r="AC65" s="52"/>
      <c r="AD65" s="52"/>
      <c r="AE65" s="25"/>
      <c r="AF65" s="38"/>
      <c r="AG65" s="38"/>
      <c r="AH65" s="38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25"/>
      <c r="BD65" s="9"/>
      <c r="BE65" s="25"/>
      <c r="BF65" s="25"/>
      <c r="BG65" s="33"/>
      <c r="BH65" s="25"/>
      <c r="BI65" s="48"/>
      <c r="BJ65" s="38"/>
      <c r="BK65" s="38"/>
      <c r="BL65" s="38"/>
      <c r="BM65" s="38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50"/>
      <c r="CE65" s="45"/>
      <c r="CF65" s="45"/>
      <c r="CG65" s="44"/>
      <c r="CH65" s="45"/>
      <c r="CI65" s="50"/>
      <c r="CJ65" s="50"/>
      <c r="CK65" s="50"/>
      <c r="CL65" s="38"/>
      <c r="CM65" s="38"/>
      <c r="CN65" s="38"/>
      <c r="CO65" s="44"/>
      <c r="CP65" s="33">
        <f t="shared" si="37"/>
        <v>437.36</v>
      </c>
      <c r="CQ65" s="45">
        <f t="shared" si="7"/>
        <v>487.36</v>
      </c>
      <c r="CR65" s="45">
        <f t="shared" si="8"/>
        <v>387.36</v>
      </c>
      <c r="CS65" s="45">
        <f t="shared" si="9"/>
        <v>537.36</v>
      </c>
      <c r="CT65" s="45">
        <f t="shared" si="10"/>
        <v>337.36</v>
      </c>
      <c r="CU65" s="33">
        <f t="shared" si="38"/>
        <v>422.27499999999998</v>
      </c>
    </row>
    <row r="66" spans="1:99" ht="16" x14ac:dyDescent="0.4">
      <c r="A66" s="18">
        <v>2027</v>
      </c>
      <c r="B66" s="14">
        <v>47638217.871348262</v>
      </c>
      <c r="C66" s="44">
        <v>15542821.275544999</v>
      </c>
      <c r="D66" s="44">
        <f t="shared" si="50"/>
        <v>597800.81829019228</v>
      </c>
      <c r="E66" s="44">
        <f t="shared" si="40"/>
        <v>298900.40914509614</v>
      </c>
      <c r="F66" s="44">
        <f t="shared" si="35"/>
        <v>448350.61371764424</v>
      </c>
      <c r="G66" s="44">
        <v>501622.98487599997</v>
      </c>
      <c r="H66" s="44">
        <f t="shared" si="41"/>
        <v>250811.49243799999</v>
      </c>
      <c r="I66" s="44">
        <v>578267.86841300002</v>
      </c>
      <c r="J66" s="44">
        <f t="shared" si="42"/>
        <v>289133.93420650001</v>
      </c>
      <c r="K66" s="44">
        <v>809048.22265100002</v>
      </c>
      <c r="L66" s="44">
        <f t="shared" si="43"/>
        <v>404524.11132550001</v>
      </c>
      <c r="M66" s="44"/>
      <c r="N66" s="44">
        <f t="shared" si="66"/>
        <v>235340.75200142013</v>
      </c>
      <c r="O66" s="38"/>
      <c r="P66" s="13"/>
      <c r="Q66" s="45"/>
      <c r="R66" s="38"/>
      <c r="S66" s="44"/>
      <c r="T66" s="38"/>
      <c r="U66" s="38"/>
      <c r="V66" s="38"/>
      <c r="W66" s="38"/>
      <c r="X66" s="38"/>
      <c r="Y66" s="35"/>
      <c r="Z66" s="52"/>
      <c r="AA66" s="52"/>
      <c r="AB66" s="52"/>
      <c r="AC66" s="52"/>
      <c r="AD66" s="52"/>
      <c r="AE66" s="25"/>
      <c r="AF66" s="38"/>
      <c r="AG66" s="38"/>
      <c r="AH66" s="38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25"/>
      <c r="BD66" s="9"/>
      <c r="BE66" s="25"/>
      <c r="BF66" s="25"/>
      <c r="BG66" s="33"/>
      <c r="BH66" s="25"/>
      <c r="BI66" s="48"/>
      <c r="BJ66" s="38"/>
      <c r="BK66" s="38"/>
      <c r="BL66" s="38"/>
      <c r="BM66" s="38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50"/>
      <c r="CE66" s="45"/>
      <c r="CF66" s="45"/>
      <c r="CG66" s="44"/>
      <c r="CH66" s="45"/>
      <c r="CI66" s="50"/>
      <c r="CJ66" s="50"/>
      <c r="CK66" s="50"/>
      <c r="CL66" s="38"/>
      <c r="CM66" s="38"/>
      <c r="CN66" s="38"/>
      <c r="CO66" s="44"/>
      <c r="CP66" s="33">
        <f t="shared" si="37"/>
        <v>438.24</v>
      </c>
      <c r="CQ66" s="45">
        <f t="shared" si="7"/>
        <v>488.24</v>
      </c>
      <c r="CR66" s="45">
        <f t="shared" si="8"/>
        <v>388.24</v>
      </c>
      <c r="CS66" s="45">
        <f t="shared" si="9"/>
        <v>538.24</v>
      </c>
      <c r="CT66" s="45">
        <f t="shared" si="10"/>
        <v>338.24</v>
      </c>
      <c r="CU66" s="33">
        <f t="shared" si="38"/>
        <v>424.6</v>
      </c>
    </row>
    <row r="67" spans="1:99" ht="16" x14ac:dyDescent="0.4">
      <c r="A67" s="18">
        <v>2028</v>
      </c>
      <c r="B67" s="14">
        <v>47697038.863705635</v>
      </c>
      <c r="C67" s="44">
        <v>15311447.272689998</v>
      </c>
      <c r="D67" s="44">
        <f t="shared" si="50"/>
        <v>588901.81818038458</v>
      </c>
      <c r="E67" s="44">
        <f t="shared" si="40"/>
        <v>294450.90909019229</v>
      </c>
      <c r="F67" s="44">
        <f t="shared" ref="F67:F98" si="67">E67*1.5</f>
        <v>441676.36363528844</v>
      </c>
      <c r="G67" s="44">
        <v>508279.06743200001</v>
      </c>
      <c r="H67" s="44">
        <f t="shared" si="41"/>
        <v>254139.53371600001</v>
      </c>
      <c r="I67" s="44">
        <v>567956.33869799995</v>
      </c>
      <c r="J67" s="44">
        <f t="shared" si="42"/>
        <v>283978.16934899997</v>
      </c>
      <c r="K67" s="44">
        <v>794816.13369699998</v>
      </c>
      <c r="L67" s="44">
        <f t="shared" si="43"/>
        <v>397408.06684849999</v>
      </c>
      <c r="M67" s="44"/>
      <c r="N67" s="44">
        <f t="shared" si="66"/>
        <v>242400.97456146273</v>
      </c>
      <c r="O67" s="38"/>
      <c r="P67" s="13"/>
      <c r="Q67" s="45"/>
      <c r="R67" s="38"/>
      <c r="S67" s="44"/>
      <c r="T67" s="50"/>
      <c r="U67" s="38"/>
      <c r="V67" s="38"/>
      <c r="W67" s="38"/>
      <c r="X67" s="38"/>
      <c r="Y67" s="35"/>
      <c r="Z67" s="52"/>
      <c r="AA67" s="52"/>
      <c r="AB67" s="52"/>
      <c r="AC67" s="52"/>
      <c r="AD67" s="52"/>
      <c r="AE67" s="25"/>
      <c r="AF67" s="38"/>
      <c r="AG67" s="38"/>
      <c r="AH67" s="38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25"/>
      <c r="BD67" s="9"/>
      <c r="BE67" s="25"/>
      <c r="BF67" s="25"/>
      <c r="BG67" s="33"/>
      <c r="BH67" s="25"/>
      <c r="BI67" s="48"/>
      <c r="BJ67" s="38"/>
      <c r="BK67" s="38"/>
      <c r="BL67" s="38"/>
      <c r="BM67" s="38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50"/>
      <c r="CE67" s="45"/>
      <c r="CF67" s="45"/>
      <c r="CG67" s="44"/>
      <c r="CH67" s="45"/>
      <c r="CI67" s="50"/>
      <c r="CJ67" s="50"/>
      <c r="CK67" s="50"/>
      <c r="CL67" s="38"/>
      <c r="CM67" s="38"/>
      <c r="CN67" s="38"/>
      <c r="CO67" s="44"/>
      <c r="CP67" s="33">
        <f t="shared" ref="CP67:CP98" si="68">-0.06*((A67-1963)^2)+8.5*(A67-1963)+140</f>
        <v>439</v>
      </c>
      <c r="CQ67" s="45">
        <f t="shared" si="7"/>
        <v>489</v>
      </c>
      <c r="CR67" s="45">
        <f t="shared" si="8"/>
        <v>389</v>
      </c>
      <c r="CS67" s="45">
        <f t="shared" si="9"/>
        <v>539</v>
      </c>
      <c r="CT67" s="45">
        <f t="shared" si="10"/>
        <v>339</v>
      </c>
      <c r="CU67" s="33">
        <f t="shared" ref="CU67:CU98" si="69">-0.025*((A67-1963)^2)+5.5*(A67-1963)+175</f>
        <v>426.875</v>
      </c>
    </row>
    <row r="68" spans="1:99" ht="16" x14ac:dyDescent="0.4">
      <c r="A68" s="18">
        <v>2029</v>
      </c>
      <c r="B68" s="14">
        <v>47765912.282433301</v>
      </c>
      <c r="C68" s="44">
        <v>15122609.461375</v>
      </c>
      <c r="D68" s="44">
        <f t="shared" si="50"/>
        <v>581638.82543750003</v>
      </c>
      <c r="E68" s="44">
        <f t="shared" si="40"/>
        <v>290819.41271875001</v>
      </c>
      <c r="F68" s="44">
        <f t="shared" si="67"/>
        <v>436229.11907812499</v>
      </c>
      <c r="G68" s="44">
        <v>508058.566513</v>
      </c>
      <c r="H68" s="44">
        <f t="shared" si="41"/>
        <v>254029.2832565</v>
      </c>
      <c r="I68" s="44">
        <v>564293.06015399995</v>
      </c>
      <c r="J68" s="44">
        <f t="shared" si="42"/>
        <v>282146.53007699997</v>
      </c>
      <c r="K68" s="44">
        <v>784884.00837199995</v>
      </c>
      <c r="L68" s="44">
        <f t="shared" si="43"/>
        <v>392442.00418599998</v>
      </c>
      <c r="M68" s="44"/>
      <c r="N68" s="44">
        <f t="shared" si="66"/>
        <v>249673.00379830663</v>
      </c>
      <c r="O68" s="38"/>
      <c r="P68" s="13"/>
      <c r="Q68" s="45"/>
      <c r="R68" s="38"/>
      <c r="S68" s="44"/>
      <c r="T68" s="50"/>
      <c r="U68" s="38"/>
      <c r="V68" s="38"/>
      <c r="W68" s="38"/>
      <c r="X68" s="38"/>
      <c r="Y68" s="35"/>
      <c r="Z68" s="52"/>
      <c r="AA68" s="52"/>
      <c r="AB68" s="52"/>
      <c r="AC68" s="52"/>
      <c r="AD68" s="52"/>
      <c r="AE68" s="25"/>
      <c r="AF68" s="38"/>
      <c r="AG68" s="38"/>
      <c r="AH68" s="38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25"/>
      <c r="BD68" s="9"/>
      <c r="BE68" s="25"/>
      <c r="BF68" s="25"/>
      <c r="BG68" s="33"/>
      <c r="BH68" s="25"/>
      <c r="BI68" s="48"/>
      <c r="BJ68" s="38"/>
      <c r="BK68" s="38"/>
      <c r="BL68" s="38"/>
      <c r="BM68" s="38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50"/>
      <c r="CE68" s="45"/>
      <c r="CF68" s="45"/>
      <c r="CG68" s="44"/>
      <c r="CH68" s="45"/>
      <c r="CI68" s="50"/>
      <c r="CJ68" s="50"/>
      <c r="CK68" s="50"/>
      <c r="CL68" s="38"/>
      <c r="CM68" s="38"/>
      <c r="CN68" s="38"/>
      <c r="CO68" s="44"/>
      <c r="CP68" s="33">
        <f t="shared" si="68"/>
        <v>439.64</v>
      </c>
      <c r="CQ68" s="45">
        <f t="shared" ref="CQ68:CQ109" si="70">CP68+50</f>
        <v>489.64</v>
      </c>
      <c r="CR68" s="45">
        <f t="shared" ref="CR68:CR109" si="71">CP68-50</f>
        <v>389.64</v>
      </c>
      <c r="CS68" s="45">
        <f t="shared" ref="CS68:CS99" si="72">CP68+100</f>
        <v>539.64</v>
      </c>
      <c r="CT68" s="45">
        <f t="shared" ref="CT68:CT99" si="73">CP68-100</f>
        <v>339.64</v>
      </c>
      <c r="CU68" s="33">
        <f t="shared" si="69"/>
        <v>429.1</v>
      </c>
    </row>
    <row r="69" spans="1:99" ht="16" x14ac:dyDescent="0.4">
      <c r="A69" s="18">
        <v>2030</v>
      </c>
      <c r="B69" s="14">
        <v>47844504.864883363</v>
      </c>
      <c r="C69" s="44">
        <v>14963067.481815998</v>
      </c>
      <c r="D69" s="44">
        <f t="shared" si="50"/>
        <v>575502.59545446141</v>
      </c>
      <c r="E69" s="44">
        <f t="shared" si="40"/>
        <v>287751.2977272307</v>
      </c>
      <c r="F69" s="44">
        <f t="shared" si="67"/>
        <v>431626.94659084606</v>
      </c>
      <c r="G69" s="44">
        <v>523717.15349900001</v>
      </c>
      <c r="H69" s="44">
        <f t="shared" si="41"/>
        <v>261858.5767495</v>
      </c>
      <c r="I69" s="44">
        <v>559083.86880399997</v>
      </c>
      <c r="J69" s="44">
        <f t="shared" si="42"/>
        <v>279541.93440199998</v>
      </c>
      <c r="K69" s="44">
        <v>752345.64312699996</v>
      </c>
      <c r="L69" s="44">
        <f t="shared" si="43"/>
        <v>376172.82156349998</v>
      </c>
      <c r="M69" s="44"/>
      <c r="N69" s="44">
        <f t="shared" si="66"/>
        <v>257163.19391225584</v>
      </c>
      <c r="O69" s="38"/>
      <c r="P69" s="13"/>
      <c r="Q69" s="45"/>
      <c r="R69" s="38"/>
      <c r="S69" s="44"/>
      <c r="T69" s="50"/>
      <c r="U69" s="38"/>
      <c r="V69" s="38"/>
      <c r="W69" s="38"/>
      <c r="X69" s="38"/>
      <c r="Y69" s="35"/>
      <c r="Z69" s="52"/>
      <c r="AA69" s="52"/>
      <c r="AB69" s="52"/>
      <c r="AC69" s="52"/>
      <c r="AD69" s="52"/>
      <c r="AE69" s="25"/>
      <c r="AF69" s="38"/>
      <c r="AG69" s="38"/>
      <c r="AH69" s="38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25"/>
      <c r="BD69" s="9"/>
      <c r="BE69" s="25"/>
      <c r="BF69" s="25"/>
      <c r="BG69" s="33"/>
      <c r="BH69" s="25"/>
      <c r="BI69" s="48"/>
      <c r="BJ69" s="38"/>
      <c r="BK69" s="38"/>
      <c r="BL69" s="38"/>
      <c r="BM69" s="38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50"/>
      <c r="CE69" s="45"/>
      <c r="CF69" s="45"/>
      <c r="CG69" s="44"/>
      <c r="CH69" s="45"/>
      <c r="CI69" s="50"/>
      <c r="CJ69" s="50"/>
      <c r="CK69" s="50"/>
      <c r="CL69" s="38"/>
      <c r="CM69" s="38"/>
      <c r="CN69" s="38"/>
      <c r="CO69" s="44"/>
      <c r="CP69" s="33">
        <f t="shared" si="68"/>
        <v>440.16</v>
      </c>
      <c r="CQ69" s="45">
        <f t="shared" si="70"/>
        <v>490.16</v>
      </c>
      <c r="CR69" s="45">
        <f t="shared" si="71"/>
        <v>390.16</v>
      </c>
      <c r="CS69" s="45">
        <f t="shared" si="72"/>
        <v>540.16000000000008</v>
      </c>
      <c r="CT69" s="45">
        <f t="shared" si="73"/>
        <v>340.16</v>
      </c>
      <c r="CU69" s="33">
        <f t="shared" si="69"/>
        <v>431.27499999999998</v>
      </c>
    </row>
    <row r="70" spans="1:99" ht="16" x14ac:dyDescent="0.4">
      <c r="A70" s="18">
        <v>2031</v>
      </c>
      <c r="B70" s="14">
        <v>47933476.592197433</v>
      </c>
      <c r="C70" s="44">
        <v>14852312.461092999</v>
      </c>
      <c r="D70" s="44">
        <f t="shared" si="50"/>
        <v>571242.78696511535</v>
      </c>
      <c r="E70" s="44">
        <f t="shared" si="40"/>
        <v>285621.39348255767</v>
      </c>
      <c r="F70" s="44">
        <f t="shared" si="67"/>
        <v>428432.09022383648</v>
      </c>
      <c r="G70" s="44">
        <v>537265.87975299999</v>
      </c>
      <c r="H70" s="44">
        <f t="shared" si="41"/>
        <v>268632.93987649999</v>
      </c>
      <c r="I70" s="44">
        <v>555269.61271400005</v>
      </c>
      <c r="J70" s="44">
        <f t="shared" si="42"/>
        <v>277634.80635700002</v>
      </c>
      <c r="K70" s="44">
        <v>731890.16582400003</v>
      </c>
      <c r="L70" s="44">
        <f t="shared" si="43"/>
        <v>365945.08291200001</v>
      </c>
      <c r="M70" s="44"/>
      <c r="N70" s="44">
        <f t="shared" si="66"/>
        <v>264878.08972962352</v>
      </c>
      <c r="O70" s="38"/>
      <c r="P70" s="13"/>
      <c r="Q70" s="45"/>
      <c r="R70" s="38"/>
      <c r="S70" s="44"/>
      <c r="T70" s="50"/>
      <c r="U70" s="38"/>
      <c r="V70" s="38"/>
      <c r="W70" s="38"/>
      <c r="X70" s="38"/>
      <c r="Y70" s="35"/>
      <c r="Z70" s="52"/>
      <c r="AA70" s="52"/>
      <c r="AB70" s="52"/>
      <c r="AC70" s="52"/>
      <c r="AD70" s="52"/>
      <c r="AE70" s="25"/>
      <c r="AF70" s="38"/>
      <c r="AG70" s="38"/>
      <c r="AH70" s="38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25"/>
      <c r="BD70" s="9"/>
      <c r="BE70" s="25"/>
      <c r="BF70" s="25"/>
      <c r="BG70" s="33"/>
      <c r="BH70" s="25"/>
      <c r="BI70" s="38"/>
      <c r="BJ70" s="38"/>
      <c r="BK70" s="38"/>
      <c r="BL70" s="38"/>
      <c r="BM70" s="38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50"/>
      <c r="CE70" s="45"/>
      <c r="CF70" s="45"/>
      <c r="CG70" s="44"/>
      <c r="CH70" s="45"/>
      <c r="CI70" s="50"/>
      <c r="CJ70" s="50"/>
      <c r="CK70" s="50"/>
      <c r="CL70" s="38"/>
      <c r="CM70" s="38"/>
      <c r="CN70" s="38"/>
      <c r="CO70" s="44"/>
      <c r="CP70" s="33">
        <f t="shared" si="68"/>
        <v>440.56</v>
      </c>
      <c r="CQ70" s="45">
        <f t="shared" si="70"/>
        <v>490.56</v>
      </c>
      <c r="CR70" s="45">
        <f t="shared" si="71"/>
        <v>390.56</v>
      </c>
      <c r="CS70" s="45">
        <f t="shared" si="72"/>
        <v>540.55999999999995</v>
      </c>
      <c r="CT70" s="45">
        <f t="shared" si="73"/>
        <v>340.56</v>
      </c>
      <c r="CU70" s="33">
        <f t="shared" si="69"/>
        <v>433.4</v>
      </c>
    </row>
    <row r="71" spans="1:99" ht="16" x14ac:dyDescent="0.4">
      <c r="A71" s="18">
        <v>2032</v>
      </c>
      <c r="B71" s="14">
        <v>48033534.852555975</v>
      </c>
      <c r="C71" s="44">
        <v>14783361.233756999</v>
      </c>
      <c r="D71" s="44">
        <f t="shared" si="50"/>
        <v>568590.81668296154</v>
      </c>
      <c r="E71" s="44">
        <f t="shared" si="40"/>
        <v>284295.40834148077</v>
      </c>
      <c r="F71" s="44">
        <f t="shared" si="67"/>
        <v>426443.11251222115</v>
      </c>
      <c r="G71" s="44">
        <v>541285.71918000001</v>
      </c>
      <c r="H71" s="44">
        <f t="shared" si="41"/>
        <v>270642.85959000001</v>
      </c>
      <c r="I71" s="44">
        <v>552826.453094</v>
      </c>
      <c r="J71" s="44">
        <f t="shared" si="42"/>
        <v>276413.226547</v>
      </c>
      <c r="K71" s="44">
        <v>700885.24506999995</v>
      </c>
      <c r="L71" s="44">
        <f t="shared" si="43"/>
        <v>350442.62253499997</v>
      </c>
      <c r="M71" s="44"/>
      <c r="N71" s="44">
        <f t="shared" si="66"/>
        <v>272824.43242151226</v>
      </c>
      <c r="O71" s="38"/>
      <c r="P71" s="13"/>
      <c r="Q71" s="45"/>
      <c r="R71" s="38"/>
      <c r="S71" s="44"/>
      <c r="T71" s="50"/>
      <c r="U71" s="38"/>
      <c r="V71" s="38"/>
      <c r="W71" s="38"/>
      <c r="X71" s="38"/>
      <c r="Y71" s="35"/>
      <c r="Z71" s="52"/>
      <c r="AA71" s="52"/>
      <c r="AB71" s="52"/>
      <c r="AC71" s="52"/>
      <c r="AD71" s="52"/>
      <c r="AE71" s="38"/>
      <c r="AF71" s="38"/>
      <c r="AG71" s="38"/>
      <c r="AH71" s="38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25"/>
      <c r="BD71" s="9"/>
      <c r="BE71" s="25"/>
      <c r="BF71" s="25"/>
      <c r="BG71" s="33"/>
      <c r="BH71" s="25"/>
      <c r="BI71" s="38"/>
      <c r="BJ71" s="38"/>
      <c r="BK71" s="38"/>
      <c r="BL71" s="38"/>
      <c r="BM71" s="38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50"/>
      <c r="CE71" s="45"/>
      <c r="CF71" s="45"/>
      <c r="CG71" s="44"/>
      <c r="CH71" s="45"/>
      <c r="CI71" s="50"/>
      <c r="CJ71" s="50"/>
      <c r="CK71" s="50"/>
      <c r="CL71" s="38"/>
      <c r="CM71" s="38"/>
      <c r="CN71" s="38"/>
      <c r="CO71" s="44"/>
      <c r="CP71" s="33">
        <f t="shared" si="68"/>
        <v>440.84000000000003</v>
      </c>
      <c r="CQ71" s="45">
        <f t="shared" si="70"/>
        <v>490.84000000000003</v>
      </c>
      <c r="CR71" s="45">
        <f t="shared" si="71"/>
        <v>390.84000000000003</v>
      </c>
      <c r="CS71" s="45">
        <f t="shared" si="72"/>
        <v>540.84</v>
      </c>
      <c r="CT71" s="45">
        <f t="shared" si="73"/>
        <v>340.84000000000003</v>
      </c>
      <c r="CU71" s="33">
        <f t="shared" si="69"/>
        <v>435.47500000000002</v>
      </c>
    </row>
    <row r="72" spans="1:99" ht="16" x14ac:dyDescent="0.4">
      <c r="A72" s="18">
        <v>2033</v>
      </c>
      <c r="B72" s="14">
        <v>48142740.303703368</v>
      </c>
      <c r="C72" s="44">
        <v>14758746.278947001</v>
      </c>
      <c r="D72" s="44">
        <f t="shared" si="50"/>
        <v>567644.0876518077</v>
      </c>
      <c r="E72" s="44">
        <f t="shared" si="40"/>
        <v>283822.04382590385</v>
      </c>
      <c r="F72" s="44">
        <f t="shared" si="67"/>
        <v>425733.06573885574</v>
      </c>
      <c r="G72" s="44">
        <v>547262.77626399999</v>
      </c>
      <c r="H72" s="44">
        <f t="shared" si="41"/>
        <v>273631.38813199999</v>
      </c>
      <c r="I72" s="44">
        <v>559843.03749799996</v>
      </c>
      <c r="J72" s="44">
        <f t="shared" si="42"/>
        <v>279921.51874899998</v>
      </c>
      <c r="K72" s="44">
        <v>673963.80887900002</v>
      </c>
      <c r="L72" s="44">
        <f t="shared" si="43"/>
        <v>336981.90443950001</v>
      </c>
      <c r="M72" s="44"/>
      <c r="N72" s="44">
        <f t="shared" si="66"/>
        <v>281009.16539415764</v>
      </c>
      <c r="O72" s="38"/>
      <c r="P72" s="13"/>
      <c r="Q72" s="45"/>
      <c r="R72" s="38"/>
      <c r="S72" s="44"/>
      <c r="T72" s="50"/>
      <c r="U72" s="38"/>
      <c r="V72" s="38"/>
      <c r="W72" s="38"/>
      <c r="X72" s="38"/>
      <c r="Y72" s="35"/>
      <c r="Z72" s="52"/>
      <c r="AA72" s="52"/>
      <c r="AB72" s="52"/>
      <c r="AC72" s="52"/>
      <c r="AD72" s="52"/>
      <c r="AE72" s="38"/>
      <c r="AF72" s="38"/>
      <c r="AG72" s="38"/>
      <c r="AH72" s="38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25"/>
      <c r="BD72" s="9"/>
      <c r="BE72" s="25"/>
      <c r="BF72" s="25"/>
      <c r="BG72" s="33"/>
      <c r="BH72" s="25"/>
      <c r="BI72" s="38"/>
      <c r="BJ72" s="38"/>
      <c r="BK72" s="38"/>
      <c r="BL72" s="38"/>
      <c r="BM72" s="38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50"/>
      <c r="CE72" s="45"/>
      <c r="CF72" s="45"/>
      <c r="CG72" s="44"/>
      <c r="CH72" s="45"/>
      <c r="CI72" s="50"/>
      <c r="CJ72" s="50"/>
      <c r="CK72" s="50"/>
      <c r="CL72" s="38"/>
      <c r="CM72" s="38"/>
      <c r="CN72" s="38"/>
      <c r="CO72" s="44"/>
      <c r="CP72" s="33">
        <f t="shared" si="68"/>
        <v>441</v>
      </c>
      <c r="CQ72" s="45">
        <f t="shared" si="70"/>
        <v>491</v>
      </c>
      <c r="CR72" s="45">
        <f t="shared" si="71"/>
        <v>391</v>
      </c>
      <c r="CS72" s="45">
        <f t="shared" si="72"/>
        <v>541</v>
      </c>
      <c r="CT72" s="45">
        <f t="shared" si="73"/>
        <v>341</v>
      </c>
      <c r="CU72" s="33">
        <f t="shared" si="69"/>
        <v>437.5</v>
      </c>
    </row>
    <row r="73" spans="1:99" ht="16" x14ac:dyDescent="0.4">
      <c r="A73" s="18">
        <v>2034</v>
      </c>
      <c r="B73" s="14">
        <v>48259785.798996463</v>
      </c>
      <c r="C73" s="44">
        <v>14787697.648329997</v>
      </c>
      <c r="D73" s="44">
        <f t="shared" si="50"/>
        <v>568757.60185884603</v>
      </c>
      <c r="E73" s="44">
        <f t="shared" si="40"/>
        <v>284378.80092942301</v>
      </c>
      <c r="F73" s="44">
        <f t="shared" si="67"/>
        <v>426568.20139413455</v>
      </c>
      <c r="G73" s="44">
        <v>569863.08283900004</v>
      </c>
      <c r="H73" s="44">
        <f t="shared" si="41"/>
        <v>284931.54141950002</v>
      </c>
      <c r="I73" s="44">
        <v>550137.95979200001</v>
      </c>
      <c r="J73" s="44">
        <f t="shared" si="42"/>
        <v>275068.979896</v>
      </c>
      <c r="K73" s="44">
        <v>642334.66037599999</v>
      </c>
      <c r="L73" s="44">
        <f t="shared" si="43"/>
        <v>321167.33018799999</v>
      </c>
      <c r="M73" s="44"/>
      <c r="N73" s="44">
        <f t="shared" si="66"/>
        <v>289439.4403559824</v>
      </c>
      <c r="O73" s="38"/>
      <c r="P73" s="13"/>
      <c r="Q73" s="45"/>
      <c r="R73" s="38"/>
      <c r="S73" s="44"/>
      <c r="T73" s="50"/>
      <c r="U73" s="38"/>
      <c r="V73" s="38"/>
      <c r="W73" s="38"/>
      <c r="X73" s="38"/>
      <c r="Y73" s="35"/>
      <c r="Z73" s="52"/>
      <c r="AA73" s="52"/>
      <c r="AB73" s="52"/>
      <c r="AC73" s="52"/>
      <c r="AD73" s="52"/>
      <c r="AE73" s="38"/>
      <c r="AF73" s="38"/>
      <c r="AG73" s="38"/>
      <c r="AH73" s="38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25"/>
      <c r="BD73" s="9"/>
      <c r="BE73" s="25"/>
      <c r="BF73" s="25"/>
      <c r="BG73" s="33"/>
      <c r="BH73" s="25"/>
      <c r="BI73" s="38"/>
      <c r="BJ73" s="38"/>
      <c r="BK73" s="38"/>
      <c r="BL73" s="38"/>
      <c r="BM73" s="38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50"/>
      <c r="CE73" s="45"/>
      <c r="CF73" s="45"/>
      <c r="CG73" s="44"/>
      <c r="CH73" s="45"/>
      <c r="CI73" s="50"/>
      <c r="CJ73" s="50"/>
      <c r="CK73" s="50"/>
      <c r="CL73" s="38"/>
      <c r="CM73" s="38"/>
      <c r="CN73" s="38"/>
      <c r="CO73" s="44"/>
      <c r="CP73" s="33">
        <f t="shared" si="68"/>
        <v>441.04</v>
      </c>
      <c r="CQ73" s="45">
        <f t="shared" si="70"/>
        <v>491.04</v>
      </c>
      <c r="CR73" s="45">
        <f t="shared" si="71"/>
        <v>391.04</v>
      </c>
      <c r="CS73" s="45">
        <f t="shared" si="72"/>
        <v>541.04</v>
      </c>
      <c r="CT73" s="45">
        <f t="shared" si="73"/>
        <v>341.04</v>
      </c>
      <c r="CU73" s="33">
        <f t="shared" si="69"/>
        <v>439.47500000000002</v>
      </c>
    </row>
    <row r="74" spans="1:99" ht="16" x14ac:dyDescent="0.4">
      <c r="A74" s="18">
        <v>2035</v>
      </c>
      <c r="B74" s="14">
        <v>48381047.466654271</v>
      </c>
      <c r="C74" s="44">
        <v>14829571.839248</v>
      </c>
      <c r="D74" s="44">
        <f t="shared" si="50"/>
        <v>570368.14766338456</v>
      </c>
      <c r="E74" s="44">
        <f t="shared" si="40"/>
        <v>285184.07383169228</v>
      </c>
      <c r="F74" s="44">
        <f t="shared" si="67"/>
        <v>427776.11074753839</v>
      </c>
      <c r="G74" s="44">
        <v>583682.82952300005</v>
      </c>
      <c r="H74" s="44">
        <f t="shared" si="41"/>
        <v>291841.41476150003</v>
      </c>
      <c r="I74" s="44">
        <v>538417.16963300004</v>
      </c>
      <c r="J74" s="44">
        <f t="shared" si="42"/>
        <v>269208.58481650002</v>
      </c>
      <c r="K74" s="44">
        <v>626364.595462</v>
      </c>
      <c r="L74" s="44">
        <f t="shared" si="43"/>
        <v>313182.297731</v>
      </c>
      <c r="M74" s="44"/>
      <c r="N74" s="44">
        <f t="shared" si="66"/>
        <v>298122.6235666619</v>
      </c>
      <c r="O74" s="10"/>
      <c r="P74" s="13"/>
      <c r="Q74" s="45"/>
      <c r="R74" s="38"/>
      <c r="S74" s="38"/>
      <c r="T74" s="38"/>
      <c r="U74" s="38"/>
      <c r="V74" s="38"/>
      <c r="W74" s="38"/>
      <c r="X74" s="38"/>
      <c r="Y74" s="35"/>
      <c r="Z74" s="52"/>
      <c r="AA74" s="52"/>
      <c r="AB74" s="52"/>
      <c r="AC74" s="52"/>
      <c r="AD74" s="52"/>
      <c r="AE74" s="38"/>
      <c r="AF74" s="38"/>
      <c r="AG74" s="38"/>
      <c r="AH74" s="38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25"/>
      <c r="BD74" s="9"/>
      <c r="BE74" s="25"/>
      <c r="BF74" s="25"/>
      <c r="BG74" s="33"/>
      <c r="BH74" s="25"/>
      <c r="BI74" s="38"/>
      <c r="BJ74" s="38"/>
      <c r="BK74" s="38"/>
      <c r="BL74" s="38"/>
      <c r="BM74" s="38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50"/>
      <c r="CE74" s="45"/>
      <c r="CF74" s="45"/>
      <c r="CG74" s="44"/>
      <c r="CH74" s="45"/>
      <c r="CI74" s="50"/>
      <c r="CJ74" s="50"/>
      <c r="CK74" s="50"/>
      <c r="CL74" s="38"/>
      <c r="CM74" s="38"/>
      <c r="CN74" s="38"/>
      <c r="CO74" s="44"/>
      <c r="CP74" s="33">
        <f t="shared" si="68"/>
        <v>440.96000000000004</v>
      </c>
      <c r="CQ74" s="45">
        <f t="shared" si="70"/>
        <v>490.96000000000004</v>
      </c>
      <c r="CR74" s="45">
        <f t="shared" si="71"/>
        <v>390.96000000000004</v>
      </c>
      <c r="CS74" s="45">
        <f t="shared" si="72"/>
        <v>540.96</v>
      </c>
      <c r="CT74" s="45">
        <f t="shared" si="73"/>
        <v>340.96000000000004</v>
      </c>
      <c r="CU74" s="33">
        <f t="shared" si="69"/>
        <v>441.4</v>
      </c>
    </row>
    <row r="75" spans="1:99" ht="16" x14ac:dyDescent="0.4">
      <c r="A75" s="18">
        <v>2036</v>
      </c>
      <c r="B75" s="14">
        <v>48503785.095665723</v>
      </c>
      <c r="C75" s="44">
        <v>14882895.773574</v>
      </c>
      <c r="D75" s="44">
        <f t="shared" si="50"/>
        <v>572419.06821438461</v>
      </c>
      <c r="E75" s="44">
        <f t="shared" si="40"/>
        <v>286209.5341071923</v>
      </c>
      <c r="F75" s="44">
        <f t="shared" si="67"/>
        <v>429314.30116078845</v>
      </c>
      <c r="G75" s="44">
        <v>594269.732158</v>
      </c>
      <c r="H75" s="44">
        <f t="shared" si="41"/>
        <v>297134.866079</v>
      </c>
      <c r="I75" s="44">
        <v>537284.04368300003</v>
      </c>
      <c r="J75" s="44">
        <f t="shared" si="42"/>
        <v>268642.02184150001</v>
      </c>
      <c r="K75" s="44">
        <v>608319.40208499995</v>
      </c>
      <c r="L75" s="44">
        <f t="shared" si="43"/>
        <v>304159.70104249998</v>
      </c>
      <c r="M75" s="44"/>
      <c r="N75" s="44">
        <f t="shared" si="66"/>
        <v>307066.30227366177</v>
      </c>
      <c r="O75" s="38"/>
      <c r="P75" s="13"/>
      <c r="Q75" s="45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3">
        <f t="shared" si="68"/>
        <v>440.76</v>
      </c>
      <c r="CQ75" s="45">
        <f t="shared" si="70"/>
        <v>490.76</v>
      </c>
      <c r="CR75" s="45">
        <f t="shared" si="71"/>
        <v>390.76</v>
      </c>
      <c r="CS75" s="45">
        <f t="shared" si="72"/>
        <v>540.76</v>
      </c>
      <c r="CT75" s="45">
        <f t="shared" si="73"/>
        <v>340.76</v>
      </c>
      <c r="CU75" s="33">
        <f t="shared" si="69"/>
        <v>443.27499999999998</v>
      </c>
    </row>
    <row r="76" spans="1:99" ht="16" x14ac:dyDescent="0.4">
      <c r="A76" s="18">
        <v>2037</v>
      </c>
      <c r="B76" s="14">
        <v>48627701.326035887</v>
      </c>
      <c r="C76" s="44">
        <v>14954760.163189</v>
      </c>
      <c r="D76" s="44">
        <f t="shared" si="50"/>
        <v>575183.08319957694</v>
      </c>
      <c r="E76" s="44">
        <f t="shared" si="40"/>
        <v>287591.54159978847</v>
      </c>
      <c r="F76" s="44">
        <f t="shared" si="67"/>
        <v>431387.31239968271</v>
      </c>
      <c r="G76" s="44">
        <v>609334.76270700002</v>
      </c>
      <c r="H76" s="44">
        <f t="shared" si="41"/>
        <v>304667.38135350001</v>
      </c>
      <c r="I76" s="44">
        <v>542303.42929700005</v>
      </c>
      <c r="J76" s="44">
        <f t="shared" si="42"/>
        <v>271151.71464850003</v>
      </c>
      <c r="K76" s="44">
        <v>593674.78396799997</v>
      </c>
      <c r="L76" s="44">
        <f t="shared" si="43"/>
        <v>296837.39198399999</v>
      </c>
      <c r="M76" s="44"/>
      <c r="N76" s="44">
        <f t="shared" si="66"/>
        <v>316278.29134187161</v>
      </c>
      <c r="O76" s="38"/>
      <c r="P76" s="1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3">
        <f t="shared" si="68"/>
        <v>440.44</v>
      </c>
      <c r="CQ76" s="45">
        <f t="shared" si="70"/>
        <v>490.44</v>
      </c>
      <c r="CR76" s="45">
        <f t="shared" si="71"/>
        <v>390.44</v>
      </c>
      <c r="CS76" s="45">
        <f t="shared" si="72"/>
        <v>540.44000000000005</v>
      </c>
      <c r="CT76" s="45">
        <f t="shared" si="73"/>
        <v>340.44</v>
      </c>
      <c r="CU76" s="33">
        <f t="shared" si="69"/>
        <v>445.1</v>
      </c>
    </row>
    <row r="77" spans="1:99" ht="16" x14ac:dyDescent="0.4">
      <c r="A77" s="18">
        <v>2038</v>
      </c>
      <c r="B77" s="14">
        <v>48752553.429691613</v>
      </c>
      <c r="C77" s="44">
        <v>15029028.105377</v>
      </c>
      <c r="D77" s="44">
        <f t="shared" si="50"/>
        <v>578039.54251449998</v>
      </c>
      <c r="E77" s="44">
        <f t="shared" si="40"/>
        <v>289019.77125724999</v>
      </c>
      <c r="F77" s="44">
        <f t="shared" si="67"/>
        <v>433529.65688587498</v>
      </c>
      <c r="G77" s="44">
        <v>617660.20342499996</v>
      </c>
      <c r="H77" s="44">
        <f t="shared" si="41"/>
        <v>308830.10171249998</v>
      </c>
      <c r="I77" s="44">
        <v>550740.32585400005</v>
      </c>
      <c r="J77" s="44">
        <f t="shared" si="42"/>
        <v>275370.16292700003</v>
      </c>
      <c r="K77" s="44">
        <v>584560.39363900002</v>
      </c>
      <c r="L77" s="44">
        <f t="shared" si="43"/>
        <v>292280.19681950001</v>
      </c>
      <c r="M77" s="44"/>
      <c r="N77" s="44">
        <f t="shared" si="66"/>
        <v>325766.64008212776</v>
      </c>
      <c r="O77" s="38"/>
      <c r="P77" s="13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3">
        <f t="shared" si="68"/>
        <v>440</v>
      </c>
      <c r="CQ77" s="45">
        <f t="shared" si="70"/>
        <v>490</v>
      </c>
      <c r="CR77" s="45">
        <f t="shared" si="71"/>
        <v>390</v>
      </c>
      <c r="CS77" s="45">
        <f t="shared" si="72"/>
        <v>540</v>
      </c>
      <c r="CT77" s="45">
        <f t="shared" si="73"/>
        <v>340</v>
      </c>
      <c r="CU77" s="33">
        <f t="shared" si="69"/>
        <v>446.875</v>
      </c>
    </row>
    <row r="78" spans="1:99" ht="16" x14ac:dyDescent="0.4">
      <c r="A78" s="18">
        <v>2039</v>
      </c>
      <c r="B78" s="14">
        <v>48877868.11065834</v>
      </c>
      <c r="C78" s="44">
        <v>15093518.648398999</v>
      </c>
      <c r="D78" s="44">
        <f t="shared" si="50"/>
        <v>580519.94801534608</v>
      </c>
      <c r="E78" s="44">
        <f t="shared" si="40"/>
        <v>290259.97400767304</v>
      </c>
      <c r="F78" s="44">
        <f t="shared" si="67"/>
        <v>435389.96101150953</v>
      </c>
      <c r="G78" s="44">
        <v>639491.91223799996</v>
      </c>
      <c r="H78" s="44">
        <f t="shared" si="41"/>
        <v>319745.95611899998</v>
      </c>
      <c r="I78" s="44">
        <v>552444.51035999996</v>
      </c>
      <c r="J78" s="44">
        <f t="shared" si="42"/>
        <v>276222.25517999998</v>
      </c>
      <c r="K78" s="44">
        <v>581838.15139000001</v>
      </c>
      <c r="L78" s="44">
        <f t="shared" si="43"/>
        <v>290919.07569500001</v>
      </c>
      <c r="M78" s="44"/>
      <c r="N78" s="44">
        <f t="shared" si="66"/>
        <v>335539.6392845916</v>
      </c>
      <c r="O78" s="38"/>
      <c r="P78" s="1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3">
        <f t="shared" si="68"/>
        <v>439.44</v>
      </c>
      <c r="CQ78" s="45">
        <f t="shared" si="70"/>
        <v>489.44</v>
      </c>
      <c r="CR78" s="45">
        <f t="shared" si="71"/>
        <v>389.44</v>
      </c>
      <c r="CS78" s="45">
        <f t="shared" si="72"/>
        <v>539.44000000000005</v>
      </c>
      <c r="CT78" s="45">
        <f t="shared" si="73"/>
        <v>339.44</v>
      </c>
      <c r="CU78" s="33">
        <f t="shared" si="69"/>
        <v>448.6</v>
      </c>
    </row>
    <row r="79" spans="1:99" ht="16" x14ac:dyDescent="0.4">
      <c r="A79" s="18">
        <v>2040</v>
      </c>
      <c r="B79" s="14">
        <v>49002929.918841965</v>
      </c>
      <c r="C79" s="44">
        <v>15169158.629735995</v>
      </c>
      <c r="D79" s="44">
        <f t="shared" si="50"/>
        <v>583429.17806676903</v>
      </c>
      <c r="E79" s="44">
        <f t="shared" si="40"/>
        <v>291714.58903338452</v>
      </c>
      <c r="F79" s="44">
        <f t="shared" si="67"/>
        <v>437571.88355007675</v>
      </c>
      <c r="G79" s="44">
        <v>618982.15285199997</v>
      </c>
      <c r="H79" s="44">
        <f t="shared" si="41"/>
        <v>309491.07642599999</v>
      </c>
      <c r="I79" s="44">
        <v>568977.81809800002</v>
      </c>
      <c r="J79" s="44">
        <f t="shared" si="42"/>
        <v>284488.90904900001</v>
      </c>
      <c r="K79" s="44">
        <v>577653.51198800001</v>
      </c>
      <c r="L79" s="44">
        <f t="shared" si="43"/>
        <v>288826.75599400001</v>
      </c>
      <c r="M79" s="44"/>
      <c r="N79" s="44">
        <f t="shared" si="66"/>
        <v>345605.82846312935</v>
      </c>
      <c r="O79" s="38"/>
      <c r="P79" s="13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3">
        <f t="shared" si="68"/>
        <v>438.76</v>
      </c>
      <c r="CQ79" s="45">
        <f t="shared" si="70"/>
        <v>488.76</v>
      </c>
      <c r="CR79" s="45">
        <f t="shared" si="71"/>
        <v>388.76</v>
      </c>
      <c r="CS79" s="45">
        <f t="shared" si="72"/>
        <v>538.76</v>
      </c>
      <c r="CT79" s="45">
        <f t="shared" si="73"/>
        <v>338.76</v>
      </c>
      <c r="CU79" s="33">
        <f t="shared" si="69"/>
        <v>450.27499999999998</v>
      </c>
    </row>
    <row r="80" spans="1:99" ht="16" x14ac:dyDescent="0.4">
      <c r="A80" s="18">
        <v>2041</v>
      </c>
      <c r="B80" s="14">
        <v>49126151.839667745</v>
      </c>
      <c r="C80" s="44">
        <v>15246490.584249001</v>
      </c>
      <c r="D80" s="44">
        <f t="shared" si="50"/>
        <v>586403.48400957696</v>
      </c>
      <c r="E80" s="44">
        <f t="shared" si="40"/>
        <v>293201.74200478848</v>
      </c>
      <c r="F80" s="44">
        <f t="shared" si="67"/>
        <v>439802.61300718272</v>
      </c>
      <c r="G80" s="44">
        <v>613338.11364200001</v>
      </c>
      <c r="H80" s="44">
        <f t="shared" si="41"/>
        <v>306669.05682100001</v>
      </c>
      <c r="I80" s="44">
        <v>583919.06793200003</v>
      </c>
      <c r="J80" s="44">
        <f t="shared" si="42"/>
        <v>291959.53396600002</v>
      </c>
      <c r="K80" s="44">
        <v>574622.97465999995</v>
      </c>
      <c r="L80" s="44">
        <f t="shared" si="43"/>
        <v>287311.48732999997</v>
      </c>
      <c r="M80" s="44"/>
      <c r="N80" s="44">
        <f t="shared" si="66"/>
        <v>355974.00331702322</v>
      </c>
      <c r="O80" s="38"/>
      <c r="P80" s="1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3">
        <f t="shared" si="68"/>
        <v>437.96000000000004</v>
      </c>
      <c r="CQ80" s="45">
        <f t="shared" si="70"/>
        <v>487.96000000000004</v>
      </c>
      <c r="CR80" s="45">
        <f t="shared" si="71"/>
        <v>387.96000000000004</v>
      </c>
      <c r="CS80" s="45">
        <f t="shared" si="72"/>
        <v>537.96</v>
      </c>
      <c r="CT80" s="45">
        <f t="shared" si="73"/>
        <v>337.96000000000004</v>
      </c>
      <c r="CU80" s="33">
        <f t="shared" si="69"/>
        <v>451.9</v>
      </c>
    </row>
    <row r="81" spans="1:99" ht="16" x14ac:dyDescent="0.4">
      <c r="A81" s="18">
        <v>2042</v>
      </c>
      <c r="B81" s="14">
        <v>49247167.391090572</v>
      </c>
      <c r="C81" s="44">
        <v>15321019.512600997</v>
      </c>
      <c r="D81" s="44">
        <f t="shared" si="50"/>
        <v>589269.9812538845</v>
      </c>
      <c r="E81" s="44">
        <f t="shared" si="40"/>
        <v>294634.99062694225</v>
      </c>
      <c r="F81" s="44">
        <f t="shared" si="67"/>
        <v>441952.48594041337</v>
      </c>
      <c r="G81" s="44">
        <v>612730.43044999999</v>
      </c>
      <c r="H81" s="44">
        <f t="shared" si="41"/>
        <v>306365.21522499999</v>
      </c>
      <c r="I81" s="44">
        <v>589991.54116699996</v>
      </c>
      <c r="J81" s="44">
        <f t="shared" si="42"/>
        <v>294995.77058349998</v>
      </c>
      <c r="K81" s="44">
        <v>573000.78647000005</v>
      </c>
      <c r="L81" s="44">
        <f t="shared" si="43"/>
        <v>286500.39323500003</v>
      </c>
      <c r="M81" s="44"/>
      <c r="N81" s="44">
        <f t="shared" si="66"/>
        <v>366653.2234165339</v>
      </c>
      <c r="O81" s="38"/>
      <c r="P81" s="13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3">
        <f t="shared" si="68"/>
        <v>437.04</v>
      </c>
      <c r="CQ81" s="45">
        <f t="shared" si="70"/>
        <v>487.04</v>
      </c>
      <c r="CR81" s="45">
        <f t="shared" si="71"/>
        <v>387.04</v>
      </c>
      <c r="CS81" s="45">
        <f t="shared" si="72"/>
        <v>537.04</v>
      </c>
      <c r="CT81" s="45">
        <f t="shared" si="73"/>
        <v>337.04</v>
      </c>
      <c r="CU81" s="33">
        <f t="shared" si="69"/>
        <v>453.47500000000002</v>
      </c>
    </row>
    <row r="82" spans="1:99" ht="16" x14ac:dyDescent="0.4">
      <c r="A82" s="18">
        <v>2043</v>
      </c>
      <c r="B82" s="14">
        <v>49364737.686195284</v>
      </c>
      <c r="C82" s="44">
        <v>15381511.786623001</v>
      </c>
      <c r="D82" s="44">
        <f t="shared" si="50"/>
        <v>591596.60717780772</v>
      </c>
      <c r="E82" s="44">
        <f t="shared" si="40"/>
        <v>295798.30358890386</v>
      </c>
      <c r="F82" s="44">
        <f t="shared" si="67"/>
        <v>443697.45538335579</v>
      </c>
      <c r="G82" s="44">
        <v>599797.708109</v>
      </c>
      <c r="H82" s="44">
        <f t="shared" si="41"/>
        <v>299898.8540545</v>
      </c>
      <c r="I82" s="44">
        <v>597351.37133600004</v>
      </c>
      <c r="J82" s="44">
        <f t="shared" si="42"/>
        <v>298675.68566800002</v>
      </c>
      <c r="K82" s="44">
        <v>580118.29448499996</v>
      </c>
      <c r="L82" s="44">
        <f t="shared" si="43"/>
        <v>290059.14724249998</v>
      </c>
      <c r="M82" s="44"/>
      <c r="N82" s="44">
        <f t="shared" si="66"/>
        <v>377652.82011902996</v>
      </c>
      <c r="O82" s="38"/>
      <c r="P82" s="13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3">
        <f t="shared" si="68"/>
        <v>436</v>
      </c>
      <c r="CQ82" s="45">
        <f t="shared" si="70"/>
        <v>486</v>
      </c>
      <c r="CR82" s="45">
        <f t="shared" si="71"/>
        <v>386</v>
      </c>
      <c r="CS82" s="45">
        <f t="shared" si="72"/>
        <v>536</v>
      </c>
      <c r="CT82" s="45">
        <f t="shared" si="73"/>
        <v>336</v>
      </c>
      <c r="CU82" s="33">
        <f t="shared" si="69"/>
        <v>455</v>
      </c>
    </row>
    <row r="83" spans="1:99" ht="16" x14ac:dyDescent="0.4">
      <c r="A83" s="18">
        <v>2044</v>
      </c>
      <c r="B83" s="14">
        <v>49477578.420258403</v>
      </c>
      <c r="C83" s="44">
        <v>15416632.274981001</v>
      </c>
      <c r="D83" s="44">
        <f t="shared" si="50"/>
        <v>592947.39519157703</v>
      </c>
      <c r="E83" s="44">
        <f t="shared" si="40"/>
        <v>296473.69759578852</v>
      </c>
      <c r="F83" s="44">
        <f t="shared" si="67"/>
        <v>444710.54639368277</v>
      </c>
      <c r="G83" s="44">
        <v>580320.59249299997</v>
      </c>
      <c r="H83" s="44">
        <f t="shared" si="41"/>
        <v>290160.29624649999</v>
      </c>
      <c r="I83" s="44">
        <v>619978.41002299997</v>
      </c>
      <c r="J83" s="44">
        <f t="shared" si="42"/>
        <v>309989.20501149999</v>
      </c>
      <c r="K83" s="44">
        <v>570967.30337600003</v>
      </c>
      <c r="L83" s="44">
        <f t="shared" si="43"/>
        <v>285483.65168800001</v>
      </c>
      <c r="M83" s="44"/>
      <c r="N83" s="44">
        <f t="shared" si="66"/>
        <v>388982.40472260088</v>
      </c>
      <c r="O83" s="38"/>
      <c r="P83" s="13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3">
        <f t="shared" si="68"/>
        <v>434.84000000000003</v>
      </c>
      <c r="CQ83" s="45">
        <f t="shared" si="70"/>
        <v>484.84000000000003</v>
      </c>
      <c r="CR83" s="45">
        <f t="shared" si="71"/>
        <v>384.84000000000003</v>
      </c>
      <c r="CS83" s="45">
        <f t="shared" si="72"/>
        <v>534.84</v>
      </c>
      <c r="CT83" s="45">
        <f t="shared" si="73"/>
        <v>334.84000000000003</v>
      </c>
      <c r="CU83" s="33">
        <f t="shared" si="69"/>
        <v>456.47500000000002</v>
      </c>
    </row>
    <row r="84" spans="1:99" ht="16" x14ac:dyDescent="0.4">
      <c r="A84" s="18">
        <v>2045</v>
      </c>
      <c r="B84" s="14">
        <v>49584782.126845665</v>
      </c>
      <c r="C84" s="44">
        <v>15449757.744016998</v>
      </c>
      <c r="D84" s="44">
        <f t="shared" si="50"/>
        <v>594221.45169296139</v>
      </c>
      <c r="E84" s="44">
        <f t="shared" si="40"/>
        <v>297110.72584648069</v>
      </c>
      <c r="F84" s="44">
        <f t="shared" si="67"/>
        <v>445666.08876972104</v>
      </c>
      <c r="G84" s="44">
        <v>587533.97195000004</v>
      </c>
      <c r="H84" s="44">
        <f t="shared" si="41"/>
        <v>293766.98597500002</v>
      </c>
      <c r="I84" s="44">
        <v>633902.83918200003</v>
      </c>
      <c r="J84" s="44">
        <f t="shared" si="42"/>
        <v>316951.41959100001</v>
      </c>
      <c r="K84" s="44">
        <v>559868.301661</v>
      </c>
      <c r="L84" s="44">
        <f t="shared" si="43"/>
        <v>279934.1508305</v>
      </c>
      <c r="M84" s="44"/>
      <c r="N84" s="44">
        <f t="shared" si="66"/>
        <v>400651.87686427892</v>
      </c>
      <c r="O84" s="38"/>
      <c r="P84" s="13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3">
        <f t="shared" si="68"/>
        <v>433.56</v>
      </c>
      <c r="CQ84" s="45">
        <f t="shared" si="70"/>
        <v>483.56</v>
      </c>
      <c r="CR84" s="45">
        <f t="shared" si="71"/>
        <v>383.56</v>
      </c>
      <c r="CS84" s="45">
        <f t="shared" si="72"/>
        <v>533.55999999999995</v>
      </c>
      <c r="CT84" s="45">
        <f t="shared" si="73"/>
        <v>333.56</v>
      </c>
      <c r="CU84" s="33">
        <f t="shared" si="69"/>
        <v>457.9</v>
      </c>
    </row>
    <row r="85" spans="1:99" ht="16" x14ac:dyDescent="0.4">
      <c r="A85" s="18">
        <v>2046</v>
      </c>
      <c r="B85" s="14">
        <v>49685418.072702073</v>
      </c>
      <c r="C85" s="44">
        <v>15493204.036145002</v>
      </c>
      <c r="D85" s="44">
        <f t="shared" si="50"/>
        <v>595892.46292865393</v>
      </c>
      <c r="E85" s="44">
        <f t="shared" si="40"/>
        <v>297946.23146432696</v>
      </c>
      <c r="F85" s="44">
        <f t="shared" si="67"/>
        <v>446919.34719649045</v>
      </c>
      <c r="G85" s="44">
        <v>584296.48870800005</v>
      </c>
      <c r="H85" s="44">
        <f t="shared" si="41"/>
        <v>292148.24435400002</v>
      </c>
      <c r="I85" s="44">
        <v>644827.18512100005</v>
      </c>
      <c r="J85" s="44">
        <f t="shared" si="42"/>
        <v>322413.59256050002</v>
      </c>
      <c r="K85" s="44">
        <v>559091.64473199996</v>
      </c>
      <c r="L85" s="44">
        <f t="shared" si="43"/>
        <v>279545.82236599998</v>
      </c>
      <c r="M85" s="44"/>
      <c r="N85" s="44">
        <f t="shared" si="66"/>
        <v>412671.43317020731</v>
      </c>
      <c r="O85" s="38"/>
      <c r="P85" s="13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3">
        <f t="shared" si="68"/>
        <v>432.16</v>
      </c>
      <c r="CQ85" s="45">
        <f t="shared" si="70"/>
        <v>482.16</v>
      </c>
      <c r="CR85" s="45">
        <f t="shared" si="71"/>
        <v>382.16</v>
      </c>
      <c r="CS85" s="45">
        <f t="shared" si="72"/>
        <v>532.16000000000008</v>
      </c>
      <c r="CT85" s="45">
        <f t="shared" si="73"/>
        <v>332.16</v>
      </c>
      <c r="CU85" s="33">
        <f t="shared" si="69"/>
        <v>459.27499999999998</v>
      </c>
    </row>
    <row r="86" spans="1:99" ht="16" x14ac:dyDescent="0.4">
      <c r="A86" s="18">
        <v>2047</v>
      </c>
      <c r="B86" s="14">
        <v>49778917.360551126</v>
      </c>
      <c r="C86" s="44">
        <v>15535540.571142998</v>
      </c>
      <c r="D86" s="44">
        <f t="shared" si="50"/>
        <v>597520.79119780764</v>
      </c>
      <c r="E86" s="44">
        <f t="shared" si="40"/>
        <v>298760.39559890382</v>
      </c>
      <c r="F86" s="44">
        <f t="shared" si="67"/>
        <v>448140.59339835576</v>
      </c>
      <c r="G86" s="44">
        <v>577912.05363099999</v>
      </c>
      <c r="H86" s="44">
        <f t="shared" si="41"/>
        <v>288956.02681549999</v>
      </c>
      <c r="I86" s="44">
        <v>659860.91756500001</v>
      </c>
      <c r="J86" s="44">
        <f t="shared" si="42"/>
        <v>329930.45878250001</v>
      </c>
      <c r="K86" s="44">
        <v>564429.679978</v>
      </c>
      <c r="L86" s="44">
        <f t="shared" si="43"/>
        <v>282214.839989</v>
      </c>
      <c r="M86" s="44"/>
      <c r="N86" s="44">
        <f t="shared" si="66"/>
        <v>425051.57616531354</v>
      </c>
      <c r="O86" s="38"/>
      <c r="P86" s="13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3">
        <f t="shared" si="68"/>
        <v>430.64000000000004</v>
      </c>
      <c r="CQ86" s="45">
        <f t="shared" si="70"/>
        <v>480.64000000000004</v>
      </c>
      <c r="CR86" s="45">
        <f t="shared" si="71"/>
        <v>380.64000000000004</v>
      </c>
      <c r="CS86" s="45">
        <f t="shared" si="72"/>
        <v>530.6400000000001</v>
      </c>
      <c r="CT86" s="45">
        <f t="shared" si="73"/>
        <v>330.64000000000004</v>
      </c>
      <c r="CU86" s="33">
        <f t="shared" si="69"/>
        <v>460.6</v>
      </c>
    </row>
    <row r="87" spans="1:99" ht="16" x14ac:dyDescent="0.4">
      <c r="A87" s="18">
        <v>2048</v>
      </c>
      <c r="B87" s="14">
        <v>49864546.976396024</v>
      </c>
      <c r="C87" s="44">
        <v>15571393.184582001</v>
      </c>
      <c r="D87" s="44">
        <f t="shared" si="50"/>
        <v>598899.73786853848</v>
      </c>
      <c r="E87" s="44">
        <f t="shared" si="40"/>
        <v>299449.86893426924</v>
      </c>
      <c r="F87" s="44">
        <f t="shared" si="67"/>
        <v>449174.80340140383</v>
      </c>
      <c r="G87" s="44">
        <v>562100.74759399996</v>
      </c>
      <c r="H87" s="44">
        <f t="shared" si="41"/>
        <v>281050.37379699998</v>
      </c>
      <c r="I87" s="44">
        <v>668505.77418099996</v>
      </c>
      <c r="J87" s="44">
        <f t="shared" si="42"/>
        <v>334252.88709049998</v>
      </c>
      <c r="K87" s="44">
        <v>573124.04590899998</v>
      </c>
      <c r="L87" s="44">
        <f t="shared" si="43"/>
        <v>286562.02295449999</v>
      </c>
      <c r="M87" s="44"/>
      <c r="N87" s="44">
        <f t="shared" si="66"/>
        <v>437803.12345027295</v>
      </c>
      <c r="O87" s="38"/>
      <c r="P87" s="10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3">
        <f t="shared" si="68"/>
        <v>429</v>
      </c>
      <c r="CQ87" s="45">
        <f t="shared" si="70"/>
        <v>479</v>
      </c>
      <c r="CR87" s="45">
        <f t="shared" si="71"/>
        <v>379</v>
      </c>
      <c r="CS87" s="45">
        <f t="shared" si="72"/>
        <v>529</v>
      </c>
      <c r="CT87" s="45">
        <f>CP87-100</f>
        <v>329</v>
      </c>
      <c r="CU87" s="33">
        <f t="shared" si="69"/>
        <v>461.875</v>
      </c>
    </row>
    <row r="88" spans="1:99" ht="16" x14ac:dyDescent="0.4">
      <c r="A88" s="18">
        <v>2049</v>
      </c>
      <c r="B88" s="14">
        <v>49941713.753195614</v>
      </c>
      <c r="C88" s="44">
        <v>15598248.556383003</v>
      </c>
      <c r="D88" s="44">
        <f t="shared" si="50"/>
        <v>599932.63678396167</v>
      </c>
      <c r="E88" s="44">
        <f t="shared" si="40"/>
        <v>299966.31839198084</v>
      </c>
      <c r="F88" s="44">
        <f t="shared" si="67"/>
        <v>449949.47758797125</v>
      </c>
      <c r="G88" s="44">
        <v>543585.78637300001</v>
      </c>
      <c r="H88" s="44">
        <f t="shared" si="41"/>
        <v>271792.8931865</v>
      </c>
      <c r="I88" s="44">
        <v>689937.76326200005</v>
      </c>
      <c r="J88" s="44">
        <f t="shared" si="42"/>
        <v>344968.88163100003</v>
      </c>
      <c r="K88" s="44">
        <v>575273.36152599996</v>
      </c>
      <c r="L88" s="44">
        <f t="shared" si="43"/>
        <v>287636.68076299998</v>
      </c>
      <c r="M88" s="44"/>
      <c r="N88" s="44">
        <f t="shared" si="66"/>
        <v>450937.21715378115</v>
      </c>
      <c r="O88" s="38"/>
      <c r="P88" s="10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3">
        <f t="shared" si="68"/>
        <v>427.24</v>
      </c>
      <c r="CQ88" s="45">
        <f t="shared" si="70"/>
        <v>477.24</v>
      </c>
      <c r="CR88" s="45">
        <f t="shared" si="71"/>
        <v>377.24</v>
      </c>
      <c r="CS88" s="45">
        <f t="shared" si="72"/>
        <v>527.24</v>
      </c>
      <c r="CT88" s="45">
        <f t="shared" si="73"/>
        <v>327.24</v>
      </c>
      <c r="CU88" s="33">
        <f t="shared" si="69"/>
        <v>463.1</v>
      </c>
    </row>
    <row r="89" spans="1:99" ht="16" x14ac:dyDescent="0.4">
      <c r="A89" s="18">
        <v>2050</v>
      </c>
      <c r="B89" s="14">
        <v>50010474.681963421</v>
      </c>
      <c r="C89" s="44">
        <v>15623460.734751001</v>
      </c>
      <c r="D89" s="44">
        <f t="shared" si="50"/>
        <v>600902.33595196158</v>
      </c>
      <c r="E89" s="44">
        <f t="shared" si="40"/>
        <v>300451.16797598079</v>
      </c>
      <c r="F89" s="44">
        <f t="shared" si="67"/>
        <v>450676.75196397118</v>
      </c>
      <c r="G89" s="44">
        <v>531833.41655700002</v>
      </c>
      <c r="H89" s="44">
        <f t="shared" si="41"/>
        <v>265916.70827850001</v>
      </c>
      <c r="I89" s="44">
        <v>670493.07671099994</v>
      </c>
      <c r="J89" s="44">
        <f t="shared" si="42"/>
        <v>335246.53835549997</v>
      </c>
      <c r="K89" s="44">
        <v>591763.24234700005</v>
      </c>
      <c r="L89" s="44">
        <f t="shared" si="43"/>
        <v>295881.62117350003</v>
      </c>
      <c r="M89" s="44"/>
      <c r="N89" s="44">
        <f t="shared" si="66"/>
        <v>464465.3336683946</v>
      </c>
      <c r="O89" s="38"/>
      <c r="P89" s="10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3">
        <f t="shared" si="68"/>
        <v>425.36</v>
      </c>
      <c r="CQ89" s="45">
        <f t="shared" si="70"/>
        <v>475.36</v>
      </c>
      <c r="CR89" s="45">
        <f t="shared" si="71"/>
        <v>375.36</v>
      </c>
      <c r="CS89" s="45">
        <f t="shared" si="72"/>
        <v>525.36</v>
      </c>
      <c r="CT89" s="45">
        <f t="shared" si="73"/>
        <v>325.36</v>
      </c>
      <c r="CU89" s="33">
        <f t="shared" si="69"/>
        <v>464.27499999999998</v>
      </c>
    </row>
    <row r="90" spans="1:99" ht="16" x14ac:dyDescent="0.4">
      <c r="A90" s="18">
        <v>2051</v>
      </c>
      <c r="B90" s="14">
        <v>50070954.666849136</v>
      </c>
      <c r="C90" s="44">
        <v>15633517.401560001</v>
      </c>
      <c r="D90" s="44">
        <f t="shared" si="50"/>
        <v>601289.13082923077</v>
      </c>
      <c r="E90" s="44">
        <f t="shared" si="40"/>
        <v>300644.56541461538</v>
      </c>
      <c r="F90" s="44">
        <f t="shared" si="67"/>
        <v>450966.84812192305</v>
      </c>
      <c r="G90" s="44">
        <v>529925.15949400002</v>
      </c>
      <c r="H90" s="44">
        <f t="shared" si="41"/>
        <v>264962.57974700001</v>
      </c>
      <c r="I90" s="44">
        <v>665417.00624300004</v>
      </c>
      <c r="J90" s="44">
        <f t="shared" si="42"/>
        <v>332708.50312150002</v>
      </c>
      <c r="K90" s="44">
        <v>607008.90193599998</v>
      </c>
      <c r="L90" s="44">
        <f t="shared" si="43"/>
        <v>303504.45096799999</v>
      </c>
      <c r="M90" s="44"/>
      <c r="N90" s="44">
        <f t="shared" si="66"/>
        <v>478399.29367844644</v>
      </c>
      <c r="O90" s="38"/>
      <c r="P90" s="10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3">
        <f t="shared" si="68"/>
        <v>423.36</v>
      </c>
      <c r="CQ90" s="45">
        <f t="shared" si="70"/>
        <v>473.36</v>
      </c>
      <c r="CR90" s="45">
        <f t="shared" si="71"/>
        <v>373.36</v>
      </c>
      <c r="CS90" s="45">
        <f t="shared" si="72"/>
        <v>523.36</v>
      </c>
      <c r="CT90" s="45">
        <f t="shared" si="73"/>
        <v>323.36</v>
      </c>
      <c r="CU90" s="33">
        <f t="shared" si="69"/>
        <v>465.4</v>
      </c>
    </row>
    <row r="91" spans="1:99" ht="16" x14ac:dyDescent="0.4">
      <c r="A91" s="18">
        <v>2052</v>
      </c>
      <c r="B91" s="14">
        <v>50123269.931741543</v>
      </c>
      <c r="C91" s="44">
        <v>15630458.182469003</v>
      </c>
      <c r="D91" s="44">
        <f t="shared" si="50"/>
        <v>601171.46855650016</v>
      </c>
      <c r="E91" s="44">
        <f t="shared" si="40"/>
        <v>300585.73427825008</v>
      </c>
      <c r="F91" s="44">
        <f t="shared" si="67"/>
        <v>450878.60141737515</v>
      </c>
      <c r="G91" s="44">
        <v>526875.09718200006</v>
      </c>
      <c r="H91" s="44">
        <f t="shared" si="41"/>
        <v>263437.54859100003</v>
      </c>
      <c r="I91" s="44">
        <v>665186.07899199997</v>
      </c>
      <c r="J91" s="44">
        <f t="shared" si="42"/>
        <v>332593.03949599998</v>
      </c>
      <c r="K91" s="44">
        <v>613860.458537</v>
      </c>
      <c r="L91" s="44">
        <f t="shared" si="43"/>
        <v>306930.2292685</v>
      </c>
      <c r="M91" s="44"/>
      <c r="N91" s="44">
        <f t="shared" si="66"/>
        <v>492751.27248879982</v>
      </c>
      <c r="O91" s="38"/>
      <c r="P91" s="10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3">
        <f t="shared" si="68"/>
        <v>421.24</v>
      </c>
      <c r="CQ91" s="45">
        <f t="shared" si="70"/>
        <v>471.24</v>
      </c>
      <c r="CR91" s="45">
        <f t="shared" si="71"/>
        <v>371.24</v>
      </c>
      <c r="CS91" s="45">
        <f t="shared" si="72"/>
        <v>521.24</v>
      </c>
      <c r="CT91" s="45">
        <f t="shared" si="73"/>
        <v>321.24</v>
      </c>
      <c r="CU91" s="33">
        <f t="shared" si="69"/>
        <v>466.47500000000002</v>
      </c>
    </row>
    <row r="92" spans="1:99" ht="16" x14ac:dyDescent="0.4">
      <c r="A92" s="18">
        <v>2053</v>
      </c>
      <c r="B92" s="14">
        <v>50167704.432710245</v>
      </c>
      <c r="C92" s="44">
        <v>15623440.200875001</v>
      </c>
      <c r="D92" s="44">
        <f t="shared" si="50"/>
        <v>600901.5461875</v>
      </c>
      <c r="E92" s="44">
        <f t="shared" si="40"/>
        <v>300450.77309375</v>
      </c>
      <c r="F92" s="44">
        <f t="shared" si="67"/>
        <v>450676.159640625</v>
      </c>
      <c r="G92" s="44">
        <v>524562.76788099995</v>
      </c>
      <c r="H92" s="44">
        <f t="shared" si="41"/>
        <v>262281.38394049997</v>
      </c>
      <c r="I92" s="44">
        <v>653098.32527000003</v>
      </c>
      <c r="J92" s="44">
        <f t="shared" si="42"/>
        <v>326549.16263500002</v>
      </c>
      <c r="K92" s="44">
        <v>621746.51673599996</v>
      </c>
      <c r="L92" s="44">
        <f t="shared" si="43"/>
        <v>310873.25836799998</v>
      </c>
      <c r="M92" s="44"/>
      <c r="N92" s="44">
        <f t="shared" si="66"/>
        <v>507533.81066346384</v>
      </c>
      <c r="O92" s="38"/>
      <c r="P92" s="10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3">
        <f t="shared" si="68"/>
        <v>419</v>
      </c>
      <c r="CQ92" s="45">
        <f t="shared" si="70"/>
        <v>469</v>
      </c>
      <c r="CR92" s="45">
        <f t="shared" si="71"/>
        <v>369</v>
      </c>
      <c r="CS92" s="45">
        <f t="shared" si="72"/>
        <v>519</v>
      </c>
      <c r="CT92" s="45">
        <f t="shared" si="73"/>
        <v>319</v>
      </c>
      <c r="CU92" s="33">
        <f t="shared" si="69"/>
        <v>467.5</v>
      </c>
    </row>
    <row r="93" spans="1:99" ht="16" x14ac:dyDescent="0.4">
      <c r="A93" s="18">
        <v>2054</v>
      </c>
      <c r="B93" s="14">
        <v>50204936.517177105</v>
      </c>
      <c r="C93" s="44">
        <v>15612179.440156</v>
      </c>
      <c r="D93" s="44">
        <f t="shared" si="50"/>
        <v>600468.44000599999</v>
      </c>
      <c r="E93" s="44">
        <f t="shared" si="40"/>
        <v>300234.22000299999</v>
      </c>
      <c r="F93" s="44">
        <f t="shared" si="67"/>
        <v>450351.33000449999</v>
      </c>
      <c r="G93" s="44">
        <v>523094.898514</v>
      </c>
      <c r="H93" s="44">
        <f t="shared" si="41"/>
        <v>261547.449257</v>
      </c>
      <c r="I93" s="44">
        <v>634640.87018900004</v>
      </c>
      <c r="J93" s="44">
        <f t="shared" si="42"/>
        <v>317320.43509450002</v>
      </c>
      <c r="K93" s="44">
        <v>644265.094468</v>
      </c>
      <c r="L93" s="44">
        <f t="shared" si="43"/>
        <v>322132.547234</v>
      </c>
      <c r="M93" s="44"/>
      <c r="N93" s="44">
        <f t="shared" si="66"/>
        <v>522759.82498336775</v>
      </c>
      <c r="O93" s="38"/>
      <c r="P93" s="10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3">
        <f t="shared" si="68"/>
        <v>416.64000000000004</v>
      </c>
      <c r="CQ93" s="45">
        <f t="shared" si="70"/>
        <v>466.64000000000004</v>
      </c>
      <c r="CR93" s="45">
        <f t="shared" si="71"/>
        <v>366.64000000000004</v>
      </c>
      <c r="CS93" s="45">
        <f t="shared" si="72"/>
        <v>516.6400000000001</v>
      </c>
      <c r="CT93" s="45">
        <f t="shared" si="73"/>
        <v>316.64000000000004</v>
      </c>
      <c r="CU93" s="33">
        <f t="shared" si="69"/>
        <v>468.47500000000002</v>
      </c>
    </row>
    <row r="94" spans="1:99" ht="16" x14ac:dyDescent="0.4">
      <c r="A94" s="18">
        <v>2055</v>
      </c>
      <c r="B94" s="14">
        <v>50235787.359512717</v>
      </c>
      <c r="C94" s="44">
        <v>15582843.552056998</v>
      </c>
      <c r="D94" s="44">
        <f t="shared" si="50"/>
        <v>599340.13661757682</v>
      </c>
      <c r="E94" s="44">
        <f t="shared" si="40"/>
        <v>299670.06830878841</v>
      </c>
      <c r="F94" s="44">
        <f t="shared" si="67"/>
        <v>449505.10246318264</v>
      </c>
      <c r="G94" s="44">
        <v>522460.84402299998</v>
      </c>
      <c r="H94" s="44">
        <f t="shared" si="41"/>
        <v>261230.42201149999</v>
      </c>
      <c r="I94" s="44">
        <v>641913.95792800002</v>
      </c>
      <c r="J94" s="44">
        <f t="shared" si="42"/>
        <v>320956.97896400001</v>
      </c>
      <c r="K94" s="44">
        <v>658173.39964600001</v>
      </c>
      <c r="L94" s="44">
        <f t="shared" si="43"/>
        <v>329086.699823</v>
      </c>
      <c r="M94" s="44"/>
      <c r="N94" s="44">
        <f t="shared" si="66"/>
        <v>538442.61973286886</v>
      </c>
      <c r="O94" s="38"/>
      <c r="P94" s="10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3">
        <f t="shared" si="68"/>
        <v>414.16</v>
      </c>
      <c r="CQ94" s="45">
        <f t="shared" si="70"/>
        <v>464.16</v>
      </c>
      <c r="CR94" s="45">
        <f t="shared" si="71"/>
        <v>364.16</v>
      </c>
      <c r="CS94" s="45">
        <f t="shared" si="72"/>
        <v>514.16000000000008</v>
      </c>
      <c r="CT94" s="45">
        <f t="shared" si="73"/>
        <v>314.16000000000003</v>
      </c>
      <c r="CU94" s="33">
        <f t="shared" si="69"/>
        <v>469.4</v>
      </c>
    </row>
    <row r="95" spans="1:99" ht="16" x14ac:dyDescent="0.4">
      <c r="A95" s="18">
        <v>2056</v>
      </c>
      <c r="B95" s="14">
        <v>50261085.996290706</v>
      </c>
      <c r="C95" s="44">
        <v>15544842.00092</v>
      </c>
      <c r="D95" s="44">
        <f t="shared" si="50"/>
        <v>597878.53849692305</v>
      </c>
      <c r="E95" s="44">
        <f t="shared" si="40"/>
        <v>298939.26924846153</v>
      </c>
      <c r="F95" s="44">
        <f t="shared" si="67"/>
        <v>448408.90387269226</v>
      </c>
      <c r="G95" s="44">
        <v>522641.75681599998</v>
      </c>
      <c r="H95" s="44">
        <f t="shared" si="41"/>
        <v>261320.87840799999</v>
      </c>
      <c r="I95" s="44">
        <v>639302.504923</v>
      </c>
      <c r="J95" s="44">
        <f t="shared" si="42"/>
        <v>319651.2524615</v>
      </c>
      <c r="K95" s="44">
        <v>669215.337528</v>
      </c>
      <c r="L95" s="44">
        <f t="shared" si="43"/>
        <v>334607.668764</v>
      </c>
      <c r="M95" s="44"/>
      <c r="N95" s="44">
        <f t="shared" si="66"/>
        <v>554595.8983248549</v>
      </c>
      <c r="O95" s="38"/>
      <c r="P95" s="10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3">
        <f t="shared" si="68"/>
        <v>411.56000000000006</v>
      </c>
      <c r="CQ95" s="45">
        <f t="shared" si="70"/>
        <v>461.56000000000006</v>
      </c>
      <c r="CR95" s="45">
        <f t="shared" si="71"/>
        <v>361.56000000000006</v>
      </c>
      <c r="CS95" s="45">
        <f t="shared" si="72"/>
        <v>511.56000000000006</v>
      </c>
      <c r="CT95" s="45">
        <f t="shared" si="73"/>
        <v>311.56000000000006</v>
      </c>
      <c r="CU95" s="33">
        <f t="shared" si="69"/>
        <v>470.27499999999998</v>
      </c>
    </row>
    <row r="96" spans="1:99" ht="16" x14ac:dyDescent="0.4">
      <c r="A96" s="18">
        <v>2057</v>
      </c>
      <c r="B96" s="14">
        <v>50281879.610119931</v>
      </c>
      <c r="C96" s="44">
        <v>15501819.808833003</v>
      </c>
      <c r="D96" s="44">
        <f t="shared" si="50"/>
        <v>596223.8388012693</v>
      </c>
      <c r="E96" s="44">
        <f t="shared" si="40"/>
        <v>298111.91940063465</v>
      </c>
      <c r="F96" s="44">
        <f t="shared" si="67"/>
        <v>447167.87910095195</v>
      </c>
      <c r="G96" s="44">
        <v>523636.94304099999</v>
      </c>
      <c r="H96" s="44">
        <f t="shared" si="41"/>
        <v>261818.4715205</v>
      </c>
      <c r="I96" s="44">
        <v>633805.43188199995</v>
      </c>
      <c r="J96" s="44">
        <f t="shared" si="42"/>
        <v>316902.71594099997</v>
      </c>
      <c r="K96" s="44">
        <v>684166.12041500001</v>
      </c>
      <c r="L96" s="44">
        <f t="shared" si="43"/>
        <v>342083.06020750001</v>
      </c>
      <c r="M96" s="44"/>
      <c r="N96" s="44">
        <f>N95*1.03</f>
        <v>571233.7752746006</v>
      </c>
      <c r="O96" s="38"/>
      <c r="P96" s="10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3">
        <f t="shared" si="68"/>
        <v>408.84000000000003</v>
      </c>
      <c r="CQ96" s="45">
        <f t="shared" si="70"/>
        <v>458.84000000000003</v>
      </c>
      <c r="CR96" s="45">
        <f t="shared" si="71"/>
        <v>358.84000000000003</v>
      </c>
      <c r="CS96" s="45">
        <f t="shared" si="72"/>
        <v>508.84000000000003</v>
      </c>
      <c r="CT96" s="45">
        <f t="shared" si="73"/>
        <v>308.84000000000003</v>
      </c>
      <c r="CU96" s="33">
        <f t="shared" si="69"/>
        <v>471.1</v>
      </c>
    </row>
    <row r="97" spans="1:99" ht="16" x14ac:dyDescent="0.4">
      <c r="A97" s="18">
        <v>2058</v>
      </c>
      <c r="B97" s="14">
        <v>50299207.62650498</v>
      </c>
      <c r="C97" s="44">
        <v>15450615.752732001</v>
      </c>
      <c r="D97" s="44">
        <f t="shared" si="50"/>
        <v>594254.45202815393</v>
      </c>
      <c r="E97" s="44">
        <f t="shared" si="40"/>
        <v>297127.22601407696</v>
      </c>
      <c r="F97" s="44">
        <f t="shared" si="67"/>
        <v>445690.83902111545</v>
      </c>
      <c r="G97" s="44">
        <v>525454.15762900002</v>
      </c>
      <c r="H97" s="44">
        <f t="shared" si="41"/>
        <v>262727.07881450001</v>
      </c>
      <c r="I97" s="44">
        <v>619480.81557099998</v>
      </c>
      <c r="J97" s="44">
        <f t="shared" si="42"/>
        <v>309740.40778549999</v>
      </c>
      <c r="K97" s="44">
        <v>692929.28563399997</v>
      </c>
      <c r="L97" s="44">
        <f t="shared" si="43"/>
        <v>346464.64281699999</v>
      </c>
      <c r="M97" s="44"/>
      <c r="N97" s="44">
        <f t="shared" si="66"/>
        <v>588370.78853283869</v>
      </c>
      <c r="O97" s="38"/>
      <c r="P97" s="10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3">
        <f t="shared" si="68"/>
        <v>406</v>
      </c>
      <c r="CQ97" s="45">
        <f t="shared" si="70"/>
        <v>456</v>
      </c>
      <c r="CR97" s="45">
        <f t="shared" si="71"/>
        <v>356</v>
      </c>
      <c r="CS97" s="45">
        <f t="shared" si="72"/>
        <v>506</v>
      </c>
      <c r="CT97" s="45">
        <f t="shared" si="73"/>
        <v>306</v>
      </c>
      <c r="CU97" s="33">
        <f t="shared" si="69"/>
        <v>471.875</v>
      </c>
    </row>
    <row r="98" spans="1:99" ht="16" x14ac:dyDescent="0.4">
      <c r="A98" s="18">
        <v>2059</v>
      </c>
      <c r="B98" s="14">
        <v>50314376.397701398</v>
      </c>
      <c r="C98" s="44">
        <v>15398059.945600001</v>
      </c>
      <c r="D98" s="44">
        <f t="shared" si="50"/>
        <v>592233.07483076933</v>
      </c>
      <c r="E98" s="44">
        <f t="shared" si="40"/>
        <v>296116.53741538466</v>
      </c>
      <c r="F98" s="44">
        <f t="shared" si="67"/>
        <v>444174.806123077</v>
      </c>
      <c r="G98" s="44">
        <v>528064.38300000003</v>
      </c>
      <c r="H98" s="44">
        <f t="shared" si="41"/>
        <v>264032.19150000002</v>
      </c>
      <c r="I98" s="44">
        <v>602555.25508899998</v>
      </c>
      <c r="J98" s="44">
        <f t="shared" si="42"/>
        <v>301277.62754449999</v>
      </c>
      <c r="K98" s="44">
        <v>714080.26184699999</v>
      </c>
      <c r="L98" s="44">
        <f t="shared" si="43"/>
        <v>357040.13092349999</v>
      </c>
      <c r="M98" s="44"/>
      <c r="N98" s="44">
        <f t="shared" si="66"/>
        <v>606021.91218882392</v>
      </c>
      <c r="O98" s="38"/>
      <c r="P98" s="10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3">
        <f t="shared" si="68"/>
        <v>403.03999999999996</v>
      </c>
      <c r="CQ98" s="45">
        <f t="shared" si="70"/>
        <v>453.03999999999996</v>
      </c>
      <c r="CR98" s="45">
        <f t="shared" si="71"/>
        <v>353.03999999999996</v>
      </c>
      <c r="CS98" s="45">
        <f t="shared" si="72"/>
        <v>503.03999999999996</v>
      </c>
      <c r="CT98" s="45">
        <f t="shared" si="73"/>
        <v>303.03999999999996</v>
      </c>
      <c r="CU98" s="33">
        <f t="shared" si="69"/>
        <v>472.6</v>
      </c>
    </row>
    <row r="99" spans="1:99" ht="16" x14ac:dyDescent="0.4">
      <c r="A99" s="18">
        <v>2060</v>
      </c>
      <c r="B99" s="14">
        <v>50328697.880063541</v>
      </c>
      <c r="C99" s="44">
        <v>15332317.269176999</v>
      </c>
      <c r="D99" s="44">
        <f t="shared" si="50"/>
        <v>589704.51035296149</v>
      </c>
      <c r="E99" s="44">
        <f t="shared" si="40"/>
        <v>294852.25517648074</v>
      </c>
      <c r="F99" s="44">
        <f t="shared" ref="F99:F109" si="74">E99*1.5</f>
        <v>442278.38276472111</v>
      </c>
      <c r="G99" s="44">
        <v>531462.60153700004</v>
      </c>
      <c r="H99" s="44">
        <f t="shared" si="41"/>
        <v>265731.30076850002</v>
      </c>
      <c r="I99" s="44">
        <v>592057.68133799999</v>
      </c>
      <c r="J99" s="44">
        <f t="shared" si="42"/>
        <v>296028.840669</v>
      </c>
      <c r="K99" s="44">
        <v>695210.74487699999</v>
      </c>
      <c r="L99" s="44">
        <f t="shared" si="43"/>
        <v>347605.3724385</v>
      </c>
      <c r="M99" s="44"/>
      <c r="N99" s="44">
        <f t="shared" si="66"/>
        <v>624202.56955448864</v>
      </c>
      <c r="O99" s="38"/>
      <c r="P99" s="10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3">
        <f t="shared" ref="CP99:CP109" si="75">-0.06*((A99-1963)^2)+8.5*(A99-1963)+140</f>
        <v>399.96000000000004</v>
      </c>
      <c r="CQ99" s="45">
        <f t="shared" si="70"/>
        <v>449.96000000000004</v>
      </c>
      <c r="CR99" s="45">
        <f t="shared" si="71"/>
        <v>349.96000000000004</v>
      </c>
      <c r="CS99" s="45">
        <f t="shared" si="72"/>
        <v>499.96000000000004</v>
      </c>
      <c r="CT99" s="45">
        <f t="shared" si="73"/>
        <v>299.96000000000004</v>
      </c>
      <c r="CU99" s="33">
        <f t="shared" ref="CU99:CU109" si="76">-0.025*((A99-1963)^2)+5.5*(A99-1963)+175</f>
        <v>473.27499999999998</v>
      </c>
    </row>
    <row r="100" spans="1:99" ht="16" x14ac:dyDescent="0.4">
      <c r="A100" s="18">
        <v>2061</v>
      </c>
      <c r="B100" s="14">
        <v>50343453.207908727</v>
      </c>
      <c r="C100" s="44">
        <v>15292938.406192001</v>
      </c>
      <c r="D100" s="44">
        <f t="shared" si="50"/>
        <v>588189.93869969237</v>
      </c>
      <c r="E100" s="44">
        <f t="shared" si="40"/>
        <v>294094.96934984619</v>
      </c>
      <c r="F100" s="44">
        <f t="shared" si="74"/>
        <v>441142.45402476925</v>
      </c>
      <c r="G100" s="44">
        <v>535658.90596700006</v>
      </c>
      <c r="H100" s="44">
        <f t="shared" si="41"/>
        <v>267829.45298350003</v>
      </c>
      <c r="I100" s="44">
        <v>590764.09168399998</v>
      </c>
      <c r="J100" s="44">
        <f t="shared" si="42"/>
        <v>295382.04584199999</v>
      </c>
      <c r="K100" s="44">
        <v>690424.02158099995</v>
      </c>
      <c r="L100" s="44">
        <f t="shared" si="43"/>
        <v>345212.01079049997</v>
      </c>
      <c r="M100" s="44"/>
      <c r="N100" s="44">
        <f t="shared" si="66"/>
        <v>642928.64664112334</v>
      </c>
      <c r="O100" s="38"/>
      <c r="P100" s="10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3">
        <f t="shared" si="75"/>
        <v>396.76</v>
      </c>
      <c r="CQ100" s="45">
        <f t="shared" si="70"/>
        <v>446.76</v>
      </c>
      <c r="CR100" s="45">
        <f t="shared" si="71"/>
        <v>346.76</v>
      </c>
      <c r="CS100" s="45">
        <f t="shared" ref="CS100:CS109" si="77">CP100+100</f>
        <v>496.76</v>
      </c>
      <c r="CT100" s="45">
        <f t="shared" ref="CT100:CT109" si="78">CP100-100</f>
        <v>296.76</v>
      </c>
      <c r="CU100" s="33">
        <f t="shared" si="76"/>
        <v>473.9</v>
      </c>
    </row>
    <row r="101" spans="1:99" ht="16" x14ac:dyDescent="0.4">
      <c r="A101" s="18">
        <v>2062</v>
      </c>
      <c r="B101" s="14">
        <v>50359999.063408405</v>
      </c>
      <c r="C101" s="44">
        <v>15265908.189541997</v>
      </c>
      <c r="D101" s="44">
        <f t="shared" si="50"/>
        <v>587150.31498238456</v>
      </c>
      <c r="E101" s="44">
        <f t="shared" si="40"/>
        <v>293575.15749119228</v>
      </c>
      <c r="F101" s="44">
        <f t="shared" si="74"/>
        <v>440362.73623678845</v>
      </c>
      <c r="G101" s="44">
        <v>540644.09927100001</v>
      </c>
      <c r="H101" s="44">
        <f t="shared" si="41"/>
        <v>270322.04963550001</v>
      </c>
      <c r="I101" s="44">
        <v>588298.29584200005</v>
      </c>
      <c r="J101" s="44">
        <f t="shared" si="42"/>
        <v>294149.14792100003</v>
      </c>
      <c r="K101" s="44">
        <v>690374.09718699998</v>
      </c>
      <c r="L101" s="44">
        <f t="shared" si="43"/>
        <v>345187.04859349999</v>
      </c>
      <c r="M101" s="44"/>
      <c r="N101" s="44">
        <f t="shared" si="66"/>
        <v>662216.50604035705</v>
      </c>
      <c r="O101" s="38"/>
      <c r="P101" s="10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3">
        <f t="shared" si="75"/>
        <v>393.44000000000005</v>
      </c>
      <c r="CQ101" s="45">
        <f t="shared" si="70"/>
        <v>443.44000000000005</v>
      </c>
      <c r="CR101" s="45">
        <f t="shared" si="71"/>
        <v>343.44000000000005</v>
      </c>
      <c r="CS101" s="45">
        <f t="shared" si="77"/>
        <v>493.44000000000005</v>
      </c>
      <c r="CT101" s="45">
        <f t="shared" si="78"/>
        <v>293.44000000000005</v>
      </c>
      <c r="CU101" s="33">
        <f t="shared" si="76"/>
        <v>474.47500000000002</v>
      </c>
    </row>
    <row r="102" spans="1:99" ht="16" x14ac:dyDescent="0.4">
      <c r="A102" s="18">
        <v>2063</v>
      </c>
      <c r="B102" s="14">
        <v>50379523.408799686</v>
      </c>
      <c r="C102" s="44">
        <v>15246362.933799002</v>
      </c>
      <c r="D102" s="44">
        <f t="shared" si="50"/>
        <v>586398.57437688473</v>
      </c>
      <c r="E102" s="44">
        <f t="shared" si="40"/>
        <v>293199.28718844237</v>
      </c>
      <c r="F102" s="44">
        <f t="shared" si="74"/>
        <v>439798.93078266352</v>
      </c>
      <c r="G102" s="44">
        <v>546368.08150099998</v>
      </c>
      <c r="H102" s="44">
        <f t="shared" si="41"/>
        <v>273184.04075049999</v>
      </c>
      <c r="I102" s="44">
        <v>586545.58936900005</v>
      </c>
      <c r="J102" s="44">
        <f t="shared" si="42"/>
        <v>293272.79468450003</v>
      </c>
      <c r="K102" s="44">
        <v>678735.50010900002</v>
      </c>
      <c r="L102" s="44">
        <f t="shared" si="43"/>
        <v>339367.75005450001</v>
      </c>
      <c r="M102" s="44"/>
      <c r="N102" s="44">
        <f t="shared" si="66"/>
        <v>682083.00122156774</v>
      </c>
      <c r="O102" s="38"/>
      <c r="P102" s="10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3">
        <f t="shared" si="75"/>
        <v>390</v>
      </c>
      <c r="CQ102" s="45">
        <f t="shared" si="70"/>
        <v>440</v>
      </c>
      <c r="CR102" s="45">
        <f t="shared" si="71"/>
        <v>340</v>
      </c>
      <c r="CS102" s="45">
        <f t="shared" si="77"/>
        <v>490</v>
      </c>
      <c r="CT102" s="45">
        <f t="shared" si="78"/>
        <v>290</v>
      </c>
      <c r="CU102" s="33">
        <f t="shared" si="76"/>
        <v>475</v>
      </c>
    </row>
    <row r="103" spans="1:99" ht="16" x14ac:dyDescent="0.4">
      <c r="A103" s="18">
        <v>2064</v>
      </c>
      <c r="B103" s="14">
        <v>50403160.170872502</v>
      </c>
      <c r="C103" s="44">
        <v>15245547.482651999</v>
      </c>
      <c r="D103" s="44">
        <f t="shared" si="50"/>
        <v>586367.21087123069</v>
      </c>
      <c r="E103" s="44">
        <f t="shared" si="40"/>
        <v>293183.60543561535</v>
      </c>
      <c r="F103" s="44">
        <f t="shared" si="74"/>
        <v>439775.40815342299</v>
      </c>
      <c r="G103" s="44">
        <v>552744.28050600004</v>
      </c>
      <c r="H103" s="44">
        <f t="shared" si="41"/>
        <v>276372.14025300002</v>
      </c>
      <c r="I103" s="44">
        <v>585614.43457000004</v>
      </c>
      <c r="J103" s="44">
        <f t="shared" si="42"/>
        <v>292807.21728500002</v>
      </c>
      <c r="K103" s="44">
        <v>660833.55361199996</v>
      </c>
      <c r="L103" s="44">
        <f t="shared" si="43"/>
        <v>330416.77680599998</v>
      </c>
      <c r="M103" s="44"/>
      <c r="N103" s="44">
        <f t="shared" si="66"/>
        <v>702545.49125821481</v>
      </c>
      <c r="O103" s="38"/>
      <c r="P103" s="10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3">
        <f t="shared" si="75"/>
        <v>386.44000000000005</v>
      </c>
      <c r="CQ103" s="45">
        <f t="shared" si="70"/>
        <v>436.44000000000005</v>
      </c>
      <c r="CR103" s="45">
        <f t="shared" si="71"/>
        <v>336.44000000000005</v>
      </c>
      <c r="CS103" s="45">
        <f t="shared" si="77"/>
        <v>486.44000000000005</v>
      </c>
      <c r="CT103" s="45">
        <f t="shared" si="78"/>
        <v>286.44000000000005</v>
      </c>
      <c r="CU103" s="33">
        <f t="shared" si="76"/>
        <v>475.47500000000002</v>
      </c>
    </row>
    <row r="104" spans="1:99" ht="16" x14ac:dyDescent="0.4">
      <c r="A104" s="18">
        <v>2065</v>
      </c>
      <c r="B104" s="14">
        <v>50431968.111927852</v>
      </c>
      <c r="C104" s="44">
        <v>15269196.808126001</v>
      </c>
      <c r="D104" s="44">
        <f t="shared" si="50"/>
        <v>587276.80031253851</v>
      </c>
      <c r="E104" s="44">
        <f t="shared" si="40"/>
        <v>293638.40015626926</v>
      </c>
      <c r="F104" s="44">
        <f t="shared" si="74"/>
        <v>440457.60023440386</v>
      </c>
      <c r="G104" s="44">
        <v>559645.17728099995</v>
      </c>
      <c r="H104" s="44">
        <f t="shared" si="41"/>
        <v>279822.58864049998</v>
      </c>
      <c r="I104" s="44">
        <v>585495.56062600005</v>
      </c>
      <c r="J104" s="44">
        <f t="shared" si="42"/>
        <v>292747.78031300002</v>
      </c>
      <c r="K104" s="44">
        <v>668111.38271399995</v>
      </c>
      <c r="L104" s="44">
        <f t="shared" si="43"/>
        <v>334055.69135699997</v>
      </c>
      <c r="M104" s="44"/>
      <c r="N104" s="44">
        <f t="shared" si="66"/>
        <v>723621.85599596123</v>
      </c>
      <c r="O104" s="38"/>
      <c r="P104" s="10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3">
        <f t="shared" si="75"/>
        <v>382.76</v>
      </c>
      <c r="CQ104" s="45">
        <f t="shared" si="70"/>
        <v>432.76</v>
      </c>
      <c r="CR104" s="45">
        <f t="shared" si="71"/>
        <v>332.76</v>
      </c>
      <c r="CS104" s="45">
        <f t="shared" si="77"/>
        <v>482.76</v>
      </c>
      <c r="CT104" s="45">
        <f t="shared" si="78"/>
        <v>282.76</v>
      </c>
      <c r="CU104" s="33">
        <f t="shared" si="76"/>
        <v>475.9</v>
      </c>
    </row>
    <row r="105" spans="1:99" ht="16" x14ac:dyDescent="0.4">
      <c r="A105" s="18">
        <v>2066</v>
      </c>
      <c r="B105" s="14">
        <v>50467212.829404324</v>
      </c>
      <c r="C105" s="44">
        <v>15291475.850505002</v>
      </c>
      <c r="D105" s="44">
        <f t="shared" si="50"/>
        <v>588133.68655788468</v>
      </c>
      <c r="E105" s="44">
        <f t="shared" si="40"/>
        <v>294066.84327894234</v>
      </c>
      <c r="F105" s="44">
        <f t="shared" si="74"/>
        <v>441100.26491841348</v>
      </c>
      <c r="G105" s="44">
        <v>566149.76716499997</v>
      </c>
      <c r="H105" s="44">
        <f t="shared" si="41"/>
        <v>283074.88358249998</v>
      </c>
      <c r="I105" s="44">
        <v>586171.34084399999</v>
      </c>
      <c r="J105" s="44">
        <f t="shared" si="42"/>
        <v>293085.670422</v>
      </c>
      <c r="K105" s="44">
        <v>665830.42997599998</v>
      </c>
      <c r="L105" s="44">
        <f t="shared" si="43"/>
        <v>332915.21498799999</v>
      </c>
      <c r="M105" s="44"/>
      <c r="N105" s="44">
        <f t="shared" si="66"/>
        <v>745330.51167584013</v>
      </c>
      <c r="O105" s="38"/>
      <c r="P105" s="10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3">
        <f t="shared" si="75"/>
        <v>378.96000000000004</v>
      </c>
      <c r="CQ105" s="45">
        <f t="shared" si="70"/>
        <v>428.96000000000004</v>
      </c>
      <c r="CR105" s="45">
        <f t="shared" si="71"/>
        <v>328.96000000000004</v>
      </c>
      <c r="CS105" s="45">
        <f t="shared" si="77"/>
        <v>478.96000000000004</v>
      </c>
      <c r="CT105" s="45">
        <f t="shared" si="78"/>
        <v>278.96000000000004</v>
      </c>
      <c r="CU105" s="33">
        <f t="shared" si="76"/>
        <v>476.27499999999998</v>
      </c>
    </row>
    <row r="106" spans="1:99" ht="16" x14ac:dyDescent="0.4">
      <c r="A106" s="18">
        <v>2067</v>
      </c>
      <c r="B106" s="14">
        <v>50509906.803743988</v>
      </c>
      <c r="C106" s="44">
        <v>15321136.472655</v>
      </c>
      <c r="D106" s="44">
        <f t="shared" ref="D106:D109" si="79">C106/26</f>
        <v>589274.47971750004</v>
      </c>
      <c r="E106" s="44">
        <f t="shared" ref="E106:E109" si="80">D106/2</f>
        <v>294637.23985875002</v>
      </c>
      <c r="F106" s="44">
        <f t="shared" si="74"/>
        <v>441955.85978812503</v>
      </c>
      <c r="G106" s="44">
        <v>572749.20403999998</v>
      </c>
      <c r="H106" s="44">
        <f t="shared" ref="H106:H109" si="81">G106/2</f>
        <v>286374.60201999999</v>
      </c>
      <c r="I106" s="44">
        <v>587641.95743900002</v>
      </c>
      <c r="J106" s="44">
        <f t="shared" ref="J106:J109" si="82">I106/2</f>
        <v>293820.97871950001</v>
      </c>
      <c r="K106" s="44">
        <v>660813.28320900002</v>
      </c>
      <c r="L106" s="44">
        <f t="shared" ref="L106:L109" si="83">K106/2</f>
        <v>330406.64160450001</v>
      </c>
      <c r="M106" s="44"/>
      <c r="N106" s="44">
        <f t="shared" si="66"/>
        <v>767690.42702611536</v>
      </c>
      <c r="O106" s="38"/>
      <c r="P106" s="10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3">
        <f t="shared" si="75"/>
        <v>375.04000000000008</v>
      </c>
      <c r="CQ106" s="45">
        <f t="shared" si="70"/>
        <v>425.04000000000008</v>
      </c>
      <c r="CR106" s="45">
        <f t="shared" si="71"/>
        <v>325.04000000000008</v>
      </c>
      <c r="CS106" s="45">
        <f t="shared" si="77"/>
        <v>475.04000000000008</v>
      </c>
      <c r="CT106" s="45">
        <f t="shared" si="78"/>
        <v>275.04000000000008</v>
      </c>
      <c r="CU106" s="33">
        <f t="shared" si="76"/>
        <v>476.59999999999997</v>
      </c>
    </row>
    <row r="107" spans="1:99" ht="16" x14ac:dyDescent="0.4">
      <c r="A107" s="18">
        <v>2068</v>
      </c>
      <c r="B107" s="14">
        <v>50560885.739680126</v>
      </c>
      <c r="C107" s="44">
        <v>15360029.999605</v>
      </c>
      <c r="D107" s="44">
        <f t="shared" si="79"/>
        <v>590770.38460019231</v>
      </c>
      <c r="E107" s="44">
        <f t="shared" si="80"/>
        <v>295385.19230009615</v>
      </c>
      <c r="F107" s="44">
        <f t="shared" si="74"/>
        <v>443077.78845014423</v>
      </c>
      <c r="G107" s="44">
        <v>579244.57840500004</v>
      </c>
      <c r="H107" s="44">
        <f t="shared" si="81"/>
        <v>289622.28920250002</v>
      </c>
      <c r="I107" s="44">
        <v>589915.11751200003</v>
      </c>
      <c r="J107" s="44">
        <f t="shared" si="82"/>
        <v>294957.55875600001</v>
      </c>
      <c r="K107" s="44">
        <v>647299.58405900002</v>
      </c>
      <c r="L107" s="44">
        <f t="shared" si="83"/>
        <v>323649.79202950001</v>
      </c>
      <c r="M107" s="44"/>
      <c r="N107" s="44">
        <f t="shared" si="66"/>
        <v>790721.13983689889</v>
      </c>
      <c r="O107" s="38"/>
      <c r="P107" s="10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3">
        <f t="shared" si="75"/>
        <v>371</v>
      </c>
      <c r="CQ107" s="45">
        <f t="shared" si="70"/>
        <v>421</v>
      </c>
      <c r="CR107" s="45">
        <f t="shared" si="71"/>
        <v>321</v>
      </c>
      <c r="CS107" s="45">
        <f t="shared" si="77"/>
        <v>471</v>
      </c>
      <c r="CT107" s="45">
        <f t="shared" si="78"/>
        <v>271</v>
      </c>
      <c r="CU107" s="33">
        <f t="shared" si="76"/>
        <v>476.875</v>
      </c>
    </row>
    <row r="108" spans="1:99" ht="16" x14ac:dyDescent="0.4">
      <c r="A108" s="18">
        <v>2069</v>
      </c>
      <c r="B108" s="14">
        <v>50621035.150276914</v>
      </c>
      <c r="C108" s="44">
        <v>15415713.370708</v>
      </c>
      <c r="D108" s="44">
        <f t="shared" si="79"/>
        <v>592912.05271953845</v>
      </c>
      <c r="E108" s="44">
        <f t="shared" si="80"/>
        <v>296456.02635976922</v>
      </c>
      <c r="F108" s="44">
        <f t="shared" si="74"/>
        <v>444684.03953965381</v>
      </c>
      <c r="G108" s="44">
        <v>585443.35030000005</v>
      </c>
      <c r="H108" s="44">
        <f t="shared" si="81"/>
        <v>292721.67515000002</v>
      </c>
      <c r="I108" s="44">
        <v>592964.33088200004</v>
      </c>
      <c r="J108" s="44">
        <f t="shared" si="82"/>
        <v>296482.16544100002</v>
      </c>
      <c r="K108" s="44">
        <v>631249.16354600003</v>
      </c>
      <c r="L108" s="44">
        <f t="shared" si="83"/>
        <v>315624.58177300001</v>
      </c>
      <c r="M108" s="44"/>
      <c r="N108" s="44">
        <f t="shared" si="66"/>
        <v>814442.77403200592</v>
      </c>
      <c r="O108" s="38"/>
      <c r="P108" s="10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3">
        <f t="shared" si="75"/>
        <v>366.84000000000003</v>
      </c>
      <c r="CQ108" s="45">
        <f t="shared" si="70"/>
        <v>416.84000000000003</v>
      </c>
      <c r="CR108" s="45">
        <f t="shared" si="71"/>
        <v>316.84000000000003</v>
      </c>
      <c r="CS108" s="45">
        <f t="shared" si="77"/>
        <v>466.84000000000003</v>
      </c>
      <c r="CT108" s="45">
        <f t="shared" si="78"/>
        <v>266.84000000000003</v>
      </c>
      <c r="CU108" s="33">
        <f t="shared" si="76"/>
        <v>477.09999999999997</v>
      </c>
    </row>
    <row r="109" spans="1:99" ht="16" x14ac:dyDescent="0.4">
      <c r="A109" s="18">
        <v>2070</v>
      </c>
      <c r="B109" s="14">
        <v>50690990.215817258</v>
      </c>
      <c r="C109" s="44">
        <v>15489799.994334999</v>
      </c>
      <c r="D109" s="44">
        <f t="shared" si="79"/>
        <v>595761.53824365383</v>
      </c>
      <c r="E109" s="44">
        <f t="shared" si="80"/>
        <v>297880.76912182692</v>
      </c>
      <c r="F109" s="44">
        <f t="shared" si="74"/>
        <v>446821.15368274041</v>
      </c>
      <c r="G109" s="44">
        <v>591170.35224299994</v>
      </c>
      <c r="H109" s="44">
        <f t="shared" si="81"/>
        <v>295585.17612149997</v>
      </c>
      <c r="I109" s="44">
        <v>596784.95242700004</v>
      </c>
      <c r="J109" s="44">
        <f t="shared" si="82"/>
        <v>298392.47621350002</v>
      </c>
      <c r="K109" s="44">
        <v>621442.19025300001</v>
      </c>
      <c r="L109" s="44">
        <f t="shared" si="83"/>
        <v>310721.0951265</v>
      </c>
      <c r="M109" s="44"/>
      <c r="N109" s="44">
        <f t="shared" si="66"/>
        <v>838876.0572529661</v>
      </c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3">
        <f t="shared" si="75"/>
        <v>362.56000000000006</v>
      </c>
      <c r="CQ109" s="45">
        <f t="shared" si="70"/>
        <v>412.56000000000006</v>
      </c>
      <c r="CR109" s="45">
        <f t="shared" si="71"/>
        <v>312.56000000000006</v>
      </c>
      <c r="CS109" s="45">
        <f t="shared" si="77"/>
        <v>462.56000000000006</v>
      </c>
      <c r="CT109" s="45">
        <f t="shared" si="78"/>
        <v>262.56000000000006</v>
      </c>
      <c r="CU109" s="33">
        <f t="shared" si="76"/>
        <v>477.27499999999998</v>
      </c>
    </row>
  </sheetData>
  <sortState xmlns:xlrd2="http://schemas.microsoft.com/office/spreadsheetml/2017/richdata2" ref="CE52:CF73">
    <sortCondition descending="1" ref="CF52:CF73"/>
  </sortState>
  <phoneticPr fontId="3" type="noConversion"/>
  <hyperlinks>
    <hyperlink ref="C2" r:id="rId1" display="25-50" xr:uid="{BAFA41ED-54D9-40C6-ADCA-EC55F0F246E1}"/>
    <hyperlink ref="B2" r:id="rId2" xr:uid="{8E037B12-3BC0-4DEE-A674-698FE1A7F4B9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937A-1E0F-4ADF-B1DF-65595A6CD4E4}">
  <dimension ref="A1:S65"/>
  <sheetViews>
    <sheetView zoomScale="93" zoomScaleNormal="93" workbookViewId="0">
      <selection activeCell="P8" sqref="P8"/>
    </sheetView>
  </sheetViews>
  <sheetFormatPr defaultRowHeight="14.5" x14ac:dyDescent="0.35"/>
  <cols>
    <col min="1" max="1" width="10.90625" style="67" customWidth="1"/>
    <col min="3" max="3" width="11.54296875" customWidth="1"/>
    <col min="4" max="4" width="17.08984375" customWidth="1"/>
    <col min="5" max="5" width="13.54296875" customWidth="1"/>
    <col min="6" max="6" width="12.36328125" customWidth="1"/>
    <col min="7" max="7" width="9" customWidth="1"/>
    <col min="8" max="8" width="11.81640625" customWidth="1"/>
    <col min="15" max="15" width="28.453125" customWidth="1"/>
    <col min="16" max="16" width="25" customWidth="1"/>
    <col min="17" max="18" width="8.7265625" customWidth="1"/>
  </cols>
  <sheetData>
    <row r="1" spans="1:16" ht="37" customHeight="1" x14ac:dyDescent="0.4">
      <c r="A1" s="61" t="s">
        <v>169</v>
      </c>
      <c r="B1" s="60" t="s">
        <v>147</v>
      </c>
      <c r="C1" s="61" t="s">
        <v>135</v>
      </c>
      <c r="D1" s="61" t="s">
        <v>170</v>
      </c>
      <c r="E1" s="61" t="s">
        <v>171</v>
      </c>
      <c r="F1" s="59" t="s">
        <v>148</v>
      </c>
      <c r="G1" s="59" t="s">
        <v>149</v>
      </c>
      <c r="H1" s="61" t="s">
        <v>150</v>
      </c>
      <c r="I1" s="63" t="s">
        <v>172</v>
      </c>
      <c r="J1" s="63" t="s">
        <v>173</v>
      </c>
      <c r="K1" s="63" t="s">
        <v>174</v>
      </c>
      <c r="L1" s="64" t="s">
        <v>175</v>
      </c>
      <c r="M1" s="64" t="s">
        <v>176</v>
      </c>
      <c r="N1" s="64" t="s">
        <v>177</v>
      </c>
      <c r="O1" s="102" t="s">
        <v>151</v>
      </c>
      <c r="P1" s="103"/>
    </row>
    <row r="2" spans="1:16" ht="16" x14ac:dyDescent="0.4">
      <c r="A2" s="65" t="s">
        <v>52</v>
      </c>
      <c r="B2" s="5">
        <v>145.935</v>
      </c>
      <c r="C2" s="6">
        <v>8.42</v>
      </c>
      <c r="D2" s="5">
        <f>AVERAGE(I2:K2)</f>
        <v>1995.6666666666667</v>
      </c>
      <c r="E2" s="5">
        <f>AVERAGE(L2:N2)</f>
        <v>1756</v>
      </c>
      <c r="F2" s="5">
        <v>230023</v>
      </c>
      <c r="G2" s="5">
        <f t="shared" ref="G2:G33" si="0">ABS(((E2*100/D2)-100)*-1)</f>
        <v>12.009353599465513</v>
      </c>
      <c r="H2" s="5">
        <f>D2</f>
        <v>1995.6666666666667</v>
      </c>
      <c r="I2" s="57">
        <v>1980</v>
      </c>
      <c r="J2" s="57">
        <v>1984</v>
      </c>
      <c r="K2" s="58">
        <v>2023</v>
      </c>
      <c r="L2" s="55">
        <v>1756</v>
      </c>
      <c r="M2" s="55">
        <v>1756</v>
      </c>
      <c r="N2" s="55">
        <v>1756</v>
      </c>
      <c r="O2" s="3" t="s">
        <v>66</v>
      </c>
      <c r="P2" s="8">
        <v>855700</v>
      </c>
    </row>
    <row r="3" spans="1:16" ht="16" x14ac:dyDescent="0.4">
      <c r="A3" s="66" t="s">
        <v>51</v>
      </c>
      <c r="B3" s="5">
        <v>150.10300000000001</v>
      </c>
      <c r="C3" s="6">
        <v>7.93</v>
      </c>
      <c r="D3" s="5">
        <f t="shared" ref="D3:D62" si="1">AVERAGE(I3:K3)</f>
        <v>2037.3333333333333</v>
      </c>
      <c r="E3" s="5">
        <f t="shared" ref="E3:E62" si="2">AVERAGE(L3:N3)</f>
        <v>1810.0966666666666</v>
      </c>
      <c r="F3" s="5">
        <v>202585</v>
      </c>
      <c r="G3" s="5">
        <f t="shared" si="0"/>
        <v>11.153632198952877</v>
      </c>
      <c r="H3" s="5">
        <f t="shared" ref="H3:H34" si="3">D3+(E3-E2)</f>
        <v>2091.4299999999998</v>
      </c>
      <c r="I3" s="57">
        <v>2015</v>
      </c>
      <c r="J3" s="57">
        <v>2044</v>
      </c>
      <c r="K3" s="58">
        <v>2053</v>
      </c>
      <c r="L3" s="62">
        <v>1773.54</v>
      </c>
      <c r="M3" s="62">
        <v>1806.79</v>
      </c>
      <c r="N3" s="56">
        <v>1849.96</v>
      </c>
      <c r="O3" s="3" t="s">
        <v>65</v>
      </c>
      <c r="P3" s="8">
        <v>572400</v>
      </c>
    </row>
    <row r="4" spans="1:16" ht="16" x14ac:dyDescent="0.4">
      <c r="A4" s="66" t="s">
        <v>50</v>
      </c>
      <c r="B4" s="5">
        <v>151.71899999999999</v>
      </c>
      <c r="C4" s="6">
        <v>8.01</v>
      </c>
      <c r="D4" s="5">
        <f t="shared" si="1"/>
        <v>2031</v>
      </c>
      <c r="E4" s="5">
        <f t="shared" si="2"/>
        <v>1782.9466666666667</v>
      </c>
      <c r="F4" s="5">
        <v>184326</v>
      </c>
      <c r="G4" s="5">
        <f t="shared" si="0"/>
        <v>12.213359592975536</v>
      </c>
      <c r="H4" s="5">
        <f t="shared" si="3"/>
        <v>2003.8500000000001</v>
      </c>
      <c r="I4" s="57">
        <v>2045</v>
      </c>
      <c r="J4" s="57">
        <v>2026</v>
      </c>
      <c r="K4" s="58">
        <v>2022</v>
      </c>
      <c r="L4" s="62">
        <v>1886.68</v>
      </c>
      <c r="M4" s="62">
        <v>1661.57</v>
      </c>
      <c r="N4" s="56">
        <v>1800.59</v>
      </c>
      <c r="O4" s="3" t="s">
        <v>64</v>
      </c>
      <c r="P4" s="8">
        <v>1766500</v>
      </c>
    </row>
    <row r="5" spans="1:16" ht="16" x14ac:dyDescent="0.4">
      <c r="A5" s="66" t="s">
        <v>49</v>
      </c>
      <c r="B5" s="5">
        <v>150.63999999999999</v>
      </c>
      <c r="C5" s="6">
        <v>8.57</v>
      </c>
      <c r="D5" s="5">
        <f t="shared" si="1"/>
        <v>2036</v>
      </c>
      <c r="E5" s="5">
        <f t="shared" si="2"/>
        <v>1812.3799999999999</v>
      </c>
      <c r="F5" s="5">
        <v>158366</v>
      </c>
      <c r="G5" s="5">
        <f t="shared" si="0"/>
        <v>10.983300589390964</v>
      </c>
      <c r="H5" s="5">
        <f t="shared" si="3"/>
        <v>2065.4333333333334</v>
      </c>
      <c r="I5" s="57">
        <v>2039</v>
      </c>
      <c r="J5" s="57">
        <v>2046</v>
      </c>
      <c r="K5" s="58">
        <v>2023</v>
      </c>
      <c r="L5" s="62">
        <v>1784.15</v>
      </c>
      <c r="M5" s="62">
        <v>1800.89</v>
      </c>
      <c r="N5" s="62">
        <v>1852.1</v>
      </c>
      <c r="O5" s="3" t="s">
        <v>63</v>
      </c>
      <c r="P5" s="8">
        <v>6459300</v>
      </c>
    </row>
    <row r="6" spans="1:16" ht="16" x14ac:dyDescent="0.4">
      <c r="A6" s="66" t="s">
        <v>48</v>
      </c>
      <c r="B6" s="5">
        <v>150.08199999999999</v>
      </c>
      <c r="C6" s="6">
        <v>9.6</v>
      </c>
      <c r="D6" s="5">
        <f t="shared" si="1"/>
        <v>2013</v>
      </c>
      <c r="E6" s="5">
        <f t="shared" si="2"/>
        <v>1779.1966666666667</v>
      </c>
      <c r="F6" s="5">
        <v>162267</v>
      </c>
      <c r="G6" s="5">
        <f t="shared" si="0"/>
        <v>11.614671303195877</v>
      </c>
      <c r="H6" s="5">
        <f t="shared" si="3"/>
        <v>1979.8166666666668</v>
      </c>
      <c r="I6" s="57">
        <v>2011</v>
      </c>
      <c r="J6" s="57">
        <v>2009</v>
      </c>
      <c r="K6" s="58">
        <v>2019</v>
      </c>
      <c r="L6" s="62">
        <v>1790.49</v>
      </c>
      <c r="M6" s="62">
        <v>1758.3</v>
      </c>
      <c r="N6" s="62">
        <v>1788.8</v>
      </c>
      <c r="O6" s="3" t="s">
        <v>62</v>
      </c>
      <c r="P6" s="8">
        <v>5642500</v>
      </c>
    </row>
    <row r="7" spans="1:16" ht="16" x14ac:dyDescent="0.4">
      <c r="A7" s="66" t="s">
        <v>47</v>
      </c>
      <c r="B7" s="5">
        <v>149.61799999999999</v>
      </c>
      <c r="C7" s="6">
        <v>10.36</v>
      </c>
      <c r="D7" s="5">
        <f t="shared" si="1"/>
        <v>2014.6666666666667</v>
      </c>
      <c r="E7" s="5">
        <f t="shared" si="2"/>
        <v>1788.04</v>
      </c>
      <c r="F7" s="5">
        <v>150981</v>
      </c>
      <c r="G7" s="5">
        <f t="shared" si="0"/>
        <v>11.248841826604902</v>
      </c>
      <c r="H7" s="5">
        <f t="shared" si="3"/>
        <v>2023.51</v>
      </c>
      <c r="I7" s="57">
        <v>2023</v>
      </c>
      <c r="J7" s="57">
        <v>2013</v>
      </c>
      <c r="K7" s="58">
        <v>2008</v>
      </c>
      <c r="L7" s="62">
        <v>1791.67</v>
      </c>
      <c r="M7" s="62">
        <v>1765.94</v>
      </c>
      <c r="N7" s="62">
        <v>1806.51</v>
      </c>
      <c r="O7" s="3" t="s">
        <v>61</v>
      </c>
      <c r="P7" s="8">
        <v>4913300</v>
      </c>
    </row>
    <row r="8" spans="1:16" ht="16" x14ac:dyDescent="0.4">
      <c r="A8" s="66" t="s">
        <v>46</v>
      </c>
      <c r="B8" s="5">
        <v>147.13399999999999</v>
      </c>
      <c r="C8" s="6">
        <v>11.23</v>
      </c>
      <c r="D8" s="5">
        <f t="shared" si="1"/>
        <v>1959.3333333333333</v>
      </c>
      <c r="E8" s="5">
        <f t="shared" si="2"/>
        <v>1730.74</v>
      </c>
      <c r="F8" s="5">
        <v>128773</v>
      </c>
      <c r="G8" s="5">
        <f t="shared" si="0"/>
        <v>11.666893501190884</v>
      </c>
      <c r="H8" s="5">
        <f t="shared" si="3"/>
        <v>1902.0333333333333</v>
      </c>
      <c r="I8" s="57">
        <v>1979</v>
      </c>
      <c r="J8" s="57">
        <v>1953</v>
      </c>
      <c r="K8" s="58">
        <v>1946</v>
      </c>
      <c r="L8" s="62">
        <v>1799.46</v>
      </c>
      <c r="M8" s="62">
        <v>1648.27</v>
      </c>
      <c r="N8" s="62">
        <v>1744.49</v>
      </c>
      <c r="O8" s="3" t="s">
        <v>76</v>
      </c>
      <c r="P8" s="75">
        <f>AVERAGE(Yearly!BD60)*20</f>
        <v>1885000</v>
      </c>
    </row>
    <row r="9" spans="1:16" ht="16" x14ac:dyDescent="0.4">
      <c r="A9" s="66" t="s">
        <v>45</v>
      </c>
      <c r="B9" s="5">
        <v>142.511</v>
      </c>
      <c r="C9" s="6">
        <v>13.79</v>
      </c>
      <c r="D9" s="5">
        <f t="shared" si="1"/>
        <v>1934</v>
      </c>
      <c r="E9" s="5">
        <f t="shared" si="2"/>
        <v>1736.1933333333334</v>
      </c>
      <c r="F9" s="5">
        <v>110059</v>
      </c>
      <c r="G9" s="5">
        <f t="shared" si="0"/>
        <v>10.22785246466735</v>
      </c>
      <c r="H9" s="5">
        <f t="shared" si="3"/>
        <v>1939.4533333333334</v>
      </c>
      <c r="I9" s="57">
        <v>1938</v>
      </c>
      <c r="J9" s="57">
        <v>1943</v>
      </c>
      <c r="K9" s="58">
        <v>1921</v>
      </c>
      <c r="L9" s="62">
        <v>1765.74</v>
      </c>
      <c r="M9" s="62">
        <v>1687.57</v>
      </c>
      <c r="N9" s="62">
        <v>1755.27</v>
      </c>
      <c r="O9" s="3" t="s">
        <v>152</v>
      </c>
      <c r="P9" s="8">
        <f>SUM(P2:P8)</f>
        <v>22094700</v>
      </c>
    </row>
    <row r="10" spans="1:16" ht="16" x14ac:dyDescent="0.4">
      <c r="A10" s="66" t="s">
        <v>44</v>
      </c>
      <c r="B10" s="5">
        <v>138.69300000000001</v>
      </c>
      <c r="C10" s="6">
        <v>17.239999999999998</v>
      </c>
      <c r="D10" s="5">
        <f t="shared" si="1"/>
        <v>1922</v>
      </c>
      <c r="E10" s="5">
        <f t="shared" si="2"/>
        <v>1695.5100000000002</v>
      </c>
      <c r="F10" s="5">
        <v>106523</v>
      </c>
      <c r="G10" s="5">
        <f t="shared" si="0"/>
        <v>11.784079084287185</v>
      </c>
      <c r="H10" s="5">
        <f t="shared" si="3"/>
        <v>1881.3166666666668</v>
      </c>
      <c r="I10" s="57">
        <v>1921</v>
      </c>
      <c r="J10" s="57">
        <v>1918</v>
      </c>
      <c r="K10" s="58">
        <v>1927</v>
      </c>
      <c r="L10" s="62">
        <v>1708.89</v>
      </c>
      <c r="M10" s="62">
        <v>1677.76</v>
      </c>
      <c r="N10" s="62">
        <v>1699.88</v>
      </c>
      <c r="O10" s="2"/>
      <c r="P10" s="2"/>
    </row>
    <row r="11" spans="1:16" ht="16" x14ac:dyDescent="0.4">
      <c r="A11" s="66" t="s">
        <v>43</v>
      </c>
      <c r="B11" s="5">
        <v>138.08199999999999</v>
      </c>
      <c r="C11" s="6">
        <v>17.77</v>
      </c>
      <c r="D11" s="5">
        <f t="shared" si="1"/>
        <v>1911.6666666666667</v>
      </c>
      <c r="E11" s="5">
        <f t="shared" si="2"/>
        <v>1700.39</v>
      </c>
      <c r="F11" s="5">
        <v>97788</v>
      </c>
      <c r="G11" s="5">
        <f t="shared" si="0"/>
        <v>11.051961639058419</v>
      </c>
      <c r="H11" s="5">
        <f t="shared" si="3"/>
        <v>1916.5466666666666</v>
      </c>
      <c r="I11" s="57">
        <v>1921</v>
      </c>
      <c r="J11" s="57">
        <v>1913</v>
      </c>
      <c r="K11" s="58">
        <v>1901</v>
      </c>
      <c r="L11" s="62">
        <v>1698.65</v>
      </c>
      <c r="M11" s="62">
        <v>1698.04</v>
      </c>
      <c r="N11" s="62">
        <v>1704.48</v>
      </c>
    </row>
    <row r="12" spans="1:16" ht="16" x14ac:dyDescent="0.4">
      <c r="A12" s="66" t="s">
        <v>42</v>
      </c>
      <c r="B12" s="5">
        <v>136.845</v>
      </c>
      <c r="C12" s="6">
        <v>17.75</v>
      </c>
      <c r="D12" s="5">
        <f t="shared" si="1"/>
        <v>1886</v>
      </c>
      <c r="E12" s="5">
        <f t="shared" si="2"/>
        <v>1666.6266666666668</v>
      </c>
      <c r="F12" s="5">
        <v>109084</v>
      </c>
      <c r="G12" s="5">
        <f t="shared" si="0"/>
        <v>11.631671968893585</v>
      </c>
      <c r="H12" s="5">
        <f t="shared" si="3"/>
        <v>1852.2366666666667</v>
      </c>
      <c r="I12" s="57">
        <v>1897</v>
      </c>
      <c r="J12" s="57">
        <v>1883</v>
      </c>
      <c r="K12" s="58">
        <v>1878</v>
      </c>
      <c r="L12" s="62">
        <v>1719.54</v>
      </c>
      <c r="M12" s="62">
        <v>1570.93</v>
      </c>
      <c r="N12" s="62">
        <v>1709.41</v>
      </c>
      <c r="O12" s="53"/>
      <c r="P12" s="53"/>
    </row>
    <row r="13" spans="1:16" ht="16" x14ac:dyDescent="0.4">
      <c r="A13" s="66" t="s">
        <v>41</v>
      </c>
      <c r="B13" s="5">
        <v>136.31299999999999</v>
      </c>
      <c r="C13" s="6">
        <v>18.66</v>
      </c>
      <c r="D13" s="5">
        <f t="shared" si="1"/>
        <v>1876.6666666666667</v>
      </c>
      <c r="E13" s="5">
        <f t="shared" si="2"/>
        <v>1687.4466666666667</v>
      </c>
      <c r="F13" s="5">
        <v>99998</v>
      </c>
      <c r="G13" s="5">
        <f t="shared" si="0"/>
        <v>10.08277087033747</v>
      </c>
      <c r="H13" s="5">
        <f t="shared" si="3"/>
        <v>1897.4866666666667</v>
      </c>
      <c r="I13" s="57">
        <v>1878</v>
      </c>
      <c r="J13" s="57">
        <v>1879</v>
      </c>
      <c r="K13" s="58">
        <v>1873</v>
      </c>
      <c r="L13" s="62">
        <v>1654.49</v>
      </c>
      <c r="M13" s="62">
        <v>1674.7</v>
      </c>
      <c r="N13" s="62">
        <v>1733.15</v>
      </c>
    </row>
    <row r="14" spans="1:16" ht="16" x14ac:dyDescent="0.4">
      <c r="A14" s="66" t="s">
        <v>40</v>
      </c>
      <c r="B14" s="5">
        <v>134.626</v>
      </c>
      <c r="C14" s="6">
        <v>19.84</v>
      </c>
      <c r="D14" s="5">
        <f t="shared" si="1"/>
        <v>1877.3333333333333</v>
      </c>
      <c r="E14" s="5">
        <f t="shared" si="2"/>
        <v>1685.6233333333332</v>
      </c>
      <c r="F14" s="5">
        <v>116483</v>
      </c>
      <c r="G14" s="5">
        <f t="shared" si="0"/>
        <v>10.211825284090921</v>
      </c>
      <c r="H14" s="5">
        <f t="shared" si="3"/>
        <v>1875.5099999999998</v>
      </c>
      <c r="I14" s="57">
        <v>1873</v>
      </c>
      <c r="J14" s="57">
        <v>1871</v>
      </c>
      <c r="K14" s="58">
        <v>1888</v>
      </c>
      <c r="L14" s="62">
        <v>1701.22</v>
      </c>
      <c r="M14" s="62">
        <v>1687.45</v>
      </c>
      <c r="N14" s="62">
        <v>1668.2</v>
      </c>
    </row>
    <row r="15" spans="1:16" ht="16" x14ac:dyDescent="0.4">
      <c r="A15" s="66" t="s">
        <v>39</v>
      </c>
      <c r="B15" s="5">
        <v>136.79</v>
      </c>
      <c r="C15" s="6">
        <v>19.89</v>
      </c>
      <c r="D15" s="5">
        <f t="shared" si="1"/>
        <v>1905.6666666666667</v>
      </c>
      <c r="E15" s="5">
        <f t="shared" si="2"/>
        <v>1701.6766666666665</v>
      </c>
      <c r="F15" s="5">
        <v>109139</v>
      </c>
      <c r="G15" s="5">
        <f t="shared" si="0"/>
        <v>10.704390414553103</v>
      </c>
      <c r="H15" s="5">
        <f t="shared" si="3"/>
        <v>1921.72</v>
      </c>
      <c r="I15" s="57">
        <v>1898</v>
      </c>
      <c r="J15" s="57">
        <v>1909</v>
      </c>
      <c r="K15" s="58">
        <v>1910</v>
      </c>
      <c r="L15" s="62">
        <v>1678.72</v>
      </c>
      <c r="M15" s="62">
        <v>1675.8</v>
      </c>
      <c r="N15" s="62">
        <v>1750.51</v>
      </c>
    </row>
    <row r="16" spans="1:16" ht="16" x14ac:dyDescent="0.4">
      <c r="A16" s="66" t="s">
        <v>38</v>
      </c>
      <c r="B16" s="5">
        <v>133.846</v>
      </c>
      <c r="C16" s="6">
        <v>19.59</v>
      </c>
      <c r="D16" s="5">
        <f t="shared" si="1"/>
        <v>1927.3333333333333</v>
      </c>
      <c r="E16" s="5">
        <f t="shared" si="2"/>
        <v>1576.0966666666666</v>
      </c>
      <c r="F16" s="5">
        <v>123241</v>
      </c>
      <c r="G16" s="5">
        <f t="shared" si="0"/>
        <v>18.223970944309926</v>
      </c>
      <c r="H16" s="5">
        <f t="shared" si="3"/>
        <v>1801.7533333333333</v>
      </c>
      <c r="I16" s="57">
        <v>1931</v>
      </c>
      <c r="J16" s="57">
        <v>1924</v>
      </c>
      <c r="K16" s="58">
        <v>1927</v>
      </c>
      <c r="L16" s="62">
        <v>1636.3</v>
      </c>
      <c r="M16" s="62">
        <v>1484.71</v>
      </c>
      <c r="N16" s="62">
        <v>1607.28</v>
      </c>
    </row>
    <row r="17" spans="1:19" ht="16" x14ac:dyDescent="0.4">
      <c r="A17" s="66" t="s">
        <v>37</v>
      </c>
      <c r="B17" s="5">
        <v>133.71799999999999</v>
      </c>
      <c r="C17" s="6">
        <v>20.11</v>
      </c>
      <c r="D17" s="5">
        <f t="shared" si="1"/>
        <v>1955.3333333333333</v>
      </c>
      <c r="E17" s="5">
        <f t="shared" si="2"/>
        <v>1624.0633333333335</v>
      </c>
      <c r="F17" s="5">
        <v>90728</v>
      </c>
      <c r="G17" s="5">
        <f t="shared" si="0"/>
        <v>16.941868394135696</v>
      </c>
      <c r="H17" s="5">
        <f t="shared" si="3"/>
        <v>2003.3000000000002</v>
      </c>
      <c r="I17" s="57">
        <v>1943</v>
      </c>
      <c r="J17" s="57">
        <v>1960</v>
      </c>
      <c r="K17" s="58">
        <v>1963</v>
      </c>
      <c r="L17" s="62">
        <v>1606.9</v>
      </c>
      <c r="M17" s="62">
        <v>1607.69</v>
      </c>
      <c r="N17" s="62">
        <v>1657.6</v>
      </c>
    </row>
    <row r="18" spans="1:19" ht="16" x14ac:dyDescent="0.4">
      <c r="A18" s="66" t="s">
        <v>36</v>
      </c>
      <c r="B18" s="5">
        <v>129.059</v>
      </c>
      <c r="C18" s="6">
        <v>21.08</v>
      </c>
      <c r="D18" s="5">
        <f t="shared" si="1"/>
        <v>1970</v>
      </c>
      <c r="E18" s="5">
        <f t="shared" si="2"/>
        <v>1563.7700000000002</v>
      </c>
      <c r="F18" s="5">
        <v>122933</v>
      </c>
      <c r="G18" s="5">
        <f t="shared" si="0"/>
        <v>20.620812182741105</v>
      </c>
      <c r="H18" s="5">
        <f t="shared" si="3"/>
        <v>1909.7066666666667</v>
      </c>
      <c r="I18" s="57">
        <v>1963</v>
      </c>
      <c r="J18" s="57">
        <v>1963</v>
      </c>
      <c r="K18" s="58">
        <v>1984</v>
      </c>
      <c r="L18" s="62">
        <v>1589.82</v>
      </c>
      <c r="M18" s="62">
        <v>1515.44</v>
      </c>
      <c r="N18" s="62">
        <v>1586.05</v>
      </c>
    </row>
    <row r="19" spans="1:19" ht="16" x14ac:dyDescent="0.4">
      <c r="A19" s="66" t="s">
        <v>35</v>
      </c>
      <c r="B19" s="5">
        <v>127.52800000000001</v>
      </c>
      <c r="C19" s="6">
        <v>20.64</v>
      </c>
      <c r="D19" s="5">
        <f t="shared" si="1"/>
        <v>1983</v>
      </c>
      <c r="E19" s="5">
        <f t="shared" si="2"/>
        <v>1555.29</v>
      </c>
      <c r="F19" s="5">
        <v>83440</v>
      </c>
      <c r="G19" s="5">
        <f t="shared" si="0"/>
        <v>21.568835098335853</v>
      </c>
      <c r="H19" s="5">
        <f t="shared" si="3"/>
        <v>1974.5199999999998</v>
      </c>
      <c r="I19" s="57">
        <v>1983</v>
      </c>
      <c r="J19" s="57">
        <v>1984</v>
      </c>
      <c r="K19" s="58">
        <v>1982</v>
      </c>
      <c r="L19" s="62">
        <v>1602.62</v>
      </c>
      <c r="M19" s="62">
        <v>1522.65</v>
      </c>
      <c r="N19" s="62">
        <v>1540.6</v>
      </c>
    </row>
    <row r="20" spans="1:19" ht="16" x14ac:dyDescent="0.4">
      <c r="A20" s="66" t="s">
        <v>34</v>
      </c>
      <c r="B20" s="5">
        <v>123.94799999999999</v>
      </c>
      <c r="C20" s="6">
        <v>21.28</v>
      </c>
      <c r="D20" s="5">
        <f t="shared" si="1"/>
        <v>1961</v>
      </c>
      <c r="E20" s="5">
        <f t="shared" si="2"/>
        <v>1507.0066666666664</v>
      </c>
      <c r="F20" s="5">
        <v>80736</v>
      </c>
      <c r="G20" s="5">
        <f t="shared" si="0"/>
        <v>23.151113377528475</v>
      </c>
      <c r="H20" s="5">
        <f t="shared" si="3"/>
        <v>1912.7166666666665</v>
      </c>
      <c r="I20" s="57">
        <v>1976</v>
      </c>
      <c r="J20" s="57">
        <v>1965</v>
      </c>
      <c r="K20" s="58">
        <v>1942</v>
      </c>
      <c r="L20" s="62">
        <v>1575.97</v>
      </c>
      <c r="M20" s="62">
        <v>1444.06</v>
      </c>
      <c r="N20" s="62">
        <v>1500.99</v>
      </c>
    </row>
    <row r="21" spans="1:19" ht="16" x14ac:dyDescent="0.4">
      <c r="A21" s="66" t="s">
        <v>33</v>
      </c>
      <c r="B21" s="5">
        <v>118.782</v>
      </c>
      <c r="C21" s="6">
        <v>22.56</v>
      </c>
      <c r="D21" s="5">
        <f t="shared" si="1"/>
        <v>1929.3333333333333</v>
      </c>
      <c r="E21" s="5">
        <f t="shared" si="2"/>
        <v>1501.37</v>
      </c>
      <c r="F21" s="5">
        <v>72715</v>
      </c>
      <c r="G21" s="5">
        <f t="shared" si="0"/>
        <v>22.181928127159637</v>
      </c>
      <c r="H21" s="5">
        <f t="shared" si="3"/>
        <v>1923.6966666666667</v>
      </c>
      <c r="I21" s="57">
        <v>1940</v>
      </c>
      <c r="J21" s="57">
        <v>1935</v>
      </c>
      <c r="K21" s="58">
        <v>1913</v>
      </c>
      <c r="L21" s="62">
        <v>1432</v>
      </c>
      <c r="M21" s="62">
        <v>1453.04</v>
      </c>
      <c r="N21" s="62">
        <v>1619.07</v>
      </c>
    </row>
    <row r="22" spans="1:19" ht="16" x14ac:dyDescent="0.4">
      <c r="A22" s="66" t="s">
        <v>32</v>
      </c>
      <c r="B22" s="5">
        <v>112.861</v>
      </c>
      <c r="C22" s="6">
        <v>24.19</v>
      </c>
      <c r="D22" s="5">
        <f t="shared" si="1"/>
        <v>1879</v>
      </c>
      <c r="E22" s="5">
        <f t="shared" si="2"/>
        <v>1379.1233333333332</v>
      </c>
      <c r="F22" s="5">
        <v>88884</v>
      </c>
      <c r="G22" s="5">
        <f t="shared" si="0"/>
        <v>26.6033351073266</v>
      </c>
      <c r="H22" s="5">
        <f t="shared" si="3"/>
        <v>1756.7533333333333</v>
      </c>
      <c r="I22" s="57">
        <v>1902</v>
      </c>
      <c r="J22" s="57">
        <v>1877</v>
      </c>
      <c r="K22" s="58">
        <v>1858</v>
      </c>
      <c r="L22" s="62">
        <v>1349.22</v>
      </c>
      <c r="M22" s="62">
        <v>1431.61</v>
      </c>
      <c r="N22" s="62">
        <v>1356.54</v>
      </c>
    </row>
    <row r="23" spans="1:19" ht="16" x14ac:dyDescent="0.4">
      <c r="A23" s="66" t="s">
        <v>31</v>
      </c>
      <c r="B23" s="5">
        <v>109.187</v>
      </c>
      <c r="C23" s="6">
        <v>24.4</v>
      </c>
      <c r="D23" s="5">
        <f t="shared" si="1"/>
        <v>1830</v>
      </c>
      <c r="E23" s="5">
        <f t="shared" si="2"/>
        <v>1373.6200000000001</v>
      </c>
      <c r="F23" s="5">
        <v>73857</v>
      </c>
      <c r="G23" s="5">
        <f t="shared" si="0"/>
        <v>24.938797814207646</v>
      </c>
      <c r="H23" s="5">
        <f t="shared" si="3"/>
        <v>1824.4966666666669</v>
      </c>
      <c r="I23" s="57">
        <v>1846</v>
      </c>
      <c r="J23" s="57">
        <v>1828</v>
      </c>
      <c r="K23" s="58">
        <v>1816</v>
      </c>
      <c r="L23" s="62">
        <v>1363.87</v>
      </c>
      <c r="M23" s="62">
        <v>1343.72</v>
      </c>
      <c r="N23" s="62">
        <v>1413.27</v>
      </c>
    </row>
    <row r="24" spans="1:19" ht="16" x14ac:dyDescent="0.4">
      <c r="A24" s="66" t="s">
        <v>30</v>
      </c>
      <c r="B24" s="5">
        <v>105.07299999999999</v>
      </c>
      <c r="C24" s="6">
        <v>24.79</v>
      </c>
      <c r="D24" s="5">
        <f t="shared" si="1"/>
        <v>1770.3333333333333</v>
      </c>
      <c r="E24" s="5">
        <f t="shared" si="2"/>
        <v>1336.68</v>
      </c>
      <c r="F24" s="5">
        <v>80964</v>
      </c>
      <c r="G24" s="5">
        <f t="shared" si="0"/>
        <v>24.495575221238937</v>
      </c>
      <c r="H24" s="5">
        <f t="shared" si="3"/>
        <v>1733.3933333333332</v>
      </c>
      <c r="I24" s="57">
        <v>1800</v>
      </c>
      <c r="J24" s="57">
        <v>1771</v>
      </c>
      <c r="K24" s="58">
        <v>1740</v>
      </c>
      <c r="L24" s="62">
        <v>1437.51</v>
      </c>
      <c r="M24" s="62">
        <v>1210.53</v>
      </c>
      <c r="N24" s="62">
        <v>1362</v>
      </c>
    </row>
    <row r="25" spans="1:19" ht="16" x14ac:dyDescent="0.4">
      <c r="A25" s="66" t="s">
        <v>29</v>
      </c>
      <c r="B25" s="5">
        <v>103.593</v>
      </c>
      <c r="C25" s="6">
        <v>25.77</v>
      </c>
      <c r="D25" s="5">
        <f t="shared" si="1"/>
        <v>1729.3333333333333</v>
      </c>
      <c r="E25" s="5">
        <f t="shared" si="2"/>
        <v>1344.37</v>
      </c>
      <c r="F25" s="5">
        <v>74829</v>
      </c>
      <c r="G25" s="5">
        <f t="shared" si="0"/>
        <v>22.260794140323824</v>
      </c>
      <c r="H25" s="5">
        <f t="shared" si="3"/>
        <v>1737.0233333333331</v>
      </c>
      <c r="I25" s="57">
        <v>1742</v>
      </c>
      <c r="J25" s="57">
        <v>1734</v>
      </c>
      <c r="K25" s="58">
        <v>1712</v>
      </c>
      <c r="L25" s="62">
        <v>1345.8</v>
      </c>
      <c r="M25" s="62">
        <v>1298.78</v>
      </c>
      <c r="N25" s="62">
        <v>1388.53</v>
      </c>
    </row>
    <row r="26" spans="1:19" ht="16" x14ac:dyDescent="0.4">
      <c r="A26" s="66" t="s">
        <v>28</v>
      </c>
      <c r="B26" s="5">
        <v>96.768000000000001</v>
      </c>
      <c r="C26" s="6">
        <v>26.94</v>
      </c>
      <c r="D26" s="5">
        <f t="shared" si="1"/>
        <v>1681.6666666666667</v>
      </c>
      <c r="E26" s="5">
        <f t="shared" si="2"/>
        <v>1226.9333333333334</v>
      </c>
      <c r="F26" s="5">
        <v>97473</v>
      </c>
      <c r="G26" s="5">
        <f t="shared" si="0"/>
        <v>27.0406342913776</v>
      </c>
      <c r="H26" s="5">
        <f t="shared" si="3"/>
        <v>1564.2300000000002</v>
      </c>
      <c r="I26" s="57">
        <v>1687</v>
      </c>
      <c r="J26" s="57">
        <v>1682</v>
      </c>
      <c r="K26" s="58">
        <v>1676</v>
      </c>
      <c r="L26" s="62">
        <v>1187.8900000000001</v>
      </c>
      <c r="M26" s="62">
        <v>1181.25</v>
      </c>
      <c r="N26" s="62">
        <v>1311.66</v>
      </c>
    </row>
    <row r="27" spans="1:19" ht="16" x14ac:dyDescent="0.4">
      <c r="A27" s="66" t="s">
        <v>27</v>
      </c>
      <c r="B27" s="5">
        <v>96.040999999999997</v>
      </c>
      <c r="C27" s="6">
        <v>26.06</v>
      </c>
      <c r="D27" s="5">
        <f t="shared" si="1"/>
        <v>1656.3333333333333</v>
      </c>
      <c r="E27" s="5">
        <f t="shared" si="2"/>
        <v>1250.3999999999999</v>
      </c>
      <c r="F27" s="5">
        <v>74373</v>
      </c>
      <c r="G27" s="5">
        <f t="shared" si="0"/>
        <v>24.507949285570547</v>
      </c>
      <c r="H27" s="5">
        <f t="shared" si="3"/>
        <v>1679.7999999999997</v>
      </c>
      <c r="I27" s="57">
        <v>1663</v>
      </c>
      <c r="J27" s="57">
        <v>1658</v>
      </c>
      <c r="K27" s="58">
        <v>1648</v>
      </c>
      <c r="L27" s="62">
        <v>1208.21</v>
      </c>
      <c r="M27" s="62">
        <v>1256.21</v>
      </c>
      <c r="N27" s="62">
        <v>1286.78</v>
      </c>
    </row>
    <row r="28" spans="1:19" ht="16" x14ac:dyDescent="0.4">
      <c r="A28" s="66" t="s">
        <v>26</v>
      </c>
      <c r="B28" s="5">
        <v>96.742000000000004</v>
      </c>
      <c r="C28" s="6">
        <v>25.65</v>
      </c>
      <c r="D28" s="5">
        <f t="shared" si="1"/>
        <v>1632.3333333333333</v>
      </c>
      <c r="E28" s="5">
        <f t="shared" si="2"/>
        <v>1246.6133333333335</v>
      </c>
      <c r="F28" s="5">
        <v>73373</v>
      </c>
      <c r="G28" s="5">
        <f t="shared" si="0"/>
        <v>23.629977537267706</v>
      </c>
      <c r="H28" s="5">
        <f t="shared" si="3"/>
        <v>1628.5466666666669</v>
      </c>
      <c r="I28" s="57">
        <v>1644</v>
      </c>
      <c r="J28" s="57">
        <v>1630</v>
      </c>
      <c r="K28" s="58">
        <v>1623</v>
      </c>
      <c r="L28" s="62">
        <v>1300.8800000000001</v>
      </c>
      <c r="M28" s="62">
        <v>1215.54</v>
      </c>
      <c r="N28" s="62">
        <v>1223.42</v>
      </c>
      <c r="O28" s="53"/>
      <c r="P28" s="53"/>
      <c r="Q28" s="53"/>
      <c r="R28" s="53"/>
      <c r="S28" s="53"/>
    </row>
    <row r="29" spans="1:19" ht="16" x14ac:dyDescent="0.4">
      <c r="A29" s="66" t="s">
        <v>25</v>
      </c>
      <c r="B29" s="5">
        <v>95.512</v>
      </c>
      <c r="C29" s="6">
        <v>25.73</v>
      </c>
      <c r="D29" s="5">
        <f t="shared" si="1"/>
        <v>1608.3333333333333</v>
      </c>
      <c r="E29" s="5">
        <f t="shared" si="2"/>
        <v>1250.2166666666667</v>
      </c>
      <c r="F29" s="5">
        <v>67374</v>
      </c>
      <c r="G29" s="5">
        <f t="shared" si="0"/>
        <v>22.266321243523308</v>
      </c>
      <c r="H29" s="5">
        <f t="shared" si="3"/>
        <v>1611.9366666666665</v>
      </c>
      <c r="I29" s="57">
        <v>1611</v>
      </c>
      <c r="J29" s="57">
        <v>1608</v>
      </c>
      <c r="K29" s="58">
        <v>1606</v>
      </c>
      <c r="L29" s="62">
        <v>1269.1300000000001</v>
      </c>
      <c r="M29" s="62">
        <v>1212.81</v>
      </c>
      <c r="N29" s="62">
        <v>1268.71</v>
      </c>
    </row>
    <row r="30" spans="1:19" ht="16" x14ac:dyDescent="0.4">
      <c r="A30" s="66" t="s">
        <v>24</v>
      </c>
      <c r="B30" s="5">
        <v>95.207999999999998</v>
      </c>
      <c r="C30" s="6">
        <v>25.93</v>
      </c>
      <c r="D30" s="5">
        <f t="shared" si="1"/>
        <v>1593</v>
      </c>
      <c r="E30" s="5">
        <f t="shared" si="2"/>
        <v>1280.5033333333333</v>
      </c>
      <c r="F30" s="5">
        <v>82940</v>
      </c>
      <c r="G30" s="5">
        <f t="shared" si="0"/>
        <v>19.616865453023649</v>
      </c>
      <c r="H30" s="5">
        <f t="shared" si="3"/>
        <v>1623.2866666666666</v>
      </c>
      <c r="I30" s="57">
        <v>1603</v>
      </c>
      <c r="J30" s="57">
        <v>1602</v>
      </c>
      <c r="K30" s="58">
        <v>1574</v>
      </c>
      <c r="L30" s="62">
        <v>1312.64</v>
      </c>
      <c r="M30" s="62">
        <v>1230.1199999999999</v>
      </c>
      <c r="N30" s="62">
        <v>1298.75</v>
      </c>
    </row>
    <row r="31" spans="1:19" ht="16" x14ac:dyDescent="0.4">
      <c r="A31" s="66" t="s">
        <v>23</v>
      </c>
      <c r="B31" s="5">
        <v>96.805000000000007</v>
      </c>
      <c r="C31" s="6">
        <v>24.47</v>
      </c>
      <c r="D31" s="5">
        <f t="shared" si="1"/>
        <v>1561.6666666666667</v>
      </c>
      <c r="E31" s="5">
        <f t="shared" si="2"/>
        <v>1252.5166666666667</v>
      </c>
      <c r="F31" s="5">
        <v>78814</v>
      </c>
      <c r="G31" s="5">
        <f t="shared" si="0"/>
        <v>19.796157950907158</v>
      </c>
      <c r="H31" s="5">
        <f t="shared" si="3"/>
        <v>1533.68</v>
      </c>
      <c r="I31" s="57">
        <v>1555</v>
      </c>
      <c r="J31" s="57">
        <v>1567</v>
      </c>
      <c r="K31" s="58">
        <v>1563</v>
      </c>
      <c r="L31" s="62">
        <v>1236.6099999999999</v>
      </c>
      <c r="M31" s="62">
        <v>1257.8</v>
      </c>
      <c r="N31" s="62">
        <v>1263.1400000000001</v>
      </c>
    </row>
    <row r="32" spans="1:19" ht="16" x14ac:dyDescent="0.4">
      <c r="A32" s="66" t="s">
        <v>22</v>
      </c>
      <c r="B32" s="5">
        <v>97.001999999999995</v>
      </c>
      <c r="C32" s="6">
        <v>23.67</v>
      </c>
      <c r="D32" s="5">
        <f t="shared" si="1"/>
        <v>1551.6666666666667</v>
      </c>
      <c r="E32" s="5">
        <f t="shared" si="2"/>
        <v>1221.8433333333335</v>
      </c>
      <c r="F32" s="5">
        <v>79356</v>
      </c>
      <c r="G32" s="5">
        <f t="shared" si="0"/>
        <v>21.256068743286789</v>
      </c>
      <c r="H32" s="5">
        <f t="shared" si="3"/>
        <v>1520.9933333333336</v>
      </c>
      <c r="I32" s="57">
        <v>1562</v>
      </c>
      <c r="J32" s="57">
        <v>1550</v>
      </c>
      <c r="K32" s="58">
        <v>1543</v>
      </c>
      <c r="L32" s="62">
        <v>1277.4000000000001</v>
      </c>
      <c r="M32" s="62">
        <v>1166.1099999999999</v>
      </c>
      <c r="N32" s="62">
        <v>1222.02</v>
      </c>
    </row>
    <row r="33" spans="1:14" ht="16" x14ac:dyDescent="0.4">
      <c r="A33" s="66" t="s">
        <v>21</v>
      </c>
      <c r="B33" s="5">
        <v>97.194000000000003</v>
      </c>
      <c r="C33" s="6">
        <v>23.7</v>
      </c>
      <c r="D33" s="5">
        <f t="shared" si="1"/>
        <v>1556</v>
      </c>
      <c r="E33" s="5">
        <f t="shared" si="2"/>
        <v>1245.4933333333331</v>
      </c>
      <c r="F33" s="5">
        <v>77720</v>
      </c>
      <c r="G33" s="5">
        <f t="shared" si="0"/>
        <v>19.955441302485013</v>
      </c>
      <c r="H33" s="5">
        <f t="shared" si="3"/>
        <v>1579.6499999999996</v>
      </c>
      <c r="I33" s="57">
        <v>1546</v>
      </c>
      <c r="J33" s="57">
        <v>1559</v>
      </c>
      <c r="K33" s="58">
        <v>1563</v>
      </c>
      <c r="L33" s="62">
        <v>1229.83</v>
      </c>
      <c r="M33" s="62">
        <v>1232.74</v>
      </c>
      <c r="N33" s="62">
        <v>1273.9100000000001</v>
      </c>
    </row>
    <row r="34" spans="1:14" ht="16" x14ac:dyDescent="0.4">
      <c r="A34" s="66" t="s">
        <v>20</v>
      </c>
      <c r="B34" s="5">
        <v>96.650999999999996</v>
      </c>
      <c r="C34" s="6">
        <v>23.78</v>
      </c>
      <c r="D34" s="5">
        <f t="shared" si="1"/>
        <v>1551.3333333333333</v>
      </c>
      <c r="E34" s="5">
        <f t="shared" si="2"/>
        <v>1246.6166666666666</v>
      </c>
      <c r="F34" s="5">
        <v>90748</v>
      </c>
      <c r="G34" s="5">
        <f t="shared" ref="G34:G61" si="4">ABS(((E34*100/D34)-100)*-1)</f>
        <v>19.642243231628711</v>
      </c>
      <c r="H34" s="5">
        <f t="shared" si="3"/>
        <v>1552.4566666666667</v>
      </c>
      <c r="I34" s="57">
        <v>1554</v>
      </c>
      <c r="J34" s="57">
        <v>1549</v>
      </c>
      <c r="K34" s="58">
        <v>1551</v>
      </c>
      <c r="L34" s="62">
        <v>1277.72</v>
      </c>
      <c r="M34" s="62">
        <v>1225.57</v>
      </c>
      <c r="N34" s="62">
        <v>1236.56</v>
      </c>
    </row>
    <row r="35" spans="1:14" ht="16" x14ac:dyDescent="0.4">
      <c r="A35" s="66" t="s">
        <v>19</v>
      </c>
      <c r="B35" s="5">
        <v>100.687</v>
      </c>
      <c r="C35" s="6">
        <v>22.37</v>
      </c>
      <c r="D35" s="5">
        <f t="shared" si="1"/>
        <v>1549</v>
      </c>
      <c r="E35" s="5">
        <f t="shared" si="2"/>
        <v>1301.2366666666667</v>
      </c>
      <c r="F35" s="5">
        <v>87612</v>
      </c>
      <c r="G35" s="5">
        <f t="shared" si="4"/>
        <v>15.995050570260375</v>
      </c>
      <c r="H35" s="5">
        <f t="shared" ref="H35:H62" si="5">D35+(E35-E34)</f>
        <v>1603.6200000000001</v>
      </c>
      <c r="I35" s="57">
        <v>1548</v>
      </c>
      <c r="J35" s="57">
        <v>1552</v>
      </c>
      <c r="K35" s="58">
        <v>1547</v>
      </c>
      <c r="L35" s="62">
        <v>1307.98</v>
      </c>
      <c r="M35" s="62">
        <v>1280.53</v>
      </c>
      <c r="N35" s="62">
        <v>1315.2</v>
      </c>
    </row>
    <row r="36" spans="1:14" ht="16" x14ac:dyDescent="0.4">
      <c r="A36" s="66" t="s">
        <v>18</v>
      </c>
      <c r="B36" s="5">
        <v>101.358</v>
      </c>
      <c r="C36" s="6">
        <v>21.18</v>
      </c>
      <c r="D36" s="5">
        <f t="shared" si="1"/>
        <v>1530.6666666666667</v>
      </c>
      <c r="E36" s="5">
        <f t="shared" si="2"/>
        <v>1254.8799999999999</v>
      </c>
      <c r="F36" s="5">
        <v>93115</v>
      </c>
      <c r="G36" s="5">
        <f t="shared" si="4"/>
        <v>18.017421602787465</v>
      </c>
      <c r="H36" s="5">
        <f t="shared" si="5"/>
        <v>1484.31</v>
      </c>
      <c r="I36" s="57">
        <v>1544</v>
      </c>
      <c r="J36" s="57">
        <v>1526</v>
      </c>
      <c r="K36" s="58">
        <v>1522</v>
      </c>
      <c r="L36" s="62">
        <v>1320.46</v>
      </c>
      <c r="M36" s="62">
        <v>1163.08</v>
      </c>
      <c r="N36" s="62">
        <v>1281.0999999999999</v>
      </c>
    </row>
    <row r="37" spans="1:14" ht="16" x14ac:dyDescent="0.4">
      <c r="A37" s="66" t="s">
        <v>17</v>
      </c>
      <c r="B37" s="5">
        <v>101.30500000000001</v>
      </c>
      <c r="C37" s="6">
        <v>20.9</v>
      </c>
      <c r="D37" s="5">
        <f t="shared" si="1"/>
        <v>1526.3333333333333</v>
      </c>
      <c r="E37" s="5">
        <f t="shared" si="2"/>
        <v>1283.5133333333333</v>
      </c>
      <c r="F37" s="5">
        <v>84081</v>
      </c>
      <c r="G37" s="5">
        <f t="shared" si="4"/>
        <v>15.908713692946051</v>
      </c>
      <c r="H37" s="5">
        <f t="shared" si="5"/>
        <v>1554.9666666666667</v>
      </c>
      <c r="I37" s="57">
        <v>1525</v>
      </c>
      <c r="J37" s="57">
        <v>1526</v>
      </c>
      <c r="K37" s="58">
        <v>1528</v>
      </c>
      <c r="L37" s="62">
        <v>1255.8900000000001</v>
      </c>
      <c r="M37" s="62">
        <v>1281.94</v>
      </c>
      <c r="N37" s="62">
        <v>1312.71</v>
      </c>
    </row>
    <row r="38" spans="1:14" ht="16" x14ac:dyDescent="0.4">
      <c r="A38" s="66" t="s">
        <v>16</v>
      </c>
      <c r="B38" s="5">
        <v>102.77500000000001</v>
      </c>
      <c r="C38" s="6">
        <v>21</v>
      </c>
      <c r="D38" s="5">
        <f t="shared" si="1"/>
        <v>1525.6666666666667</v>
      </c>
      <c r="E38" s="5">
        <f t="shared" si="2"/>
        <v>1299.5466666666664</v>
      </c>
      <c r="F38" s="5">
        <v>99620</v>
      </c>
      <c r="G38" s="5">
        <f t="shared" si="4"/>
        <v>14.821061830893612</v>
      </c>
      <c r="H38" s="5">
        <f t="shared" si="5"/>
        <v>1541.6999999999998</v>
      </c>
      <c r="I38" s="57">
        <v>1524</v>
      </c>
      <c r="J38" s="57">
        <v>1526</v>
      </c>
      <c r="K38" s="58">
        <v>1527</v>
      </c>
      <c r="L38" s="62">
        <v>1331.29</v>
      </c>
      <c r="M38" s="62">
        <v>1273.03</v>
      </c>
      <c r="N38" s="62">
        <v>1294.32</v>
      </c>
    </row>
    <row r="39" spans="1:14" ht="16" x14ac:dyDescent="0.4">
      <c r="A39" s="66" t="s">
        <v>15</v>
      </c>
      <c r="B39" s="5">
        <v>104.601</v>
      </c>
      <c r="C39" s="6">
        <v>20</v>
      </c>
      <c r="D39" s="5">
        <f t="shared" si="1"/>
        <v>1518.3333333333333</v>
      </c>
      <c r="E39" s="5">
        <f t="shared" si="2"/>
        <v>1319.3233333333335</v>
      </c>
      <c r="F39" s="5">
        <v>108662</v>
      </c>
      <c r="G39" s="5">
        <f t="shared" si="4"/>
        <v>13.107135016465406</v>
      </c>
      <c r="H39" s="5">
        <f t="shared" si="5"/>
        <v>1538.1100000000004</v>
      </c>
      <c r="I39" s="57">
        <v>1524</v>
      </c>
      <c r="J39" s="57">
        <v>1516</v>
      </c>
      <c r="K39" s="58">
        <v>1515</v>
      </c>
      <c r="L39" s="62">
        <v>1304.6600000000001</v>
      </c>
      <c r="M39" s="62">
        <v>1313.93</v>
      </c>
      <c r="N39" s="62">
        <v>1339.38</v>
      </c>
    </row>
    <row r="40" spans="1:14" ht="16" x14ac:dyDescent="0.4">
      <c r="A40" s="66" t="s">
        <v>14</v>
      </c>
      <c r="B40" s="5">
        <v>105.431</v>
      </c>
      <c r="C40" s="6">
        <v>18.91</v>
      </c>
      <c r="D40" s="5">
        <f t="shared" si="1"/>
        <v>1506</v>
      </c>
      <c r="E40" s="5">
        <f t="shared" si="2"/>
        <v>1265.42</v>
      </c>
      <c r="F40" s="5">
        <v>103640</v>
      </c>
      <c r="G40" s="5">
        <f t="shared" si="4"/>
        <v>15.974767596281538</v>
      </c>
      <c r="H40" s="5">
        <f t="shared" si="5"/>
        <v>1452.0966666666666</v>
      </c>
      <c r="I40" s="57">
        <v>1509</v>
      </c>
      <c r="J40" s="57">
        <v>1512</v>
      </c>
      <c r="K40" s="58">
        <v>1497</v>
      </c>
      <c r="L40" s="62">
        <v>1340.07</v>
      </c>
      <c r="M40" s="62">
        <v>1156.1600000000001</v>
      </c>
      <c r="N40" s="62">
        <v>1300.03</v>
      </c>
    </row>
    <row r="41" spans="1:14" ht="16" x14ac:dyDescent="0.4">
      <c r="A41" s="66" t="s">
        <v>13</v>
      </c>
      <c r="B41" s="5">
        <v>105.848</v>
      </c>
      <c r="C41" s="6">
        <v>18.63</v>
      </c>
      <c r="D41" s="5">
        <f t="shared" si="1"/>
        <v>1507.6666666666667</v>
      </c>
      <c r="E41" s="5">
        <f t="shared" si="2"/>
        <v>1332.8966666666668</v>
      </c>
      <c r="F41" s="5">
        <v>93463</v>
      </c>
      <c r="G41" s="5">
        <f t="shared" si="4"/>
        <v>11.592084899403048</v>
      </c>
      <c r="H41" s="5">
        <f t="shared" si="5"/>
        <v>1575.1433333333334</v>
      </c>
      <c r="I41" s="57">
        <v>1496</v>
      </c>
      <c r="J41" s="57">
        <v>1506</v>
      </c>
      <c r="K41" s="58">
        <v>1521</v>
      </c>
      <c r="L41" s="62">
        <v>1341.26</v>
      </c>
      <c r="M41" s="62">
        <v>1299.7</v>
      </c>
      <c r="N41" s="62">
        <v>1357.73</v>
      </c>
    </row>
    <row r="42" spans="1:14" ht="16" x14ac:dyDescent="0.4">
      <c r="A42" s="66" t="s">
        <v>12</v>
      </c>
      <c r="B42" s="5">
        <v>108.239</v>
      </c>
      <c r="C42" s="6">
        <v>18.75</v>
      </c>
      <c r="D42" s="5">
        <f t="shared" si="1"/>
        <v>1525.3333333333333</v>
      </c>
      <c r="E42" s="5">
        <f t="shared" si="2"/>
        <v>1354.97</v>
      </c>
      <c r="F42" s="5">
        <v>114965</v>
      </c>
      <c r="G42" s="5">
        <f t="shared" si="4"/>
        <v>11.168924825174827</v>
      </c>
      <c r="H42" s="5">
        <f t="shared" si="5"/>
        <v>1547.4066666666665</v>
      </c>
      <c r="I42" s="57">
        <v>1524</v>
      </c>
      <c r="J42" s="57">
        <v>1522</v>
      </c>
      <c r="K42" s="58">
        <v>1530</v>
      </c>
      <c r="L42" s="62">
        <v>1368.55</v>
      </c>
      <c r="M42" s="62">
        <v>1349.41</v>
      </c>
      <c r="N42" s="62">
        <v>1346.95</v>
      </c>
    </row>
    <row r="43" spans="1:14" ht="16" x14ac:dyDescent="0.4">
      <c r="A43" s="66" t="s">
        <v>11</v>
      </c>
      <c r="B43" s="5">
        <v>110.41</v>
      </c>
      <c r="C43" s="6">
        <v>17.22</v>
      </c>
      <c r="D43" s="5">
        <f t="shared" si="1"/>
        <v>1538.3333333333333</v>
      </c>
      <c r="E43" s="5">
        <f t="shared" si="2"/>
        <v>1390.4066666666668</v>
      </c>
      <c r="F43" s="5">
        <v>121395</v>
      </c>
      <c r="G43" s="5">
        <f t="shared" si="4"/>
        <v>9.6160346695557735</v>
      </c>
      <c r="H43" s="5">
        <f t="shared" si="5"/>
        <v>1573.77</v>
      </c>
      <c r="I43" s="57">
        <v>1537</v>
      </c>
      <c r="J43" s="57">
        <v>1535</v>
      </c>
      <c r="K43" s="58">
        <v>1543</v>
      </c>
      <c r="L43" s="62">
        <v>1411.97</v>
      </c>
      <c r="M43" s="62">
        <v>1363.87</v>
      </c>
      <c r="N43" s="62">
        <v>1395.38</v>
      </c>
    </row>
    <row r="44" spans="1:14" ht="16" x14ac:dyDescent="0.4">
      <c r="A44" s="66" t="s">
        <v>10</v>
      </c>
      <c r="B44" s="5">
        <v>112.44199999999999</v>
      </c>
      <c r="C44" s="6">
        <v>16.38</v>
      </c>
      <c r="D44" s="5">
        <f t="shared" si="1"/>
        <v>1549.6666666666667</v>
      </c>
      <c r="E44" s="5">
        <f t="shared" si="2"/>
        <v>1353.1233333333332</v>
      </c>
      <c r="F44" s="5">
        <v>120069</v>
      </c>
      <c r="G44" s="5">
        <f t="shared" si="4"/>
        <v>12.68294256829428</v>
      </c>
      <c r="H44" s="5">
        <f t="shared" si="5"/>
        <v>1512.3833333333332</v>
      </c>
      <c r="I44" s="57">
        <v>1564</v>
      </c>
      <c r="J44" s="57">
        <v>1551</v>
      </c>
      <c r="K44" s="58">
        <v>1534</v>
      </c>
      <c r="L44" s="62">
        <v>1440.58</v>
      </c>
      <c r="M44" s="62">
        <v>1225.26</v>
      </c>
      <c r="N44" s="62">
        <v>1393.53</v>
      </c>
    </row>
    <row r="45" spans="1:14" ht="16" x14ac:dyDescent="0.4">
      <c r="A45" s="66" t="s">
        <v>9</v>
      </c>
      <c r="B45" s="5">
        <v>113.45699999999999</v>
      </c>
      <c r="C45" s="6">
        <v>16.55</v>
      </c>
      <c r="D45" s="5">
        <f t="shared" si="1"/>
        <v>1552</v>
      </c>
      <c r="E45" s="5">
        <f t="shared" si="2"/>
        <v>1369.5666666666666</v>
      </c>
      <c r="F45" s="5">
        <v>111215</v>
      </c>
      <c r="G45" s="5">
        <f t="shared" si="4"/>
        <v>11.754725085910664</v>
      </c>
      <c r="H45" s="5">
        <f t="shared" si="5"/>
        <v>1568.4433333333334</v>
      </c>
      <c r="I45" s="57">
        <v>1544</v>
      </c>
      <c r="J45" s="57">
        <v>1555</v>
      </c>
      <c r="K45" s="58">
        <v>1557</v>
      </c>
      <c r="L45" s="62">
        <v>1371.99</v>
      </c>
      <c r="M45" s="62">
        <v>1356.08</v>
      </c>
      <c r="N45" s="62">
        <v>1380.63</v>
      </c>
    </row>
    <row r="46" spans="1:14" ht="16" x14ac:dyDescent="0.4">
      <c r="A46" s="66" t="s">
        <v>8</v>
      </c>
      <c r="B46" s="5">
        <v>114.994</v>
      </c>
      <c r="C46" s="6">
        <v>16.739999999999998</v>
      </c>
      <c r="D46" s="5">
        <f t="shared" si="1"/>
        <v>1589</v>
      </c>
      <c r="E46" s="5">
        <f t="shared" si="2"/>
        <v>1372.1333333333332</v>
      </c>
      <c r="F46" s="5">
        <v>129164</v>
      </c>
      <c r="G46" s="5">
        <f t="shared" si="4"/>
        <v>13.64799664359137</v>
      </c>
      <c r="H46" s="5">
        <f t="shared" si="5"/>
        <v>1591.5666666666666</v>
      </c>
      <c r="I46" s="57">
        <v>1570</v>
      </c>
      <c r="J46" s="57">
        <v>1590</v>
      </c>
      <c r="K46" s="58">
        <v>1607</v>
      </c>
      <c r="L46" s="62">
        <v>1388.17</v>
      </c>
      <c r="M46" s="62">
        <v>1363.29</v>
      </c>
      <c r="N46" s="62">
        <v>1364.94</v>
      </c>
    </row>
    <row r="47" spans="1:14" ht="16" x14ac:dyDescent="0.4">
      <c r="A47" s="66" t="s">
        <v>7</v>
      </c>
      <c r="B47" s="5">
        <v>117.941</v>
      </c>
      <c r="C47" s="6">
        <v>15.28</v>
      </c>
      <c r="D47" s="5">
        <f t="shared" si="1"/>
        <v>1622</v>
      </c>
      <c r="E47" s="5">
        <f t="shared" si="2"/>
        <v>1413.0166666666667</v>
      </c>
      <c r="F47" s="5">
        <v>134405</v>
      </c>
      <c r="G47" s="5">
        <f t="shared" si="4"/>
        <v>12.88429921907111</v>
      </c>
      <c r="H47" s="5">
        <f t="shared" si="5"/>
        <v>1662.8833333333334</v>
      </c>
      <c r="I47" s="57">
        <v>1612</v>
      </c>
      <c r="J47" s="57">
        <v>1619</v>
      </c>
      <c r="K47" s="58">
        <v>1635</v>
      </c>
      <c r="L47" s="62">
        <v>1431.43</v>
      </c>
      <c r="M47" s="62">
        <v>1386.2</v>
      </c>
      <c r="N47" s="62">
        <v>1421.42</v>
      </c>
    </row>
    <row r="48" spans="1:14" ht="16" x14ac:dyDescent="0.4">
      <c r="A48" s="66" t="s">
        <v>6</v>
      </c>
      <c r="B48" s="5">
        <v>120.491</v>
      </c>
      <c r="C48" s="6">
        <v>14.55</v>
      </c>
      <c r="D48" s="5">
        <f t="shared" si="1"/>
        <v>1659</v>
      </c>
      <c r="E48" s="5">
        <f t="shared" si="2"/>
        <v>1403.5733333333335</v>
      </c>
      <c r="F48" s="5">
        <v>134156</v>
      </c>
      <c r="G48" s="5">
        <f t="shared" si="4"/>
        <v>15.396423548322275</v>
      </c>
      <c r="H48" s="5">
        <f t="shared" si="5"/>
        <v>1649.5566666666668</v>
      </c>
      <c r="I48" s="57">
        <v>1650</v>
      </c>
      <c r="J48" s="57">
        <v>1661</v>
      </c>
      <c r="K48" s="58">
        <v>1666</v>
      </c>
      <c r="L48" s="62">
        <v>1468</v>
      </c>
      <c r="M48" s="62">
        <v>1284.31</v>
      </c>
      <c r="N48" s="62">
        <v>1458.41</v>
      </c>
    </row>
    <row r="49" spans="1:14" ht="16" x14ac:dyDescent="0.4">
      <c r="A49" s="66" t="s">
        <v>5</v>
      </c>
      <c r="B49" s="5">
        <v>120.95399999999999</v>
      </c>
      <c r="C49" s="6">
        <v>14.45</v>
      </c>
      <c r="D49" s="5">
        <f t="shared" si="1"/>
        <v>1678.3333333333333</v>
      </c>
      <c r="E49" s="5">
        <f t="shared" si="2"/>
        <v>1422.2366666666667</v>
      </c>
      <c r="F49" s="5">
        <v>120259</v>
      </c>
      <c r="G49" s="5">
        <f t="shared" si="4"/>
        <v>15.258987090367427</v>
      </c>
      <c r="H49" s="5">
        <f t="shared" si="5"/>
        <v>1696.9966666666664</v>
      </c>
      <c r="I49" s="57">
        <v>1666</v>
      </c>
      <c r="J49" s="57">
        <v>1684</v>
      </c>
      <c r="K49" s="58">
        <v>1685</v>
      </c>
      <c r="L49" s="62">
        <v>1396.47</v>
      </c>
      <c r="M49" s="62">
        <v>1411.77</v>
      </c>
      <c r="N49" s="62">
        <v>1458.47</v>
      </c>
    </row>
    <row r="50" spans="1:14" ht="16" x14ac:dyDescent="0.4">
      <c r="A50" s="66" t="s">
        <v>4</v>
      </c>
      <c r="B50" s="5">
        <v>122.758</v>
      </c>
      <c r="C50" s="6">
        <v>14.7</v>
      </c>
      <c r="D50" s="5">
        <f t="shared" si="1"/>
        <v>1694.3333333333333</v>
      </c>
      <c r="E50" s="5">
        <f t="shared" si="2"/>
        <v>1421.96</v>
      </c>
      <c r="F50" s="5">
        <v>135031</v>
      </c>
      <c r="G50" s="5">
        <f t="shared" si="4"/>
        <v>16.07554593743852</v>
      </c>
      <c r="H50" s="5">
        <f t="shared" si="5"/>
        <v>1694.0566666666666</v>
      </c>
      <c r="I50" s="57">
        <v>1686</v>
      </c>
      <c r="J50" s="57">
        <v>1694</v>
      </c>
      <c r="K50" s="58">
        <v>1703</v>
      </c>
      <c r="L50" s="62">
        <v>1452.43</v>
      </c>
      <c r="M50" s="62">
        <v>1386.39</v>
      </c>
      <c r="N50" s="62">
        <v>1427.06</v>
      </c>
    </row>
    <row r="51" spans="1:14" ht="16" x14ac:dyDescent="0.4">
      <c r="A51" s="66" t="s">
        <v>3</v>
      </c>
      <c r="B51" s="5">
        <v>124.175</v>
      </c>
      <c r="C51" s="6">
        <v>14.02</v>
      </c>
      <c r="D51" s="5">
        <f t="shared" si="1"/>
        <v>1718</v>
      </c>
      <c r="E51" s="5">
        <f t="shared" si="2"/>
        <v>1425.34</v>
      </c>
      <c r="F51" s="5">
        <v>130987</v>
      </c>
      <c r="G51" s="5">
        <f t="shared" si="4"/>
        <v>17.034924330617002</v>
      </c>
      <c r="H51" s="5">
        <f t="shared" si="5"/>
        <v>1721.3799999999999</v>
      </c>
      <c r="I51" s="57">
        <v>1709</v>
      </c>
      <c r="J51" s="57">
        <v>1712</v>
      </c>
      <c r="K51" s="58">
        <v>1733</v>
      </c>
      <c r="L51" s="62">
        <v>1417.99</v>
      </c>
      <c r="M51" s="62">
        <v>1408.33</v>
      </c>
      <c r="N51" s="62">
        <v>1449.7</v>
      </c>
    </row>
    <row r="52" spans="1:14" ht="16" x14ac:dyDescent="0.4">
      <c r="A52" s="66" t="s">
        <v>2</v>
      </c>
      <c r="B52" s="5">
        <v>126.13500000000001</v>
      </c>
      <c r="C52" s="6">
        <v>13.92</v>
      </c>
      <c r="D52" s="5">
        <f>AVERAGE(I52:K52)</f>
        <v>1740.6666666666667</v>
      </c>
      <c r="E52" s="5">
        <f t="shared" si="2"/>
        <v>1449.3566666666666</v>
      </c>
      <c r="F52" s="5">
        <v>121256</v>
      </c>
      <c r="G52" s="5">
        <f t="shared" si="4"/>
        <v>16.735541937954821</v>
      </c>
      <c r="H52" s="5">
        <f t="shared" si="5"/>
        <v>1764.6833333333334</v>
      </c>
      <c r="I52" s="57">
        <v>1738</v>
      </c>
      <c r="J52" s="57">
        <v>1749</v>
      </c>
      <c r="K52" s="58">
        <v>1735</v>
      </c>
      <c r="L52" s="62">
        <v>1519.39</v>
      </c>
      <c r="M52" s="62">
        <v>1370.26</v>
      </c>
      <c r="N52" s="62">
        <v>1458.42</v>
      </c>
    </row>
    <row r="53" spans="1:14" ht="16" x14ac:dyDescent="0.4">
      <c r="A53" s="66" t="s">
        <v>1</v>
      </c>
      <c r="B53" s="5">
        <v>125.32</v>
      </c>
      <c r="C53" s="6">
        <v>13.78</v>
      </c>
      <c r="D53" s="5">
        <f t="shared" si="1"/>
        <v>1755</v>
      </c>
      <c r="E53" s="5">
        <f t="shared" si="2"/>
        <v>1449.9433333333334</v>
      </c>
      <c r="F53" s="5">
        <v>116272</v>
      </c>
      <c r="G53" s="5">
        <f t="shared" si="4"/>
        <v>17.382146248812916</v>
      </c>
      <c r="H53" s="5">
        <f t="shared" si="5"/>
        <v>1755.5866666666668</v>
      </c>
      <c r="I53" s="57">
        <v>1741</v>
      </c>
      <c r="J53" s="57">
        <v>1761</v>
      </c>
      <c r="K53" s="58">
        <v>1763</v>
      </c>
      <c r="L53" s="62">
        <v>1427.36</v>
      </c>
      <c r="M53" s="62">
        <v>1444.51</v>
      </c>
      <c r="N53" s="62">
        <v>1477.96</v>
      </c>
    </row>
    <row r="54" spans="1:14" ht="16" x14ac:dyDescent="0.4">
      <c r="A54" s="66" t="s">
        <v>0</v>
      </c>
      <c r="B54" s="5">
        <v>126.69499999999999</v>
      </c>
      <c r="C54" s="6">
        <v>14.41</v>
      </c>
      <c r="D54" s="5">
        <f t="shared" si="1"/>
        <v>1756</v>
      </c>
      <c r="E54" s="5">
        <f t="shared" si="2"/>
        <v>1460.38</v>
      </c>
      <c r="F54" s="5">
        <v>125837</v>
      </c>
      <c r="G54" s="5">
        <f t="shared" si="4"/>
        <v>16.834851936218683</v>
      </c>
      <c r="H54" s="5">
        <f t="shared" si="5"/>
        <v>1766.4366666666667</v>
      </c>
      <c r="I54" s="57">
        <v>1758</v>
      </c>
      <c r="J54" s="57">
        <v>1752</v>
      </c>
      <c r="K54" s="58">
        <v>1758</v>
      </c>
      <c r="L54" s="62">
        <v>1492</v>
      </c>
      <c r="M54" s="62">
        <v>1439.14</v>
      </c>
      <c r="N54" s="62">
        <v>1450</v>
      </c>
    </row>
    <row r="55" spans="1:14" ht="16" x14ac:dyDescent="0.4">
      <c r="A55" s="66" t="s">
        <v>53</v>
      </c>
      <c r="B55" s="5">
        <v>126.79900000000001</v>
      </c>
      <c r="C55" s="6">
        <v>15.33</v>
      </c>
      <c r="D55" s="5">
        <f t="shared" si="1"/>
        <v>1711</v>
      </c>
      <c r="E55" s="5">
        <f t="shared" si="2"/>
        <v>1477.6666666666667</v>
      </c>
      <c r="F55" s="5">
        <v>74657</v>
      </c>
      <c r="G55" s="5">
        <f t="shared" si="4"/>
        <v>13.637249172024141</v>
      </c>
      <c r="H55" s="5">
        <f t="shared" si="5"/>
        <v>1728.2866666666666</v>
      </c>
      <c r="I55" s="57">
        <v>1753</v>
      </c>
      <c r="J55" s="57">
        <v>1730</v>
      </c>
      <c r="K55" s="58">
        <v>1650</v>
      </c>
      <c r="L55" s="62">
        <v>1513</v>
      </c>
      <c r="M55" s="62">
        <v>1482</v>
      </c>
      <c r="N55" s="62">
        <v>1438</v>
      </c>
    </row>
    <row r="56" spans="1:14" ht="16" x14ac:dyDescent="0.4">
      <c r="A56" s="66" t="s">
        <v>54</v>
      </c>
      <c r="B56" s="5">
        <v>128.255</v>
      </c>
      <c r="C56" s="6">
        <v>16.260000000000002</v>
      </c>
      <c r="D56" s="5">
        <f t="shared" si="1"/>
        <v>1718</v>
      </c>
      <c r="E56" s="5">
        <f t="shared" si="2"/>
        <v>1369.3333333333333</v>
      </c>
      <c r="F56" s="5">
        <v>101887</v>
      </c>
      <c r="G56" s="5">
        <f t="shared" si="4"/>
        <v>20.294916569654646</v>
      </c>
      <c r="H56" s="5">
        <f t="shared" si="5"/>
        <v>1609.6666666666665</v>
      </c>
      <c r="I56" s="57">
        <v>1677</v>
      </c>
      <c r="J56" s="57">
        <v>1735</v>
      </c>
      <c r="K56" s="58">
        <v>1742</v>
      </c>
      <c r="L56" s="56">
        <v>1443</v>
      </c>
      <c r="M56" s="56">
        <v>1293</v>
      </c>
      <c r="N56" s="56">
        <v>1372</v>
      </c>
    </row>
    <row r="57" spans="1:14" ht="16" x14ac:dyDescent="0.4">
      <c r="A57" s="66" t="s">
        <v>55</v>
      </c>
      <c r="B57" s="5">
        <v>127.179</v>
      </c>
      <c r="C57" s="6">
        <v>16.13</v>
      </c>
      <c r="D57" s="5">
        <f t="shared" si="1"/>
        <v>1766.6666666666667</v>
      </c>
      <c r="E57" s="5">
        <f t="shared" si="2"/>
        <v>1409.6666666666667</v>
      </c>
      <c r="F57" s="5">
        <v>113367</v>
      </c>
      <c r="G57" s="9">
        <f t="shared" si="4"/>
        <v>20.207547169811306</v>
      </c>
      <c r="H57" s="5">
        <f t="shared" si="5"/>
        <v>1807.0000000000002</v>
      </c>
      <c r="I57" s="57">
        <v>1752</v>
      </c>
      <c r="J57" s="57">
        <v>1769</v>
      </c>
      <c r="K57" s="58">
        <v>1779</v>
      </c>
      <c r="L57" s="56">
        <v>1374</v>
      </c>
      <c r="M57" s="55">
        <v>1393</v>
      </c>
      <c r="N57" s="55">
        <v>1462</v>
      </c>
    </row>
    <row r="58" spans="1:14" ht="16" x14ac:dyDescent="0.4">
      <c r="A58" s="66" t="s">
        <v>56</v>
      </c>
      <c r="B58" s="5">
        <v>127.831</v>
      </c>
      <c r="C58" s="6">
        <v>15.98</v>
      </c>
      <c r="D58" s="5">
        <f t="shared" si="1"/>
        <v>1780.3333333333333</v>
      </c>
      <c r="E58" s="5">
        <f t="shared" si="2"/>
        <v>1457.6666666666667</v>
      </c>
      <c r="F58" s="5">
        <v>130270</v>
      </c>
      <c r="G58" s="9">
        <f t="shared" si="4"/>
        <v>18.123946826436978</v>
      </c>
      <c r="H58" s="5">
        <f t="shared" si="5"/>
        <v>1828.3333333333333</v>
      </c>
      <c r="I58" s="57">
        <v>1786</v>
      </c>
      <c r="J58" s="57">
        <v>1771</v>
      </c>
      <c r="K58" s="57">
        <v>1784</v>
      </c>
      <c r="L58" s="55">
        <v>1497</v>
      </c>
      <c r="M58" s="55">
        <v>1428</v>
      </c>
      <c r="N58" s="55">
        <v>1448</v>
      </c>
    </row>
    <row r="59" spans="1:14" ht="16" x14ac:dyDescent="0.4">
      <c r="A59" s="66" t="s">
        <v>57</v>
      </c>
      <c r="B59" s="5">
        <v>130.9</v>
      </c>
      <c r="C59" s="6">
        <v>15.26</v>
      </c>
      <c r="D59" s="5">
        <f t="shared" si="1"/>
        <v>1805</v>
      </c>
      <c r="E59" s="5">
        <f t="shared" si="2"/>
        <v>1500</v>
      </c>
      <c r="F59" s="5">
        <v>137445</v>
      </c>
      <c r="G59" s="9">
        <f t="shared" si="4"/>
        <v>16.89750692520775</v>
      </c>
      <c r="H59" s="5">
        <f t="shared" si="5"/>
        <v>1847.3333333333333</v>
      </c>
      <c r="I59" s="57">
        <v>1794</v>
      </c>
      <c r="J59" s="57">
        <v>1805</v>
      </c>
      <c r="K59" s="57">
        <v>1816</v>
      </c>
      <c r="L59" s="55">
        <v>1479</v>
      </c>
      <c r="M59" s="55">
        <v>1489</v>
      </c>
      <c r="N59" s="55">
        <v>1532</v>
      </c>
    </row>
    <row r="60" spans="1:14" ht="16" x14ac:dyDescent="0.4">
      <c r="A60" s="66" t="s">
        <v>58</v>
      </c>
      <c r="B60" s="5">
        <v>133.6</v>
      </c>
      <c r="C60" s="6">
        <v>14.57</v>
      </c>
      <c r="D60" s="5">
        <f t="shared" si="1"/>
        <v>1821.3333333333333</v>
      </c>
      <c r="E60" s="5">
        <f t="shared" si="2"/>
        <v>1515.6666666666667</v>
      </c>
      <c r="F60" s="5">
        <v>153552</v>
      </c>
      <c r="G60" s="9">
        <f t="shared" si="4"/>
        <v>16.782576866764259</v>
      </c>
      <c r="H60" s="5">
        <f t="shared" si="5"/>
        <v>1837</v>
      </c>
      <c r="I60" s="57">
        <v>1826</v>
      </c>
      <c r="J60" s="57">
        <v>1825</v>
      </c>
      <c r="K60" s="57">
        <v>1813</v>
      </c>
      <c r="L60" s="55">
        <v>1578</v>
      </c>
      <c r="M60" s="55">
        <v>1430</v>
      </c>
      <c r="N60" s="55">
        <v>1539</v>
      </c>
    </row>
    <row r="61" spans="1:14" ht="16" x14ac:dyDescent="0.4">
      <c r="A61" s="66" t="s">
        <v>59</v>
      </c>
      <c r="B61" s="5">
        <v>135.291</v>
      </c>
      <c r="C61" s="6">
        <v>13.33</v>
      </c>
      <c r="D61" s="5">
        <f t="shared" si="1"/>
        <v>1825.3333333333333</v>
      </c>
      <c r="E61" s="5">
        <f t="shared" si="2"/>
        <v>1553</v>
      </c>
      <c r="F61" s="5">
        <v>144256</v>
      </c>
      <c r="G61" s="9">
        <f t="shared" si="4"/>
        <v>14.919649379108833</v>
      </c>
      <c r="H61" s="5">
        <f t="shared" si="5"/>
        <v>1862.6666666666665</v>
      </c>
      <c r="I61" s="57">
        <v>1816</v>
      </c>
      <c r="J61" s="57">
        <v>1831</v>
      </c>
      <c r="K61" s="57">
        <v>1829</v>
      </c>
      <c r="L61" s="55">
        <v>1527</v>
      </c>
      <c r="M61" s="55">
        <v>1551</v>
      </c>
      <c r="N61" s="55">
        <v>1581</v>
      </c>
    </row>
    <row r="62" spans="1:14" ht="16" x14ac:dyDescent="0.4">
      <c r="A62" s="66" t="s">
        <v>79</v>
      </c>
      <c r="B62" s="68">
        <v>138.74</v>
      </c>
      <c r="C62" s="69">
        <v>13.65</v>
      </c>
      <c r="D62" s="68">
        <f t="shared" si="1"/>
        <v>1821</v>
      </c>
      <c r="E62" s="68">
        <f t="shared" si="2"/>
        <v>1617</v>
      </c>
      <c r="F62" s="68">
        <v>165579</v>
      </c>
      <c r="G62" s="9">
        <f>ABS(((E62*100/D62)-100)*-1)</f>
        <v>11.202635914332788</v>
      </c>
      <c r="H62" s="5">
        <f t="shared" si="5"/>
        <v>1885</v>
      </c>
      <c r="I62" s="57">
        <v>1824</v>
      </c>
      <c r="J62" s="57">
        <v>1814</v>
      </c>
      <c r="K62" s="57">
        <v>1825</v>
      </c>
      <c r="L62" s="55">
        <v>1651</v>
      </c>
      <c r="M62" s="55">
        <v>1578</v>
      </c>
      <c r="N62" s="55">
        <v>1622</v>
      </c>
    </row>
    <row r="63" spans="1:14" ht="16" x14ac:dyDescent="0.4">
      <c r="A63" s="66" t="s">
        <v>80</v>
      </c>
      <c r="B63" s="68">
        <v>141.43299999999999</v>
      </c>
      <c r="C63" s="69">
        <v>12.48</v>
      </c>
      <c r="D63" s="68">
        <f>AVERAGE(I63:K63)</f>
        <v>1866</v>
      </c>
      <c r="E63" s="68">
        <f>AVERAGE(L63:N63)</f>
        <v>1620.3333333333333</v>
      </c>
      <c r="F63" s="68">
        <v>165418</v>
      </c>
      <c r="G63" s="9">
        <f>ABS(((E63*100/D63)-100)*-1)</f>
        <v>13.165416220078612</v>
      </c>
      <c r="H63" s="5">
        <f>D63+(E63-E62)</f>
        <v>1869.3333333333333</v>
      </c>
      <c r="I63" s="57">
        <v>1853</v>
      </c>
      <c r="J63" s="57">
        <v>1869</v>
      </c>
      <c r="K63" s="57">
        <v>1876</v>
      </c>
      <c r="L63" s="55">
        <v>1606</v>
      </c>
      <c r="M63" s="55">
        <v>1603</v>
      </c>
      <c r="N63" s="55">
        <v>1652</v>
      </c>
    </row>
    <row r="64" spans="1:14" ht="16" x14ac:dyDescent="0.4">
      <c r="A64" s="66" t="s">
        <v>81</v>
      </c>
      <c r="B64" s="5"/>
      <c r="C64" s="6">
        <v>12.67</v>
      </c>
      <c r="D64" s="5">
        <f>AVERAGE(I64:K64)</f>
        <v>1892.3333333333333</v>
      </c>
      <c r="E64" s="5"/>
      <c r="F64" s="5">
        <v>166570</v>
      </c>
      <c r="G64" s="9"/>
      <c r="H64" s="4"/>
      <c r="I64" s="57">
        <v>1888</v>
      </c>
      <c r="J64" s="57">
        <v>1896</v>
      </c>
      <c r="K64" s="57">
        <v>1893</v>
      </c>
      <c r="L64" s="55"/>
      <c r="M64" s="55"/>
      <c r="N64" s="55"/>
    </row>
    <row r="65" spans="1:14" ht="16" x14ac:dyDescent="0.4">
      <c r="A65" s="66" t="s">
        <v>82</v>
      </c>
      <c r="B65" s="5"/>
      <c r="C65" s="6"/>
      <c r="D65" s="5">
        <f>AVERAGE(I65:K65)</f>
        <v>1910</v>
      </c>
      <c r="E65" s="5"/>
      <c r="F65" s="5"/>
      <c r="G65" s="4"/>
      <c r="H65" s="4"/>
      <c r="I65" s="57">
        <v>1910</v>
      </c>
      <c r="J65" s="57"/>
      <c r="K65" s="57"/>
      <c r="L65" s="55"/>
      <c r="M65" s="55"/>
      <c r="N65" s="55"/>
    </row>
  </sheetData>
  <mergeCells count="1">
    <mergeCell ref="O1:P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07D3-6AB3-4776-A127-BE339ED69CF3}">
  <dimension ref="A1:J2"/>
  <sheetViews>
    <sheetView tabSelected="1" workbookViewId="0">
      <selection activeCell="C15" sqref="C15"/>
    </sheetView>
  </sheetViews>
  <sheetFormatPr defaultRowHeight="14.5" x14ac:dyDescent="0.35"/>
  <sheetData>
    <row r="1" spans="1:10" s="73" customFormat="1" ht="18.5" x14ac:dyDescent="0.45">
      <c r="A1" s="70" t="s">
        <v>179</v>
      </c>
      <c r="B1" s="70"/>
      <c r="C1" s="70"/>
      <c r="D1" s="70"/>
      <c r="E1" s="70"/>
      <c r="F1" s="70"/>
      <c r="G1" s="70"/>
      <c r="H1" s="70"/>
      <c r="I1" s="70"/>
      <c r="J1" s="72"/>
    </row>
    <row r="2" spans="1:10" s="73" customFormat="1" ht="18.5" x14ac:dyDescent="0.45">
      <c r="A2" s="71" t="s">
        <v>178</v>
      </c>
      <c r="B2" s="71"/>
      <c r="C2" s="71"/>
      <c r="D2" s="71"/>
      <c r="E2" s="71"/>
      <c r="F2" s="71"/>
      <c r="G2" s="71"/>
      <c r="H2" s="71"/>
      <c r="I2" s="71"/>
      <c r="J2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Yearly</vt:lpstr>
      <vt:lpstr>Quarterly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Spain Housing</dc:title>
  <dc:subject>Spanish housing market</dc:subject>
  <dc:creator/>
  <cp:keywords>Spain, Housing</cp:keywords>
  <dc:description>@HousingSpanish, spainhousing.xyz</dc:description>
  <cp:lastModifiedBy/>
  <cp:revision>1</cp:revision>
  <dcterms:created xsi:type="dcterms:W3CDTF">2021-01-04T22:15:51Z</dcterms:created>
  <dcterms:modified xsi:type="dcterms:W3CDTF">2022-11-17T17:39:19Z</dcterms:modified>
  <cp:category>Real Estate</cp:category>
  <dc:language/>
</cp:coreProperties>
</file>