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66925"/>
  <xr:revisionPtr revIDLastSave="0" documentId="13_ncr:1_{6C5D85F9-872A-4D2F-841D-295C757091D3}" xr6:coauthVersionLast="47" xr6:coauthVersionMax="47" xr10:uidLastSave="{00000000-0000-0000-0000-000000000000}"/>
  <bookViews>
    <workbookView xWindow="-110" yWindow="-110" windowWidth="21820" windowHeight="14020" tabRatio="496" xr2:uid="{00000000-000D-0000-FFFF-FFFF00000000}"/>
  </bookViews>
  <sheets>
    <sheet name="Yearly" sheetId="9" r:id="rId1"/>
    <sheet name="Quarterly" sheetId="12" r:id="rId2"/>
    <sheet name="Notes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0" i="9" l="1"/>
  <c r="BU60" i="9"/>
  <c r="BW60" i="9"/>
  <c r="DH3" i="9"/>
  <c r="DF25" i="9"/>
  <c r="DB25" i="9"/>
  <c r="DA25" i="9"/>
  <c r="CY62" i="9"/>
  <c r="CY61" i="9"/>
  <c r="E64" i="12"/>
  <c r="AL62" i="9"/>
  <c r="CP61" i="9"/>
  <c r="CO61" i="9"/>
  <c r="CN61" i="9"/>
  <c r="CM61" i="9"/>
  <c r="CL61" i="9"/>
  <c r="DG26" i="9"/>
  <c r="DG3" i="9"/>
  <c r="BV61" i="9"/>
  <c r="BU61" i="9"/>
  <c r="AP61" i="9"/>
  <c r="E63" i="12"/>
  <c r="G63" i="12" s="1"/>
  <c r="CA55" i="9"/>
  <c r="V35" i="9"/>
  <c r="G64" i="12" l="1"/>
  <c r="H64" i="12"/>
  <c r="H63" i="12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38" i="9"/>
  <c r="AQ38" i="9" l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38" i="9"/>
  <c r="AN33" i="9"/>
  <c r="CZ25" i="9"/>
  <c r="DG60" i="9"/>
  <c r="DH60" i="9" s="1"/>
  <c r="Y61" i="9"/>
  <c r="AN24" i="9"/>
  <c r="AN25" i="9"/>
  <c r="AN26" i="9"/>
  <c r="AN27" i="9"/>
  <c r="AN28" i="9"/>
  <c r="AN29" i="9"/>
  <c r="AN30" i="9"/>
  <c r="AN31" i="9"/>
  <c r="AN32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L61" i="9"/>
  <c r="AL50" i="9"/>
  <c r="AL51" i="9"/>
  <c r="AL52" i="9"/>
  <c r="AL53" i="9"/>
  <c r="AL54" i="9"/>
  <c r="AL55" i="9"/>
  <c r="AL56" i="9"/>
  <c r="AL57" i="9"/>
  <c r="AL58" i="9"/>
  <c r="AL59" i="9"/>
  <c r="AL60" i="9"/>
  <c r="AL49" i="9"/>
  <c r="AG61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23" i="9"/>
  <c r="AJ21" i="9"/>
  <c r="AJ22" i="9"/>
  <c r="AJ20" i="9"/>
  <c r="AS38" i="9" l="1"/>
  <c r="AH61" i="9"/>
  <c r="AH60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24" i="9"/>
  <c r="CY20" i="9"/>
  <c r="CY21" i="9"/>
  <c r="CY22" i="9"/>
  <c r="CY23" i="9"/>
  <c r="CY24" i="9"/>
  <c r="CY25" i="9"/>
  <c r="CY26" i="9"/>
  <c r="CY27" i="9"/>
  <c r="CY28" i="9"/>
  <c r="CY29" i="9"/>
  <c r="CY30" i="9"/>
  <c r="CY31" i="9"/>
  <c r="CY32" i="9"/>
  <c r="CY33" i="9"/>
  <c r="CY34" i="9"/>
  <c r="CY35" i="9"/>
  <c r="CY36" i="9"/>
  <c r="CY37" i="9"/>
  <c r="CY38" i="9"/>
  <c r="CY39" i="9"/>
  <c r="CY40" i="9"/>
  <c r="CY41" i="9"/>
  <c r="CY42" i="9"/>
  <c r="CY43" i="9"/>
  <c r="CY44" i="9"/>
  <c r="CY45" i="9"/>
  <c r="CY46" i="9"/>
  <c r="CY47" i="9"/>
  <c r="CY48" i="9"/>
  <c r="CY49" i="9"/>
  <c r="CY50" i="9"/>
  <c r="CY51" i="9"/>
  <c r="CY52" i="9"/>
  <c r="CY53" i="9"/>
  <c r="CY54" i="9"/>
  <c r="CY55" i="9"/>
  <c r="CY56" i="9"/>
  <c r="CY57" i="9"/>
  <c r="CY58" i="9"/>
  <c r="CY59" i="9"/>
  <c r="CY60" i="9"/>
  <c r="CY19" i="9"/>
  <c r="D65" i="12"/>
  <c r="CU24" i="9"/>
  <c r="CU25" i="9" s="1"/>
  <c r="CU26" i="9" s="1"/>
  <c r="CU27" i="9" s="1"/>
  <c r="CV27" i="9" s="1"/>
  <c r="CZ27" i="9"/>
  <c r="DF27" i="9" s="1"/>
  <c r="CW24" i="9"/>
  <c r="CT25" i="9"/>
  <c r="CW25" i="9" s="1"/>
  <c r="CZ61" i="9"/>
  <c r="DA61" i="9" s="1"/>
  <c r="CX25" i="9" l="1"/>
  <c r="CX24" i="9"/>
  <c r="CV24" i="9"/>
  <c r="CV26" i="9"/>
  <c r="CT26" i="9"/>
  <c r="CW26" i="9" s="1"/>
  <c r="CX26" i="9" s="1"/>
  <c r="CV25" i="9" l="1"/>
  <c r="CU28" i="9"/>
  <c r="CT27" i="9"/>
  <c r="CW27" i="9" l="1"/>
  <c r="CX27" i="9" s="1"/>
  <c r="CT28" i="9"/>
  <c r="CW28" i="9" s="1"/>
  <c r="CX28" i="9" s="1"/>
  <c r="CU29" i="9"/>
  <c r="CU30" i="9" s="1"/>
  <c r="CU31" i="9" s="1"/>
  <c r="CU32" i="9" s="1"/>
  <c r="CU33" i="9" s="1"/>
  <c r="CU34" i="9" s="1"/>
  <c r="CU35" i="9" s="1"/>
  <c r="CU36" i="9" s="1"/>
  <c r="CU37" i="9" s="1"/>
  <c r="CU38" i="9" s="1"/>
  <c r="CU39" i="9" s="1"/>
  <c r="CV28" i="9"/>
  <c r="CT29" i="9" l="1"/>
  <c r="CW29" i="9" s="1"/>
  <c r="CX29" i="9" s="1"/>
  <c r="CU40" i="9"/>
  <c r="CU41" i="9" s="1"/>
  <c r="CU42" i="9" s="1"/>
  <c r="CU43" i="9" s="1"/>
  <c r="CU44" i="9" s="1"/>
  <c r="CU45" i="9" s="1"/>
  <c r="CU46" i="9" s="1"/>
  <c r="CU47" i="9" s="1"/>
  <c r="CU48" i="9" s="1"/>
  <c r="CU49" i="9" s="1"/>
  <c r="CU50" i="9" s="1"/>
  <c r="CU51" i="9" s="1"/>
  <c r="CU52" i="9" s="1"/>
  <c r="CU53" i="9" s="1"/>
  <c r="CU54" i="9" s="1"/>
  <c r="CU55" i="9" s="1"/>
  <c r="CU56" i="9" s="1"/>
  <c r="CU57" i="9" s="1"/>
  <c r="CV39" i="9"/>
  <c r="CT30" i="9" l="1"/>
  <c r="CW30" i="9" s="1"/>
  <c r="CX30" i="9" s="1"/>
  <c r="CU58" i="9"/>
  <c r="CU59" i="9" s="1"/>
  <c r="CU60" i="9" s="1"/>
  <c r="CU61" i="9" s="1"/>
  <c r="CV61" i="9" s="1"/>
  <c r="CV57" i="9"/>
  <c r="CT31" i="9" l="1"/>
  <c r="CW31" i="9" s="1"/>
  <c r="CX31" i="9" s="1"/>
  <c r="CT32" i="9" l="1"/>
  <c r="CW32" i="9" s="1"/>
  <c r="CX32" i="9" s="1"/>
  <c r="CT33" i="9" l="1"/>
  <c r="CW33" i="9" s="1"/>
  <c r="CX33" i="9" s="1"/>
  <c r="CT34" i="9" l="1"/>
  <c r="CW34" i="9" s="1"/>
  <c r="CX34" i="9" s="1"/>
  <c r="CT35" i="9" l="1"/>
  <c r="CW35" i="9" s="1"/>
  <c r="CX35" i="9" s="1"/>
  <c r="CT36" i="9" l="1"/>
  <c r="CW36" i="9" s="1"/>
  <c r="CX36" i="9" s="1"/>
  <c r="CT37" i="9" l="1"/>
  <c r="CW37" i="9" s="1"/>
  <c r="CX37" i="9" s="1"/>
  <c r="CT38" i="9" l="1"/>
  <c r="CW38" i="9" s="1"/>
  <c r="CX38" i="9" s="1"/>
  <c r="CT39" i="9" l="1"/>
  <c r="CW39" i="9" s="1"/>
  <c r="CX39" i="9" s="1"/>
  <c r="CT40" i="9" l="1"/>
  <c r="CW40" i="9" s="1"/>
  <c r="CX40" i="9" s="1"/>
  <c r="CT41" i="9" l="1"/>
  <c r="CW41" i="9" s="1"/>
  <c r="CX41" i="9" s="1"/>
  <c r="CT42" i="9" l="1"/>
  <c r="CW42" i="9" s="1"/>
  <c r="CX42" i="9" s="1"/>
  <c r="CT43" i="9" l="1"/>
  <c r="CW43" i="9" s="1"/>
  <c r="CX43" i="9" s="1"/>
  <c r="CT44" i="9" l="1"/>
  <c r="CW44" i="9" s="1"/>
  <c r="CX44" i="9" s="1"/>
  <c r="CT45" i="9" l="1"/>
  <c r="CW45" i="9" s="1"/>
  <c r="CX45" i="9" s="1"/>
  <c r="CT46" i="9" l="1"/>
  <c r="CW46" i="9" s="1"/>
  <c r="CX46" i="9" s="1"/>
  <c r="CT47" i="9" l="1"/>
  <c r="CW47" i="9" s="1"/>
  <c r="CX47" i="9" s="1"/>
  <c r="CT48" i="9" l="1"/>
  <c r="CW48" i="9" s="1"/>
  <c r="CX48" i="9" s="1"/>
  <c r="CT49" i="9" l="1"/>
  <c r="CW49" i="9" s="1"/>
  <c r="CX49" i="9" s="1"/>
  <c r="CT50" i="9" l="1"/>
  <c r="CW50" i="9" s="1"/>
  <c r="CX50" i="9" s="1"/>
  <c r="CT51" i="9" l="1"/>
  <c r="CW51" i="9" s="1"/>
  <c r="CX51" i="9" s="1"/>
  <c r="CT52" i="9" l="1"/>
  <c r="CW52" i="9" s="1"/>
  <c r="CX52" i="9" s="1"/>
  <c r="CT53" i="9" l="1"/>
  <c r="CW53" i="9" s="1"/>
  <c r="CX53" i="9" s="1"/>
  <c r="CT54" i="9" l="1"/>
  <c r="CW54" i="9" s="1"/>
  <c r="CX54" i="9" s="1"/>
  <c r="CT55" i="9"/>
  <c r="CW55" i="9" s="1"/>
  <c r="CX55" i="9" s="1"/>
  <c r="CT56" i="9" l="1"/>
  <c r="CW56" i="9" s="1"/>
  <c r="CX56" i="9" s="1"/>
  <c r="CT57" i="9" l="1"/>
  <c r="CW57" i="9" s="1"/>
  <c r="CX57" i="9" s="1"/>
  <c r="CT58" i="9" l="1"/>
  <c r="CW58" i="9" s="1"/>
  <c r="CX58" i="9" s="1"/>
  <c r="CT59" i="9" l="1"/>
  <c r="CW59" i="9" s="1"/>
  <c r="CX59" i="9" s="1"/>
  <c r="CT60" i="9" l="1"/>
  <c r="CW60" i="9" s="1"/>
  <c r="CX60" i="9" s="1"/>
  <c r="CT61" i="9" l="1"/>
  <c r="CW61" i="9" s="1"/>
  <c r="CX61" i="9" s="1"/>
  <c r="CZ51" i="9"/>
  <c r="DA51" i="9" s="1"/>
  <c r="CZ31" i="9"/>
  <c r="DA31" i="9" s="1"/>
  <c r="DF61" i="9"/>
  <c r="CL60" i="9"/>
  <c r="D64" i="12" l="1"/>
  <c r="BH30" i="9"/>
  <c r="BI30" i="9" s="1"/>
  <c r="BH60" i="9"/>
  <c r="BI60" i="9" s="1"/>
  <c r="BM30" i="9"/>
  <c r="BN30" i="9" s="1"/>
  <c r="BH61" i="9"/>
  <c r="BI61" i="9" s="1"/>
  <c r="BU30" i="9"/>
  <c r="BU31" i="9"/>
  <c r="BM31" i="9"/>
  <c r="BN31" i="9" s="1"/>
  <c r="BM32" i="9"/>
  <c r="BN32" i="9" s="1"/>
  <c r="BM33" i="9"/>
  <c r="BN33" i="9" s="1"/>
  <c r="BM34" i="9"/>
  <c r="BN34" i="9" s="1"/>
  <c r="BM35" i="9"/>
  <c r="BN35" i="9" s="1"/>
  <c r="BM36" i="9"/>
  <c r="BN36" i="9" s="1"/>
  <c r="BM37" i="9"/>
  <c r="BN37" i="9" s="1"/>
  <c r="BM38" i="9"/>
  <c r="BN38" i="9" s="1"/>
  <c r="BM39" i="9"/>
  <c r="BN39" i="9" s="1"/>
  <c r="BM40" i="9"/>
  <c r="BN40" i="9" s="1"/>
  <c r="BM41" i="9"/>
  <c r="BN41" i="9" s="1"/>
  <c r="BM42" i="9"/>
  <c r="BN42" i="9" s="1"/>
  <c r="BM43" i="9"/>
  <c r="BN43" i="9" s="1"/>
  <c r="BM44" i="9"/>
  <c r="BN44" i="9" s="1"/>
  <c r="BM45" i="9"/>
  <c r="BN45" i="9" s="1"/>
  <c r="BM46" i="9"/>
  <c r="BN46" i="9" s="1"/>
  <c r="BM47" i="9"/>
  <c r="BN47" i="9" s="1"/>
  <c r="BM48" i="9"/>
  <c r="BN48" i="9" s="1"/>
  <c r="BM49" i="9"/>
  <c r="BN49" i="9" s="1"/>
  <c r="BM50" i="9"/>
  <c r="BN50" i="9" s="1"/>
  <c r="BM51" i="9"/>
  <c r="BN51" i="9" s="1"/>
  <c r="BM52" i="9"/>
  <c r="BN52" i="9" s="1"/>
  <c r="BM53" i="9"/>
  <c r="BN53" i="9" s="1"/>
  <c r="BM54" i="9"/>
  <c r="BN54" i="9" s="1"/>
  <c r="BM55" i="9"/>
  <c r="BN55" i="9" s="1"/>
  <c r="BM56" i="9"/>
  <c r="BN56" i="9" s="1"/>
  <c r="BM57" i="9"/>
  <c r="BN57" i="9" s="1"/>
  <c r="BM58" i="9"/>
  <c r="BN58" i="9" s="1"/>
  <c r="BM59" i="9"/>
  <c r="BN59" i="9" s="1"/>
  <c r="BM60" i="9"/>
  <c r="BN60" i="9" s="1"/>
  <c r="BM61" i="9"/>
  <c r="BN61" i="9" s="1"/>
  <c r="BH31" i="9"/>
  <c r="BI31" i="9" s="1"/>
  <c r="BH32" i="9"/>
  <c r="BI32" i="9" s="1"/>
  <c r="BH33" i="9"/>
  <c r="BI33" i="9" s="1"/>
  <c r="BH34" i="9"/>
  <c r="BI34" i="9" s="1"/>
  <c r="BH35" i="9"/>
  <c r="BI35" i="9" s="1"/>
  <c r="BH36" i="9"/>
  <c r="BI36" i="9" s="1"/>
  <c r="BH37" i="9"/>
  <c r="BI37" i="9" s="1"/>
  <c r="BH38" i="9"/>
  <c r="BI38" i="9" s="1"/>
  <c r="BH39" i="9"/>
  <c r="BI39" i="9" s="1"/>
  <c r="BH40" i="9"/>
  <c r="BI40" i="9" s="1"/>
  <c r="BH41" i="9"/>
  <c r="BI41" i="9" s="1"/>
  <c r="BH42" i="9"/>
  <c r="BI42" i="9" s="1"/>
  <c r="BH43" i="9"/>
  <c r="BI43" i="9" s="1"/>
  <c r="BH44" i="9"/>
  <c r="BI44" i="9" s="1"/>
  <c r="BH45" i="9"/>
  <c r="BI45" i="9" s="1"/>
  <c r="BH46" i="9"/>
  <c r="BI46" i="9" s="1"/>
  <c r="BH47" i="9"/>
  <c r="BI47" i="9" s="1"/>
  <c r="BH48" i="9"/>
  <c r="BI48" i="9" s="1"/>
  <c r="BH49" i="9"/>
  <c r="BI49" i="9" s="1"/>
  <c r="BH50" i="9"/>
  <c r="BI50" i="9" s="1"/>
  <c r="BH51" i="9"/>
  <c r="BI51" i="9" s="1"/>
  <c r="BH52" i="9"/>
  <c r="BI52" i="9" s="1"/>
  <c r="BH53" i="9"/>
  <c r="BI53" i="9" s="1"/>
  <c r="BH54" i="9"/>
  <c r="BI54" i="9" s="1"/>
  <c r="BH55" i="9"/>
  <c r="BI55" i="9" s="1"/>
  <c r="BH56" i="9"/>
  <c r="BI56" i="9" s="1"/>
  <c r="BH57" i="9"/>
  <c r="BI57" i="9" s="1"/>
  <c r="BH58" i="9"/>
  <c r="BI58" i="9" s="1"/>
  <c r="BH59" i="9"/>
  <c r="BI59" i="9" s="1"/>
  <c r="D2" i="12"/>
  <c r="D52" i="12"/>
  <c r="DC61" i="9"/>
  <c r="BS10" i="9"/>
  <c r="C9" i="9"/>
  <c r="O45" i="9"/>
  <c r="O44" i="9" s="1"/>
  <c r="O43" i="9" s="1"/>
  <c r="O42" i="9" s="1"/>
  <c r="N45" i="9"/>
  <c r="N44" i="9" s="1"/>
  <c r="N43" i="9" s="1"/>
  <c r="N42" i="9" s="1"/>
  <c r="BS34" i="9"/>
  <c r="CV19" i="9"/>
  <c r="CV18" i="9"/>
  <c r="CV17" i="9"/>
  <c r="CV16" i="9"/>
  <c r="CV15" i="9"/>
  <c r="CV14" i="9"/>
  <c r="CV13" i="9"/>
  <c r="CV12" i="9"/>
  <c r="CV11" i="9"/>
  <c r="CV10" i="9"/>
  <c r="CV9" i="9"/>
  <c r="CV8" i="9"/>
  <c r="CV7" i="9"/>
  <c r="CV4" i="9"/>
  <c r="CV5" i="9"/>
  <c r="CV6" i="9"/>
  <c r="CV20" i="9"/>
  <c r="CV21" i="9"/>
  <c r="CV22" i="9"/>
  <c r="CV3" i="9"/>
  <c r="CV23" i="9" l="1"/>
  <c r="BO30" i="9"/>
  <c r="BO50" i="9"/>
  <c r="BO38" i="9"/>
  <c r="BP55" i="9"/>
  <c r="BO49" i="9"/>
  <c r="BP54" i="9"/>
  <c r="BP42" i="9"/>
  <c r="BO61" i="9"/>
  <c r="BP37" i="9"/>
  <c r="BP60" i="9"/>
  <c r="BP53" i="9"/>
  <c r="BP41" i="9"/>
  <c r="BP52" i="9"/>
  <c r="BO59" i="9"/>
  <c r="BO47" i="9"/>
  <c r="BP43" i="9"/>
  <c r="BO35" i="9"/>
  <c r="BO57" i="9"/>
  <c r="BO45" i="9"/>
  <c r="BO33" i="9"/>
  <c r="BP31" i="9"/>
  <c r="BP61" i="9"/>
  <c r="BP51" i="9"/>
  <c r="BP50" i="9"/>
  <c r="BP48" i="9"/>
  <c r="BP36" i="9"/>
  <c r="BP59" i="9"/>
  <c r="BP47" i="9"/>
  <c r="BP35" i="9"/>
  <c r="BP39" i="9"/>
  <c r="BP38" i="9"/>
  <c r="BP46" i="9"/>
  <c r="BP34" i="9"/>
  <c r="BP57" i="9"/>
  <c r="BP45" i="9"/>
  <c r="BP33" i="9"/>
  <c r="BP58" i="9"/>
  <c r="BP56" i="9"/>
  <c r="BP44" i="9"/>
  <c r="BP32" i="9"/>
  <c r="BO51" i="9"/>
  <c r="BO39" i="9"/>
  <c r="BO37" i="9"/>
  <c r="BP40" i="9"/>
  <c r="BO60" i="9"/>
  <c r="BO48" i="9"/>
  <c r="BO36" i="9"/>
  <c r="BP49" i="9"/>
  <c r="BO58" i="9"/>
  <c r="BO46" i="9"/>
  <c r="BO34" i="9"/>
  <c r="BO56" i="9"/>
  <c r="BO44" i="9"/>
  <c r="BO32" i="9"/>
  <c r="BO55" i="9"/>
  <c r="BO43" i="9"/>
  <c r="BO31" i="9"/>
  <c r="BO54" i="9"/>
  <c r="BO53" i="9"/>
  <c r="BO41" i="9"/>
  <c r="BO52" i="9"/>
  <c r="BO40" i="9"/>
  <c r="BO42" i="9"/>
  <c r="CL57" i="9"/>
  <c r="BT61" i="9"/>
  <c r="BS61" i="9"/>
  <c r="BT10" i="9"/>
  <c r="BS26" i="9"/>
  <c r="BT25" i="9"/>
  <c r="CZ39" i="9"/>
  <c r="AR39" i="9" s="1"/>
  <c r="AS39" i="9" s="1"/>
  <c r="AT39" i="9" s="1"/>
  <c r="CL56" i="9"/>
  <c r="DG24" i="9"/>
  <c r="BU10" i="9"/>
  <c r="BV10" i="9"/>
  <c r="BT11" i="9"/>
  <c r="BV11" i="9"/>
  <c r="DA39" i="9" l="1"/>
  <c r="DF39" i="9"/>
  <c r="BW61" i="9"/>
  <c r="BW10" i="9"/>
  <c r="DK3" i="9"/>
  <c r="DJ3" i="9"/>
  <c r="DI3" i="9"/>
  <c r="BU20" i="9"/>
  <c r="CZ45" i="9"/>
  <c r="DA45" i="9" s="1"/>
  <c r="T42" i="9"/>
  <c r="V34" i="9"/>
  <c r="V36" i="9"/>
  <c r="V37" i="9"/>
  <c r="V38" i="9"/>
  <c r="V39" i="9"/>
  <c r="V40" i="9"/>
  <c r="V41" i="9"/>
  <c r="V42" i="9"/>
  <c r="T34" i="9"/>
  <c r="DB27" i="9"/>
  <c r="BU51" i="9"/>
  <c r="BS60" i="9"/>
  <c r="BT60" i="9"/>
  <c r="BS59" i="9"/>
  <c r="D63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3" i="12"/>
  <c r="D54" i="12"/>
  <c r="D55" i="12"/>
  <c r="D56" i="12"/>
  <c r="D57" i="12"/>
  <c r="D58" i="12"/>
  <c r="D59" i="12"/>
  <c r="D60" i="12"/>
  <c r="D61" i="12"/>
  <c r="D62" i="12"/>
  <c r="CL46" i="9"/>
  <c r="V43" i="9"/>
  <c r="BT20" i="9"/>
  <c r="BT21" i="9"/>
  <c r="BT22" i="9"/>
  <c r="BT23" i="9"/>
  <c r="BT24" i="9"/>
  <c r="BT26" i="9"/>
  <c r="BT27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6" i="9"/>
  <c r="BT47" i="9"/>
  <c r="BT48" i="9"/>
  <c r="BT49" i="9"/>
  <c r="BT50" i="9"/>
  <c r="BT51" i="9"/>
  <c r="BT52" i="9"/>
  <c r="BT53" i="9"/>
  <c r="BT54" i="9"/>
  <c r="BT55" i="9"/>
  <c r="BT56" i="9"/>
  <c r="BT57" i="9"/>
  <c r="BT58" i="9"/>
  <c r="BT59" i="9"/>
  <c r="BV17" i="9"/>
  <c r="BV23" i="9"/>
  <c r="BV12" i="9"/>
  <c r="BV59" i="9"/>
  <c r="BV58" i="9"/>
  <c r="BV57" i="9"/>
  <c r="BV56" i="9"/>
  <c r="BV55" i="9"/>
  <c r="BV54" i="9"/>
  <c r="BV53" i="9"/>
  <c r="BV52" i="9"/>
  <c r="BV51" i="9"/>
  <c r="BV50" i="9"/>
  <c r="BV49" i="9"/>
  <c r="BV48" i="9"/>
  <c r="BV47" i="9"/>
  <c r="BV46" i="9"/>
  <c r="BV45" i="9"/>
  <c r="BV44" i="9"/>
  <c r="BV43" i="9"/>
  <c r="BV42" i="9"/>
  <c r="BV41" i="9"/>
  <c r="BV40" i="9"/>
  <c r="BV39" i="9"/>
  <c r="BV38" i="9"/>
  <c r="BV37" i="9"/>
  <c r="BV36" i="9"/>
  <c r="BV35" i="9"/>
  <c r="BV34" i="9"/>
  <c r="BV33" i="9"/>
  <c r="BV32" i="9"/>
  <c r="BV31" i="9"/>
  <c r="BV30" i="9"/>
  <c r="BV29" i="9"/>
  <c r="BV28" i="9"/>
  <c r="BV27" i="9"/>
  <c r="BV26" i="9"/>
  <c r="BV25" i="9"/>
  <c r="BV24" i="9"/>
  <c r="BV22" i="9"/>
  <c r="BV21" i="9"/>
  <c r="BV20" i="9"/>
  <c r="BV19" i="9"/>
  <c r="BV18" i="9"/>
  <c r="BV16" i="9"/>
  <c r="BV15" i="9"/>
  <c r="BV14" i="9"/>
  <c r="BV13" i="9"/>
  <c r="AU43" i="9" l="1"/>
  <c r="AV43" i="9"/>
  <c r="AV38" i="9"/>
  <c r="AW38" i="9" s="1"/>
  <c r="AU38" i="9"/>
  <c r="AU42" i="9"/>
  <c r="AV42" i="9"/>
  <c r="AW42" i="9" s="1"/>
  <c r="AU41" i="9"/>
  <c r="AV41" i="9"/>
  <c r="AW41" i="9" s="1"/>
  <c r="AV40" i="9"/>
  <c r="AW40" i="9" s="1"/>
  <c r="AU40" i="9"/>
  <c r="AV39" i="9"/>
  <c r="AW39" i="9" s="1"/>
  <c r="AU39" i="9"/>
  <c r="Z35" i="9"/>
  <c r="P8" i="12"/>
  <c r="P9" i="12" s="1"/>
  <c r="G62" i="12"/>
  <c r="BU11" i="9"/>
  <c r="BW11" i="9" s="1"/>
  <c r="BS11" i="9"/>
  <c r="DL14" i="9"/>
  <c r="DL3" i="9"/>
  <c r="DG5" i="9"/>
  <c r="C8" i="9"/>
  <c r="C7" i="9" s="1"/>
  <c r="C6" i="9" s="1"/>
  <c r="C5" i="9" s="1"/>
  <c r="C4" i="9" s="1"/>
  <c r="E10" i="9"/>
  <c r="F10" i="9" s="1"/>
  <c r="G10" i="9" s="1"/>
  <c r="E11" i="9"/>
  <c r="F11" i="9" s="1"/>
  <c r="G11" i="9" s="1"/>
  <c r="E12" i="9"/>
  <c r="F12" i="9" s="1"/>
  <c r="G12" i="9" s="1"/>
  <c r="E13" i="9"/>
  <c r="F13" i="9" s="1"/>
  <c r="G13" i="9" s="1"/>
  <c r="E14" i="9"/>
  <c r="F14" i="9" s="1"/>
  <c r="G14" i="9" s="1"/>
  <c r="E15" i="9"/>
  <c r="F15" i="9" s="1"/>
  <c r="G15" i="9" s="1"/>
  <c r="E16" i="9"/>
  <c r="F16" i="9" s="1"/>
  <c r="G16" i="9" s="1"/>
  <c r="E17" i="9"/>
  <c r="F17" i="9" s="1"/>
  <c r="G17" i="9" s="1"/>
  <c r="E18" i="9"/>
  <c r="F18" i="9" s="1"/>
  <c r="G18" i="9" s="1"/>
  <c r="E19" i="9"/>
  <c r="F19" i="9" s="1"/>
  <c r="G19" i="9" s="1"/>
  <c r="E20" i="9"/>
  <c r="F20" i="9" s="1"/>
  <c r="G20" i="9" s="1"/>
  <c r="E21" i="9"/>
  <c r="F21" i="9" s="1"/>
  <c r="G21" i="9" s="1"/>
  <c r="E22" i="9"/>
  <c r="F22" i="9" s="1"/>
  <c r="G22" i="9" s="1"/>
  <c r="E23" i="9"/>
  <c r="F23" i="9" s="1"/>
  <c r="G23" i="9" s="1"/>
  <c r="E24" i="9"/>
  <c r="F24" i="9" s="1"/>
  <c r="G24" i="9" s="1"/>
  <c r="E25" i="9"/>
  <c r="F25" i="9" s="1"/>
  <c r="G25" i="9" s="1"/>
  <c r="E26" i="9"/>
  <c r="F26" i="9" s="1"/>
  <c r="G26" i="9" s="1"/>
  <c r="E27" i="9"/>
  <c r="F27" i="9" s="1"/>
  <c r="G27" i="9" s="1"/>
  <c r="E28" i="9"/>
  <c r="F28" i="9" s="1"/>
  <c r="G28" i="9" s="1"/>
  <c r="E29" i="9"/>
  <c r="F29" i="9" s="1"/>
  <c r="G29" i="9" s="1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CZ59" i="9"/>
  <c r="DA59" i="9" s="1"/>
  <c r="T35" i="9"/>
  <c r="Z36" i="9"/>
  <c r="Y42" i="9"/>
  <c r="Z37" i="9"/>
  <c r="Z38" i="9"/>
  <c r="Z39" i="9"/>
  <c r="Z40" i="9"/>
  <c r="Z41" i="9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CL48" i="9"/>
  <c r="BU12" i="9" l="1"/>
  <c r="BT12" i="9"/>
  <c r="BS12" i="9"/>
  <c r="C3" i="9"/>
  <c r="E3" i="9" s="1"/>
  <c r="F3" i="9" s="1"/>
  <c r="G3" i="9" s="1"/>
  <c r="E9" i="9"/>
  <c r="F9" i="9" s="1"/>
  <c r="G9" i="9" s="1"/>
  <c r="E7" i="9"/>
  <c r="F7" i="9" s="1"/>
  <c r="G7" i="9" s="1"/>
  <c r="E6" i="9"/>
  <c r="F6" i="9" s="1"/>
  <c r="G6" i="9" s="1"/>
  <c r="E4" i="9"/>
  <c r="F4" i="9" s="1"/>
  <c r="G4" i="9" s="1"/>
  <c r="E8" i="9"/>
  <c r="F8" i="9" s="1"/>
  <c r="G8" i="9" s="1"/>
  <c r="E5" i="9"/>
  <c r="F5" i="9" s="1"/>
  <c r="G5" i="9" s="1"/>
  <c r="DL4" i="9"/>
  <c r="DL5" i="9"/>
  <c r="DL6" i="9"/>
  <c r="DL7" i="9"/>
  <c r="DL8" i="9"/>
  <c r="DL9" i="9"/>
  <c r="DL10" i="9"/>
  <c r="DL11" i="9"/>
  <c r="DL12" i="9"/>
  <c r="DL13" i="9"/>
  <c r="DL15" i="9"/>
  <c r="DL16" i="9"/>
  <c r="DL17" i="9"/>
  <c r="DL18" i="9"/>
  <c r="DL19" i="9"/>
  <c r="DL20" i="9"/>
  <c r="DL21" i="9"/>
  <c r="DL22" i="9"/>
  <c r="DL23" i="9"/>
  <c r="DL24" i="9"/>
  <c r="DL25" i="9"/>
  <c r="DL26" i="9"/>
  <c r="DL27" i="9"/>
  <c r="DL28" i="9"/>
  <c r="DL29" i="9"/>
  <c r="DL30" i="9"/>
  <c r="DL31" i="9"/>
  <c r="DL32" i="9"/>
  <c r="DL33" i="9"/>
  <c r="DL34" i="9"/>
  <c r="DL35" i="9"/>
  <c r="DL36" i="9"/>
  <c r="DL37" i="9"/>
  <c r="DL38" i="9"/>
  <c r="DL39" i="9"/>
  <c r="DL40" i="9"/>
  <c r="DL41" i="9"/>
  <c r="DL42" i="9"/>
  <c r="DL43" i="9"/>
  <c r="DL44" i="9"/>
  <c r="DL45" i="9"/>
  <c r="DL46" i="9"/>
  <c r="DL47" i="9"/>
  <c r="DL48" i="9"/>
  <c r="DL49" i="9"/>
  <c r="DL50" i="9"/>
  <c r="DL51" i="9"/>
  <c r="DL52" i="9"/>
  <c r="DL53" i="9"/>
  <c r="DL54" i="9"/>
  <c r="DL55" i="9"/>
  <c r="DL56" i="9"/>
  <c r="DL57" i="9"/>
  <c r="DL58" i="9"/>
  <c r="DL59" i="9"/>
  <c r="DL60" i="9"/>
  <c r="DL61" i="9"/>
  <c r="DL62" i="9"/>
  <c r="DL63" i="9"/>
  <c r="DL64" i="9"/>
  <c r="DL65" i="9"/>
  <c r="DL66" i="9"/>
  <c r="DL67" i="9"/>
  <c r="DL68" i="9"/>
  <c r="DL69" i="9"/>
  <c r="DL70" i="9"/>
  <c r="DL71" i="9"/>
  <c r="DL72" i="9"/>
  <c r="DL73" i="9"/>
  <c r="DL74" i="9"/>
  <c r="DL75" i="9"/>
  <c r="DL76" i="9"/>
  <c r="DL77" i="9"/>
  <c r="DL78" i="9"/>
  <c r="DL79" i="9"/>
  <c r="DL80" i="9"/>
  <c r="DL81" i="9"/>
  <c r="DL82" i="9"/>
  <c r="DL83" i="9"/>
  <c r="DL84" i="9"/>
  <c r="DL85" i="9"/>
  <c r="DL86" i="9"/>
  <c r="DL87" i="9"/>
  <c r="DL88" i="9"/>
  <c r="DL89" i="9"/>
  <c r="DL90" i="9"/>
  <c r="DL91" i="9"/>
  <c r="DL92" i="9"/>
  <c r="DL93" i="9"/>
  <c r="DL94" i="9"/>
  <c r="DL95" i="9"/>
  <c r="DL96" i="9"/>
  <c r="DL97" i="9"/>
  <c r="DL98" i="9"/>
  <c r="DL99" i="9"/>
  <c r="DL100" i="9"/>
  <c r="DL101" i="9"/>
  <c r="DL102" i="9"/>
  <c r="DL103" i="9"/>
  <c r="DL104" i="9"/>
  <c r="DL105" i="9"/>
  <c r="DL106" i="9"/>
  <c r="DL107" i="9"/>
  <c r="DL108" i="9"/>
  <c r="DL109" i="9"/>
  <c r="DG4" i="9"/>
  <c r="DG6" i="9"/>
  <c r="DG7" i="9"/>
  <c r="DG8" i="9"/>
  <c r="DH8" i="9" s="1"/>
  <c r="DG9" i="9"/>
  <c r="DG10" i="9"/>
  <c r="DG11" i="9"/>
  <c r="DG12" i="9"/>
  <c r="DG13" i="9"/>
  <c r="DG14" i="9"/>
  <c r="DG15" i="9"/>
  <c r="DH15" i="9" s="1"/>
  <c r="DG16" i="9"/>
  <c r="DG17" i="9"/>
  <c r="DG18" i="9"/>
  <c r="DG19" i="9"/>
  <c r="DG20" i="9"/>
  <c r="DG21" i="9"/>
  <c r="DG22" i="9"/>
  <c r="DG23" i="9"/>
  <c r="DG25" i="9"/>
  <c r="DG27" i="9"/>
  <c r="DG28" i="9"/>
  <c r="DG29" i="9"/>
  <c r="DG30" i="9"/>
  <c r="DG31" i="9"/>
  <c r="DG32" i="9"/>
  <c r="DG33" i="9"/>
  <c r="DG34" i="9"/>
  <c r="DG35" i="9"/>
  <c r="DG36" i="9"/>
  <c r="DG37" i="9"/>
  <c r="DG38" i="9"/>
  <c r="DG39" i="9"/>
  <c r="DG40" i="9"/>
  <c r="DG41" i="9"/>
  <c r="DG42" i="9"/>
  <c r="DG43" i="9"/>
  <c r="DG44" i="9"/>
  <c r="DG45" i="9"/>
  <c r="DG46" i="9"/>
  <c r="DG47" i="9"/>
  <c r="DG48" i="9"/>
  <c r="DG49" i="9"/>
  <c r="DG50" i="9"/>
  <c r="DG51" i="9"/>
  <c r="DG52" i="9"/>
  <c r="DG53" i="9"/>
  <c r="DG54" i="9"/>
  <c r="DG55" i="9"/>
  <c r="DG56" i="9"/>
  <c r="DG57" i="9"/>
  <c r="DG58" i="9"/>
  <c r="DG59" i="9"/>
  <c r="DG61" i="9"/>
  <c r="DG62" i="9"/>
  <c r="DG63" i="9"/>
  <c r="DG64" i="9"/>
  <c r="DG65" i="9"/>
  <c r="DG66" i="9"/>
  <c r="DG67" i="9"/>
  <c r="DG68" i="9"/>
  <c r="DG69" i="9"/>
  <c r="DG70" i="9"/>
  <c r="DG71" i="9"/>
  <c r="DG72" i="9"/>
  <c r="DG73" i="9"/>
  <c r="DG74" i="9"/>
  <c r="DG75" i="9"/>
  <c r="DG76" i="9"/>
  <c r="DG77" i="9"/>
  <c r="DG78" i="9"/>
  <c r="DG79" i="9"/>
  <c r="DG80" i="9"/>
  <c r="DG81" i="9"/>
  <c r="DG82" i="9"/>
  <c r="DG83" i="9"/>
  <c r="DG84" i="9"/>
  <c r="DG85" i="9"/>
  <c r="DG86" i="9"/>
  <c r="DG87" i="9"/>
  <c r="DG88" i="9"/>
  <c r="DG89" i="9"/>
  <c r="DG90" i="9"/>
  <c r="DG91" i="9"/>
  <c r="DG92" i="9"/>
  <c r="DG93" i="9"/>
  <c r="DG94" i="9"/>
  <c r="DG95" i="9"/>
  <c r="DG96" i="9"/>
  <c r="DG97" i="9"/>
  <c r="DG98" i="9"/>
  <c r="DG99" i="9"/>
  <c r="DG100" i="9"/>
  <c r="DG101" i="9"/>
  <c r="DG102" i="9"/>
  <c r="DG103" i="9"/>
  <c r="DG104" i="9"/>
  <c r="DG105" i="9"/>
  <c r="DG106" i="9"/>
  <c r="DG107" i="9"/>
  <c r="DG108" i="9"/>
  <c r="DG109" i="9"/>
  <c r="CQ57" i="9"/>
  <c r="CO57" i="9" s="1"/>
  <c r="CQ56" i="9"/>
  <c r="CO56" i="9" s="1"/>
  <c r="CQ54" i="9"/>
  <c r="CO54" i="9" s="1"/>
  <c r="CQ53" i="9"/>
  <c r="CO53" i="9" s="1"/>
  <c r="CQ52" i="9"/>
  <c r="CQ49" i="9"/>
  <c r="CO49" i="9" s="1"/>
  <c r="DD61" i="9"/>
  <c r="DD54" i="9"/>
  <c r="DD55" i="9"/>
  <c r="DD56" i="9"/>
  <c r="DD57" i="9"/>
  <c r="DD58" i="9"/>
  <c r="DD59" i="9"/>
  <c r="DD60" i="9"/>
  <c r="DD44" i="9"/>
  <c r="DD45" i="9"/>
  <c r="DD46" i="9"/>
  <c r="DD47" i="9"/>
  <c r="DD48" i="9"/>
  <c r="DD49" i="9"/>
  <c r="DD50" i="9"/>
  <c r="DD51" i="9"/>
  <c r="DD52" i="9"/>
  <c r="DD53" i="9"/>
  <c r="DD43" i="9"/>
  <c r="DC45" i="9"/>
  <c r="DC46" i="9"/>
  <c r="DC47" i="9"/>
  <c r="DC48" i="9"/>
  <c r="DC49" i="9"/>
  <c r="DC50" i="9"/>
  <c r="DC51" i="9"/>
  <c r="DC52" i="9"/>
  <c r="DC53" i="9"/>
  <c r="DC54" i="9"/>
  <c r="DC55" i="9"/>
  <c r="DC56" i="9"/>
  <c r="DC57" i="9"/>
  <c r="DC58" i="9"/>
  <c r="DC59" i="9"/>
  <c r="DC60" i="9"/>
  <c r="DC44" i="9"/>
  <c r="DC43" i="9"/>
  <c r="CM52" i="9" l="1"/>
  <c r="CN52" i="9" s="1"/>
  <c r="CO52" i="9"/>
  <c r="CM56" i="9"/>
  <c r="CN56" i="9" s="1"/>
  <c r="CM57" i="9"/>
  <c r="CN57" i="9" s="1"/>
  <c r="CP57" i="9"/>
  <c r="CM49" i="9"/>
  <c r="CM54" i="9"/>
  <c r="CM53" i="9"/>
  <c r="BU13" i="9"/>
  <c r="BT13" i="9"/>
  <c r="BS13" i="9"/>
  <c r="CQ55" i="9"/>
  <c r="CO55" i="9" s="1"/>
  <c r="CQ60" i="9"/>
  <c r="CQ46" i="9"/>
  <c r="CO46" i="9" s="1"/>
  <c r="CP46" i="9" s="1"/>
  <c r="CQ50" i="9"/>
  <c r="CO50" i="9" s="1"/>
  <c r="CQ51" i="9"/>
  <c r="CO51" i="9" s="1"/>
  <c r="CQ59" i="9"/>
  <c r="CO59" i="9" s="1"/>
  <c r="CQ47" i="9"/>
  <c r="CO47" i="9" s="1"/>
  <c r="CQ48" i="9"/>
  <c r="CO48" i="9" s="1"/>
  <c r="CQ58" i="9"/>
  <c r="CO58" i="9" s="1"/>
  <c r="DH14" i="9"/>
  <c r="DI14" i="9"/>
  <c r="DJ14" i="9"/>
  <c r="DK14" i="9"/>
  <c r="H2" i="12"/>
  <c r="H60" i="12"/>
  <c r="G8" i="12"/>
  <c r="G20" i="12"/>
  <c r="G32" i="12"/>
  <c r="G40" i="12"/>
  <c r="G48" i="12"/>
  <c r="G56" i="12"/>
  <c r="H5" i="12"/>
  <c r="H17" i="12"/>
  <c r="H25" i="12"/>
  <c r="H33" i="12"/>
  <c r="H45" i="12"/>
  <c r="H53" i="12"/>
  <c r="G10" i="12"/>
  <c r="G22" i="12"/>
  <c r="G38" i="12"/>
  <c r="G4" i="12"/>
  <c r="G24" i="12"/>
  <c r="H49" i="12"/>
  <c r="H61" i="12"/>
  <c r="G6" i="12"/>
  <c r="G18" i="12"/>
  <c r="G26" i="12"/>
  <c r="G34" i="12"/>
  <c r="G46" i="12"/>
  <c r="G58" i="12"/>
  <c r="H7" i="12"/>
  <c r="H15" i="12"/>
  <c r="H23" i="12"/>
  <c r="H27" i="12"/>
  <c r="H31" i="12"/>
  <c r="H35" i="12"/>
  <c r="H39" i="12"/>
  <c r="H43" i="12"/>
  <c r="H47" i="12"/>
  <c r="H51" i="12"/>
  <c r="H55" i="12"/>
  <c r="H59" i="12"/>
  <c r="G16" i="12"/>
  <c r="G52" i="12"/>
  <c r="H9" i="12"/>
  <c r="H41" i="12"/>
  <c r="G12" i="12"/>
  <c r="G28" i="12"/>
  <c r="G36" i="12"/>
  <c r="G44" i="12"/>
  <c r="G60" i="12"/>
  <c r="H13" i="12"/>
  <c r="H21" i="12"/>
  <c r="H29" i="12"/>
  <c r="H37" i="12"/>
  <c r="H57" i="12"/>
  <c r="G2" i="12"/>
  <c r="G14" i="12"/>
  <c r="G30" i="12"/>
  <c r="G42" i="12"/>
  <c r="G50" i="12"/>
  <c r="G54" i="12"/>
  <c r="H3" i="12"/>
  <c r="H11" i="12"/>
  <c r="H19" i="12"/>
  <c r="G5" i="12"/>
  <c r="G17" i="12"/>
  <c r="G21" i="12"/>
  <c r="G29" i="12"/>
  <c r="G41" i="12"/>
  <c r="G53" i="12"/>
  <c r="G57" i="12"/>
  <c r="H6" i="12"/>
  <c r="H14" i="12"/>
  <c r="H22" i="12"/>
  <c r="H30" i="12"/>
  <c r="H42" i="12"/>
  <c r="H62" i="12"/>
  <c r="G9" i="12"/>
  <c r="G45" i="12"/>
  <c r="H46" i="12"/>
  <c r="G3" i="12"/>
  <c r="G7" i="12"/>
  <c r="G11" i="12"/>
  <c r="G15" i="12"/>
  <c r="G19" i="12"/>
  <c r="G23" i="12"/>
  <c r="G27" i="12"/>
  <c r="G31" i="12"/>
  <c r="G35" i="12"/>
  <c r="G39" i="12"/>
  <c r="G43" i="12"/>
  <c r="G47" i="12"/>
  <c r="G51" i="12"/>
  <c r="G55" i="12"/>
  <c r="G59" i="12"/>
  <c r="G13" i="12"/>
  <c r="G25" i="12"/>
  <c r="G33" i="12"/>
  <c r="G37" i="12"/>
  <c r="G49" i="12"/>
  <c r="G61" i="12"/>
  <c r="H10" i="12"/>
  <c r="H18" i="12"/>
  <c r="H26" i="12"/>
  <c r="H34" i="12"/>
  <c r="H38" i="12"/>
  <c r="H50" i="12"/>
  <c r="H54" i="12"/>
  <c r="H58" i="12"/>
  <c r="H4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CO60" i="9" l="1"/>
  <c r="CP60" i="9" s="1"/>
  <c r="CM60" i="9"/>
  <c r="CN60" i="9" s="1"/>
  <c r="CM59" i="9"/>
  <c r="CM51" i="9"/>
  <c r="CM47" i="9"/>
  <c r="CM46" i="9"/>
  <c r="CN46" i="9" s="1"/>
  <c r="CM55" i="9"/>
  <c r="CN55" i="9" s="1"/>
  <c r="CM48" i="9"/>
  <c r="CM50" i="9"/>
  <c r="CM58" i="9"/>
  <c r="BT14" i="9"/>
  <c r="Z42" i="9"/>
  <c r="DB61" i="9"/>
  <c r="DB60" i="9"/>
  <c r="BT15" i="9" l="1"/>
  <c r="E57" i="9"/>
  <c r="F57" i="9" s="1"/>
  <c r="CZ60" i="9"/>
  <c r="DA60" i="9" s="1"/>
  <c r="CA60" i="9"/>
  <c r="BZ60" i="9" s="1"/>
  <c r="CA59" i="9"/>
  <c r="E51" i="9"/>
  <c r="F51" i="9" s="1"/>
  <c r="V61" i="9"/>
  <c r="E61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BT16" i="9" l="1"/>
  <c r="AV61" i="9"/>
  <c r="AW61" i="9" s="1"/>
  <c r="AU61" i="9"/>
  <c r="BS42" i="9"/>
  <c r="T36" i="9"/>
  <c r="BU59" i="9"/>
  <c r="O62" i="9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BT17" i="9" l="1"/>
  <c r="V56" i="9"/>
  <c r="AU56" i="9" s="1"/>
  <c r="BT18" i="9" l="1"/>
  <c r="AV56" i="9"/>
  <c r="AW56" i="9" s="1"/>
  <c r="BS28" i="9"/>
  <c r="BS31" i="9"/>
  <c r="BS40" i="9"/>
  <c r="BS44" i="9"/>
  <c r="BS19" i="9" l="1"/>
  <c r="BT19" i="9"/>
  <c r="BS20" i="9"/>
  <c r="BS15" i="9"/>
  <c r="DB34" i="9" l="1"/>
  <c r="DB35" i="9"/>
  <c r="DB46" i="9"/>
  <c r="DB47" i="9"/>
  <c r="DB57" i="9"/>
  <c r="DB58" i="9"/>
  <c r="DB59" i="9"/>
  <c r="DB37" i="9" l="1"/>
  <c r="DB51" i="9"/>
  <c r="DB26" i="9"/>
  <c r="DB45" i="9"/>
  <c r="DB49" i="9"/>
  <c r="DB48" i="9"/>
  <c r="DB36" i="9"/>
  <c r="DB38" i="9"/>
  <c r="DB50" i="9"/>
  <c r="DB33" i="9"/>
  <c r="DB56" i="9"/>
  <c r="DB53" i="9"/>
  <c r="DB41" i="9"/>
  <c r="DB29" i="9"/>
  <c r="DB44" i="9"/>
  <c r="DB54" i="9"/>
  <c r="DB42" i="9"/>
  <c r="DB30" i="9"/>
  <c r="DB39" i="9"/>
  <c r="DB32" i="9"/>
  <c r="DB55" i="9"/>
  <c r="DB43" i="9"/>
  <c r="DB31" i="9"/>
  <c r="DB52" i="9"/>
  <c r="DB40" i="9"/>
  <c r="DB28" i="9"/>
  <c r="E46" i="9"/>
  <c r="E47" i="9"/>
  <c r="E64" i="9"/>
  <c r="DK10" i="9" l="1"/>
  <c r="DI11" i="9"/>
  <c r="DI12" i="9"/>
  <c r="DH13" i="9"/>
  <c r="DK15" i="9"/>
  <c r="DI23" i="9"/>
  <c r="DK24" i="9"/>
  <c r="DK25" i="9"/>
  <c r="DK26" i="9"/>
  <c r="DK27" i="9"/>
  <c r="DH31" i="9"/>
  <c r="DH32" i="9"/>
  <c r="DH33" i="9"/>
  <c r="DH34" i="9"/>
  <c r="DH35" i="9"/>
  <c r="DJ36" i="9"/>
  <c r="DI37" i="9"/>
  <c r="DK38" i="9"/>
  <c r="DK39" i="9"/>
  <c r="DJ45" i="9"/>
  <c r="DJ47" i="9"/>
  <c r="DI48" i="9"/>
  <c r="DI49" i="9"/>
  <c r="DK50" i="9"/>
  <c r="DK51" i="9"/>
  <c r="DJ56" i="9"/>
  <c r="DJ57" i="9"/>
  <c r="DJ59" i="9"/>
  <c r="DK60" i="9"/>
  <c r="DJ44" i="9"/>
  <c r="DK4" i="9"/>
  <c r="DJ5" i="9"/>
  <c r="DK6" i="9"/>
  <c r="DK7" i="9"/>
  <c r="DH9" i="9"/>
  <c r="DJ16" i="9"/>
  <c r="DJ17" i="9"/>
  <c r="DI18" i="9"/>
  <c r="DK28" i="9"/>
  <c r="DI29" i="9"/>
  <c r="DK30" i="9"/>
  <c r="DJ40" i="9"/>
  <c r="DH41" i="9"/>
  <c r="DI52" i="9"/>
  <c r="DI53" i="9"/>
  <c r="DJ54" i="9"/>
  <c r="DJ55" i="9"/>
  <c r="DJ28" i="9"/>
  <c r="DI17" i="9"/>
  <c r="DI28" i="9"/>
  <c r="BS58" i="9"/>
  <c r="BU49" i="9"/>
  <c r="BU14" i="9"/>
  <c r="BU15" i="9"/>
  <c r="BU16" i="9"/>
  <c r="BU17" i="9"/>
  <c r="BW17" i="9" s="1"/>
  <c r="BU18" i="9"/>
  <c r="BU19" i="9"/>
  <c r="BU21" i="9"/>
  <c r="BU22" i="9"/>
  <c r="BU23" i="9"/>
  <c r="BU24" i="9"/>
  <c r="BU25" i="9"/>
  <c r="BU26" i="9"/>
  <c r="BU27" i="9"/>
  <c r="BU28" i="9"/>
  <c r="BU29" i="9"/>
  <c r="BU32" i="9"/>
  <c r="BU33" i="9"/>
  <c r="BU34" i="9"/>
  <c r="BU35" i="9"/>
  <c r="BU36" i="9"/>
  <c r="BU37" i="9"/>
  <c r="BU38" i="9"/>
  <c r="BU39" i="9"/>
  <c r="BU40" i="9"/>
  <c r="BU41" i="9"/>
  <c r="BS14" i="9"/>
  <c r="BS16" i="9"/>
  <c r="BS17" i="9"/>
  <c r="BS18" i="9"/>
  <c r="BS21" i="9"/>
  <c r="BS22" i="9"/>
  <c r="BS23" i="9"/>
  <c r="BS24" i="9"/>
  <c r="BS25" i="9"/>
  <c r="BS27" i="9"/>
  <c r="BS29" i="9"/>
  <c r="BS30" i="9"/>
  <c r="BS32" i="9"/>
  <c r="BS33" i="9"/>
  <c r="BS35" i="9"/>
  <c r="BS36" i="9"/>
  <c r="BS37" i="9"/>
  <c r="BS38" i="9"/>
  <c r="BS39" i="9"/>
  <c r="BS41" i="9"/>
  <c r="BS43" i="9"/>
  <c r="BS45" i="9"/>
  <c r="BS46" i="9"/>
  <c r="BS47" i="9"/>
  <c r="BS48" i="9"/>
  <c r="BS49" i="9"/>
  <c r="BS50" i="9"/>
  <c r="BS51" i="9"/>
  <c r="BS52" i="9"/>
  <c r="BS53" i="9"/>
  <c r="BS54" i="9"/>
  <c r="BS55" i="9"/>
  <c r="BS56" i="9"/>
  <c r="BS57" i="9"/>
  <c r="BU42" i="9"/>
  <c r="BU52" i="9"/>
  <c r="BU50" i="9"/>
  <c r="CZ29" i="9"/>
  <c r="DA29" i="9" l="1"/>
  <c r="DF29" i="9"/>
  <c r="DJ25" i="9"/>
  <c r="DJ23" i="9"/>
  <c r="DH52" i="9"/>
  <c r="DH28" i="9"/>
  <c r="DK31" i="9"/>
  <c r="DH30" i="9"/>
  <c r="DH17" i="9"/>
  <c r="DH4" i="9"/>
  <c r="DK29" i="9"/>
  <c r="DJ30" i="9"/>
  <c r="DH29" i="9"/>
  <c r="DK37" i="9"/>
  <c r="DJ35" i="9"/>
  <c r="DK36" i="9"/>
  <c r="DI47" i="9"/>
  <c r="DJ12" i="9"/>
  <c r="DH23" i="9"/>
  <c r="DJ11" i="9"/>
  <c r="DK23" i="9"/>
  <c r="DH49" i="9"/>
  <c r="DK48" i="9"/>
  <c r="DH48" i="9"/>
  <c r="DK47" i="9"/>
  <c r="DJ24" i="9"/>
  <c r="DK35" i="9"/>
  <c r="DJ13" i="9"/>
  <c r="DK49" i="9"/>
  <c r="DH47" i="9"/>
  <c r="DI60" i="9"/>
  <c r="DJ29" i="9"/>
  <c r="DK41" i="9"/>
  <c r="DK5" i="9"/>
  <c r="DH36" i="9"/>
  <c r="DI59" i="9"/>
  <c r="DK40" i="9"/>
  <c r="DJ58" i="9"/>
  <c r="DI58" i="9"/>
  <c r="DJ46" i="9"/>
  <c r="DK46" i="9"/>
  <c r="DI46" i="9"/>
  <c r="DJ33" i="9"/>
  <c r="DI33" i="9"/>
  <c r="DK33" i="9"/>
  <c r="DI9" i="9"/>
  <c r="DJ9" i="9"/>
  <c r="DI45" i="9"/>
  <c r="DK56" i="9"/>
  <c r="DI56" i="9"/>
  <c r="DJ32" i="9"/>
  <c r="DK32" i="9"/>
  <c r="DI32" i="9"/>
  <c r="DI8" i="9"/>
  <c r="DJ8" i="9"/>
  <c r="DJ10" i="9"/>
  <c r="DK55" i="9"/>
  <c r="DI55" i="9"/>
  <c r="DJ43" i="9"/>
  <c r="DH43" i="9"/>
  <c r="DJ19" i="9"/>
  <c r="DK19" i="9"/>
  <c r="DI7" i="9"/>
  <c r="DJ7" i="9"/>
  <c r="DH7" i="9"/>
  <c r="DI43" i="9"/>
  <c r="DI54" i="9"/>
  <c r="DH54" i="9"/>
  <c r="DK54" i="9"/>
  <c r="DH42" i="9"/>
  <c r="DJ42" i="9"/>
  <c r="DI42" i="9"/>
  <c r="DK18" i="9"/>
  <c r="DJ18" i="9"/>
  <c r="DI6" i="9"/>
  <c r="DH6" i="9"/>
  <c r="DJ6" i="9"/>
  <c r="DH19" i="9"/>
  <c r="DI30" i="9"/>
  <c r="DK45" i="9"/>
  <c r="DH46" i="9"/>
  <c r="DH18" i="9"/>
  <c r="DK44" i="9"/>
  <c r="DK16" i="9"/>
  <c r="DI16" i="9"/>
  <c r="DH45" i="9"/>
  <c r="DK43" i="9"/>
  <c r="DK9" i="9"/>
  <c r="DI34" i="9"/>
  <c r="DK34" i="9"/>
  <c r="DI22" i="9"/>
  <c r="DH22" i="9"/>
  <c r="DJ22" i="9"/>
  <c r="DK22" i="9"/>
  <c r="DH57" i="9"/>
  <c r="DI57" i="9"/>
  <c r="DI21" i="9"/>
  <c r="DJ21" i="9"/>
  <c r="DH21" i="9"/>
  <c r="DK21" i="9"/>
  <c r="DI20" i="9"/>
  <c r="DH20" i="9"/>
  <c r="DJ20" i="9"/>
  <c r="DK20" i="9"/>
  <c r="DI44" i="9"/>
  <c r="DJ31" i="9"/>
  <c r="DI31" i="9"/>
  <c r="DH44" i="9"/>
  <c r="DH16" i="9"/>
  <c r="DI19" i="9"/>
  <c r="DK42" i="9"/>
  <c r="DK8" i="9"/>
  <c r="DJ53" i="9"/>
  <c r="DK53" i="9"/>
  <c r="DI41" i="9"/>
  <c r="DJ52" i="9"/>
  <c r="DK52" i="9"/>
  <c r="DI5" i="9"/>
  <c r="DI4" i="9"/>
  <c r="DH53" i="9"/>
  <c r="DH37" i="9"/>
  <c r="DJ41" i="9"/>
  <c r="DJ4" i="9"/>
  <c r="DK17" i="9"/>
  <c r="DH5" i="9"/>
  <c r="DI40" i="9"/>
  <c r="DH40" i="9"/>
  <c r="DI13" i="9"/>
  <c r="DJ37" i="9"/>
  <c r="DK59" i="9"/>
  <c r="DI24" i="9"/>
  <c r="DJ34" i="9"/>
  <c r="DK13" i="9"/>
  <c r="DH56" i="9"/>
  <c r="DH12" i="9"/>
  <c r="DI36" i="9"/>
  <c r="DJ60" i="9"/>
  <c r="DK12" i="9"/>
  <c r="DH59" i="9"/>
  <c r="DI25" i="9"/>
  <c r="DJ49" i="9"/>
  <c r="DJ48" i="9"/>
  <c r="DK57" i="9"/>
  <c r="DH55" i="9"/>
  <c r="DH25" i="9"/>
  <c r="DH11" i="9"/>
  <c r="DI35" i="9"/>
  <c r="DK11" i="9"/>
  <c r="DH58" i="9"/>
  <c r="DI10" i="9"/>
  <c r="DK58" i="9"/>
  <c r="DH24" i="9"/>
  <c r="DH10" i="9"/>
  <c r="DH51" i="9"/>
  <c r="DH39" i="9"/>
  <c r="DH27" i="9"/>
  <c r="DI51" i="9"/>
  <c r="DI39" i="9"/>
  <c r="DI27" i="9"/>
  <c r="DI15" i="9"/>
  <c r="DJ51" i="9"/>
  <c r="DJ39" i="9"/>
  <c r="DJ27" i="9"/>
  <c r="DJ15" i="9"/>
  <c r="DH50" i="9"/>
  <c r="DH38" i="9"/>
  <c r="DH26" i="9"/>
  <c r="DI50" i="9"/>
  <c r="DI38" i="9"/>
  <c r="DI26" i="9"/>
  <c r="DJ50" i="9"/>
  <c r="DJ38" i="9"/>
  <c r="DJ26" i="9"/>
  <c r="BW59" i="9"/>
  <c r="BZ59" i="9" l="1"/>
  <c r="CA58" i="9"/>
  <c r="BZ58" i="9" s="1"/>
  <c r="CA57" i="9"/>
  <c r="BZ57" i="9" s="1"/>
  <c r="CA56" i="9"/>
  <c r="BZ56" i="9" s="1"/>
  <c r="BZ55" i="9"/>
  <c r="CA54" i="9"/>
  <c r="BZ54" i="9" s="1"/>
  <c r="CA53" i="9"/>
  <c r="BZ53" i="9" s="1"/>
  <c r="CA52" i="9"/>
  <c r="BZ52" i="9" s="1"/>
  <c r="CA51" i="9"/>
  <c r="BZ51" i="9" s="1"/>
  <c r="CA50" i="9"/>
  <c r="BZ50" i="9" s="1"/>
  <c r="E60" i="9"/>
  <c r="V60" i="9"/>
  <c r="Z61" i="9" s="1"/>
  <c r="V59" i="9"/>
  <c r="V58" i="9"/>
  <c r="V57" i="9"/>
  <c r="Z57" i="9" s="1"/>
  <c r="V55" i="9"/>
  <c r="V54" i="9"/>
  <c r="V53" i="9"/>
  <c r="AV53" i="9" s="1"/>
  <c r="AW53" i="9" s="1"/>
  <c r="V52" i="9"/>
  <c r="V51" i="9"/>
  <c r="V50" i="9"/>
  <c r="V49" i="9"/>
  <c r="AV49" i="9" s="1"/>
  <c r="V48" i="9"/>
  <c r="V47" i="9"/>
  <c r="V46" i="9"/>
  <c r="V45" i="9"/>
  <c r="V44" i="9"/>
  <c r="AU44" i="9" s="1"/>
  <c r="T44" i="9"/>
  <c r="T43" i="9"/>
  <c r="M109" i="9"/>
  <c r="I109" i="9"/>
  <c r="E109" i="9"/>
  <c r="F109" i="9" s="1"/>
  <c r="G109" i="9" s="1"/>
  <c r="M108" i="9"/>
  <c r="I108" i="9"/>
  <c r="E108" i="9"/>
  <c r="F108" i="9" s="1"/>
  <c r="G108" i="9" s="1"/>
  <c r="M107" i="9"/>
  <c r="I107" i="9"/>
  <c r="E107" i="9"/>
  <c r="F107" i="9" s="1"/>
  <c r="G107" i="9" s="1"/>
  <c r="M106" i="9"/>
  <c r="I106" i="9"/>
  <c r="E106" i="9"/>
  <c r="F106" i="9" s="1"/>
  <c r="G106" i="9" s="1"/>
  <c r="M105" i="9"/>
  <c r="I105" i="9"/>
  <c r="E105" i="9"/>
  <c r="F105" i="9" s="1"/>
  <c r="G105" i="9" s="1"/>
  <c r="M104" i="9"/>
  <c r="I104" i="9"/>
  <c r="E104" i="9"/>
  <c r="F104" i="9" s="1"/>
  <c r="G104" i="9" s="1"/>
  <c r="M103" i="9"/>
  <c r="I103" i="9"/>
  <c r="E103" i="9"/>
  <c r="F103" i="9" s="1"/>
  <c r="G103" i="9" s="1"/>
  <c r="M102" i="9"/>
  <c r="I102" i="9"/>
  <c r="E102" i="9"/>
  <c r="F102" i="9" s="1"/>
  <c r="G102" i="9" s="1"/>
  <c r="M101" i="9"/>
  <c r="I101" i="9"/>
  <c r="E101" i="9"/>
  <c r="F101" i="9" s="1"/>
  <c r="G101" i="9" s="1"/>
  <c r="M100" i="9"/>
  <c r="I100" i="9"/>
  <c r="E100" i="9"/>
  <c r="F100" i="9" s="1"/>
  <c r="G100" i="9" s="1"/>
  <c r="M99" i="9"/>
  <c r="I99" i="9"/>
  <c r="E99" i="9"/>
  <c r="F99" i="9" s="1"/>
  <c r="G99" i="9" s="1"/>
  <c r="M98" i="9"/>
  <c r="I98" i="9"/>
  <c r="E98" i="9"/>
  <c r="F98" i="9" s="1"/>
  <c r="G98" i="9" s="1"/>
  <c r="M97" i="9"/>
  <c r="I97" i="9"/>
  <c r="E97" i="9"/>
  <c r="F97" i="9" s="1"/>
  <c r="G97" i="9" s="1"/>
  <c r="M96" i="9"/>
  <c r="I96" i="9"/>
  <c r="E96" i="9"/>
  <c r="F96" i="9" s="1"/>
  <c r="G96" i="9" s="1"/>
  <c r="M95" i="9"/>
  <c r="I95" i="9"/>
  <c r="E95" i="9"/>
  <c r="F95" i="9" s="1"/>
  <c r="G95" i="9" s="1"/>
  <c r="M94" i="9"/>
  <c r="I94" i="9"/>
  <c r="E94" i="9"/>
  <c r="F94" i="9" s="1"/>
  <c r="G94" i="9" s="1"/>
  <c r="M93" i="9"/>
  <c r="I93" i="9"/>
  <c r="E93" i="9"/>
  <c r="F93" i="9" s="1"/>
  <c r="G93" i="9" s="1"/>
  <c r="M92" i="9"/>
  <c r="I92" i="9"/>
  <c r="E92" i="9"/>
  <c r="F92" i="9" s="1"/>
  <c r="G92" i="9" s="1"/>
  <c r="M91" i="9"/>
  <c r="I91" i="9"/>
  <c r="E91" i="9"/>
  <c r="F91" i="9" s="1"/>
  <c r="G91" i="9" s="1"/>
  <c r="M90" i="9"/>
  <c r="I90" i="9"/>
  <c r="E90" i="9"/>
  <c r="F90" i="9" s="1"/>
  <c r="G90" i="9" s="1"/>
  <c r="M89" i="9"/>
  <c r="I89" i="9"/>
  <c r="E89" i="9"/>
  <c r="F89" i="9" s="1"/>
  <c r="G89" i="9" s="1"/>
  <c r="M88" i="9"/>
  <c r="I88" i="9"/>
  <c r="E88" i="9"/>
  <c r="F88" i="9" s="1"/>
  <c r="G88" i="9" s="1"/>
  <c r="M87" i="9"/>
  <c r="I87" i="9"/>
  <c r="E87" i="9"/>
  <c r="F87" i="9" s="1"/>
  <c r="G87" i="9" s="1"/>
  <c r="M86" i="9"/>
  <c r="I86" i="9"/>
  <c r="E86" i="9"/>
  <c r="F86" i="9" s="1"/>
  <c r="G86" i="9" s="1"/>
  <c r="M85" i="9"/>
  <c r="I85" i="9"/>
  <c r="E85" i="9"/>
  <c r="F85" i="9" s="1"/>
  <c r="G85" i="9" s="1"/>
  <c r="M84" i="9"/>
  <c r="I84" i="9"/>
  <c r="E84" i="9"/>
  <c r="F84" i="9" s="1"/>
  <c r="G84" i="9" s="1"/>
  <c r="M83" i="9"/>
  <c r="I83" i="9"/>
  <c r="E83" i="9"/>
  <c r="F83" i="9" s="1"/>
  <c r="G83" i="9" s="1"/>
  <c r="M82" i="9"/>
  <c r="I82" i="9"/>
  <c r="E82" i="9"/>
  <c r="F82" i="9" s="1"/>
  <c r="G82" i="9" s="1"/>
  <c r="M81" i="9"/>
  <c r="I81" i="9"/>
  <c r="E81" i="9"/>
  <c r="F81" i="9" s="1"/>
  <c r="G81" i="9" s="1"/>
  <c r="M80" i="9"/>
  <c r="I80" i="9"/>
  <c r="E80" i="9"/>
  <c r="F80" i="9" s="1"/>
  <c r="G80" i="9" s="1"/>
  <c r="M79" i="9"/>
  <c r="I79" i="9"/>
  <c r="E79" i="9"/>
  <c r="F79" i="9" s="1"/>
  <c r="G79" i="9" s="1"/>
  <c r="M78" i="9"/>
  <c r="I78" i="9"/>
  <c r="E78" i="9"/>
  <c r="F78" i="9" s="1"/>
  <c r="G78" i="9" s="1"/>
  <c r="M77" i="9"/>
  <c r="I77" i="9"/>
  <c r="E77" i="9"/>
  <c r="F77" i="9" s="1"/>
  <c r="G77" i="9" s="1"/>
  <c r="M76" i="9"/>
  <c r="I76" i="9"/>
  <c r="E76" i="9"/>
  <c r="F76" i="9" s="1"/>
  <c r="G76" i="9" s="1"/>
  <c r="M75" i="9"/>
  <c r="I75" i="9"/>
  <c r="E75" i="9"/>
  <c r="F75" i="9" s="1"/>
  <c r="G75" i="9" s="1"/>
  <c r="M74" i="9"/>
  <c r="I74" i="9"/>
  <c r="E74" i="9"/>
  <c r="M73" i="9"/>
  <c r="I73" i="9"/>
  <c r="E73" i="9"/>
  <c r="M72" i="9"/>
  <c r="I72" i="9"/>
  <c r="E72" i="9"/>
  <c r="M71" i="9"/>
  <c r="I71" i="9"/>
  <c r="E71" i="9"/>
  <c r="M70" i="9"/>
  <c r="I70" i="9"/>
  <c r="E70" i="9"/>
  <c r="M69" i="9"/>
  <c r="I69" i="9"/>
  <c r="E69" i="9"/>
  <c r="M68" i="9"/>
  <c r="I68" i="9"/>
  <c r="E68" i="9"/>
  <c r="M67" i="9"/>
  <c r="I67" i="9"/>
  <c r="E67" i="9"/>
  <c r="M66" i="9"/>
  <c r="I66" i="9"/>
  <c r="E66" i="9"/>
  <c r="M65" i="9"/>
  <c r="I65" i="9"/>
  <c r="E65" i="9"/>
  <c r="M64" i="9"/>
  <c r="I64" i="9"/>
  <c r="M63" i="9"/>
  <c r="I63" i="9"/>
  <c r="E63" i="9"/>
  <c r="M62" i="9"/>
  <c r="I62" i="9"/>
  <c r="E62" i="9"/>
  <c r="M61" i="9"/>
  <c r="I61" i="9"/>
  <c r="M60" i="9"/>
  <c r="K60" i="9"/>
  <c r="I60" i="9"/>
  <c r="M59" i="9"/>
  <c r="K59" i="9"/>
  <c r="I59" i="9"/>
  <c r="E59" i="9"/>
  <c r="M58" i="9"/>
  <c r="K58" i="9"/>
  <c r="I58" i="9"/>
  <c r="E58" i="9"/>
  <c r="M57" i="9"/>
  <c r="K57" i="9"/>
  <c r="I57" i="9"/>
  <c r="M56" i="9"/>
  <c r="K56" i="9"/>
  <c r="I56" i="9"/>
  <c r="E56" i="9"/>
  <c r="M55" i="9"/>
  <c r="K55" i="9"/>
  <c r="I55" i="9"/>
  <c r="E55" i="9"/>
  <c r="M54" i="9"/>
  <c r="K54" i="9"/>
  <c r="I54" i="9"/>
  <c r="E54" i="9"/>
  <c r="M53" i="9"/>
  <c r="K53" i="9"/>
  <c r="I53" i="9"/>
  <c r="E53" i="9"/>
  <c r="M52" i="9"/>
  <c r="K52" i="9"/>
  <c r="I52" i="9"/>
  <c r="E52" i="9"/>
  <c r="M51" i="9"/>
  <c r="K51" i="9"/>
  <c r="I51" i="9"/>
  <c r="M50" i="9"/>
  <c r="K50" i="9"/>
  <c r="I50" i="9"/>
  <c r="E50" i="9"/>
  <c r="M49" i="9"/>
  <c r="K49" i="9"/>
  <c r="I49" i="9"/>
  <c r="E49" i="9"/>
  <c r="M48" i="9"/>
  <c r="K48" i="9"/>
  <c r="I48" i="9"/>
  <c r="E48" i="9"/>
  <c r="M47" i="9"/>
  <c r="K47" i="9"/>
  <c r="I47" i="9"/>
  <c r="F47" i="9"/>
  <c r="M46" i="9"/>
  <c r="K46" i="9"/>
  <c r="I46" i="9"/>
  <c r="F46" i="9"/>
  <c r="M45" i="9"/>
  <c r="K45" i="9"/>
  <c r="I45" i="9"/>
  <c r="E45" i="9"/>
  <c r="M44" i="9"/>
  <c r="K44" i="9"/>
  <c r="I44" i="9"/>
  <c r="E44" i="9"/>
  <c r="M43" i="9"/>
  <c r="K43" i="9"/>
  <c r="I43" i="9"/>
  <c r="E43" i="9"/>
  <c r="M42" i="9"/>
  <c r="K42" i="9"/>
  <c r="I42" i="9"/>
  <c r="Z51" i="9" l="1"/>
  <c r="Z53" i="9"/>
  <c r="AW43" i="9"/>
  <c r="Z43" i="9"/>
  <c r="Z59" i="9"/>
  <c r="AU47" i="9"/>
  <c r="Z47" i="9"/>
  <c r="Z60" i="9"/>
  <c r="Z55" i="9"/>
  <c r="Z56" i="9"/>
  <c r="Z45" i="9"/>
  <c r="AU46" i="9"/>
  <c r="Z46" i="9"/>
  <c r="Z48" i="9"/>
  <c r="Z44" i="9"/>
  <c r="Z58" i="9"/>
  <c r="Z49" i="9"/>
  <c r="Z52" i="9"/>
  <c r="Z54" i="9"/>
  <c r="Z50" i="9"/>
  <c r="AV54" i="9"/>
  <c r="AW54" i="9" s="1"/>
  <c r="AV55" i="9"/>
  <c r="AW55" i="9" s="1"/>
  <c r="AV44" i="9"/>
  <c r="AW44" i="9" s="1"/>
  <c r="AV57" i="9"/>
  <c r="AW57" i="9" s="1"/>
  <c r="AV45" i="9"/>
  <c r="AW45" i="9" s="1"/>
  <c r="AV58" i="9"/>
  <c r="AW58" i="9" s="1"/>
  <c r="AV46" i="9"/>
  <c r="AW46" i="9" s="1"/>
  <c r="AV59" i="9"/>
  <c r="AW59" i="9" s="1"/>
  <c r="AV47" i="9"/>
  <c r="AW47" i="9" s="1"/>
  <c r="AV60" i="9"/>
  <c r="AW60" i="9" s="1"/>
  <c r="AV48" i="9"/>
  <c r="AW48" i="9" s="1"/>
  <c r="AW49" i="9"/>
  <c r="AV50" i="9"/>
  <c r="AW50" i="9" s="1"/>
  <c r="AV51" i="9"/>
  <c r="AW51" i="9" s="1"/>
  <c r="AV52" i="9"/>
  <c r="AW52" i="9" s="1"/>
  <c r="AU53" i="9"/>
  <c r="AU55" i="9"/>
  <c r="AU54" i="9"/>
  <c r="AU57" i="9"/>
  <c r="AU45" i="9"/>
  <c r="AU58" i="9"/>
  <c r="AU59" i="9"/>
  <c r="AU60" i="9"/>
  <c r="AU48" i="9"/>
  <c r="AU49" i="9"/>
  <c r="AU50" i="9"/>
  <c r="AU51" i="9"/>
  <c r="AU52" i="9"/>
  <c r="DK62" i="9"/>
  <c r="G47" i="9"/>
  <c r="F59" i="9"/>
  <c r="F64" i="9"/>
  <c r="F69" i="9"/>
  <c r="F50" i="9"/>
  <c r="F67" i="9"/>
  <c r="F60" i="9"/>
  <c r="F42" i="9"/>
  <c r="F72" i="9"/>
  <c r="F44" i="9"/>
  <c r="F55" i="9"/>
  <c r="F48" i="9"/>
  <c r="F65" i="9"/>
  <c r="F43" i="9"/>
  <c r="F53" i="9"/>
  <c r="F70" i="9"/>
  <c r="F49" i="9"/>
  <c r="F71" i="9"/>
  <c r="F52" i="9"/>
  <c r="F45" i="9"/>
  <c r="F62" i="9"/>
  <c r="F74" i="9"/>
  <c r="G46" i="9"/>
  <c r="F58" i="9"/>
  <c r="F63" i="9"/>
  <c r="F66" i="9"/>
  <c r="F54" i="9"/>
  <c r="F68" i="9"/>
  <c r="F56" i="9"/>
  <c r="F61" i="9"/>
  <c r="F73" i="9"/>
  <c r="DH61" i="9"/>
  <c r="DI61" i="9"/>
  <c r="DK61" i="9"/>
  <c r="DJ61" i="9"/>
  <c r="CZ56" i="9"/>
  <c r="DA56" i="9" s="1"/>
  <c r="CP48" i="9"/>
  <c r="CP47" i="9"/>
  <c r="CP59" i="9" l="1"/>
  <c r="DF59" i="9" s="1"/>
  <c r="CN59" i="9"/>
  <c r="CP55" i="9"/>
  <c r="CN53" i="9"/>
  <c r="CP51" i="9"/>
  <c r="CN51" i="9"/>
  <c r="CP52" i="9"/>
  <c r="CP54" i="9"/>
  <c r="CN54" i="9"/>
  <c r="CP56" i="9"/>
  <c r="DF56" i="9" s="1"/>
  <c r="DK63" i="9"/>
  <c r="G55" i="9"/>
  <c r="G51" i="9"/>
  <c r="G54" i="9"/>
  <c r="G62" i="9"/>
  <c r="G53" i="9"/>
  <c r="G72" i="9"/>
  <c r="G69" i="9"/>
  <c r="G44" i="9"/>
  <c r="DH62" i="9"/>
  <c r="G73" i="9"/>
  <c r="G66" i="9"/>
  <c r="G45" i="9"/>
  <c r="G43" i="9"/>
  <c r="G42" i="9"/>
  <c r="G64" i="9"/>
  <c r="G49" i="9"/>
  <c r="G74" i="9"/>
  <c r="DI62" i="9"/>
  <c r="G50" i="9"/>
  <c r="DJ62" i="9"/>
  <c r="G61" i="9"/>
  <c r="G63" i="9"/>
  <c r="G52" i="9"/>
  <c r="G65" i="9"/>
  <c r="G60" i="9"/>
  <c r="G59" i="9"/>
  <c r="G57" i="9"/>
  <c r="G68" i="9"/>
  <c r="G70" i="9"/>
  <c r="G56" i="9"/>
  <c r="G58" i="9"/>
  <c r="G71" i="9"/>
  <c r="G48" i="9"/>
  <c r="G67" i="9"/>
  <c r="CN47" i="9"/>
  <c r="CP49" i="9"/>
  <c r="CP50" i="9"/>
  <c r="CP58" i="9"/>
  <c r="CP53" i="9"/>
  <c r="DF60" i="9"/>
  <c r="CN48" i="9"/>
  <c r="CN49" i="9"/>
  <c r="CN50" i="9"/>
  <c r="CN58" i="9"/>
  <c r="DH63" i="9" l="1"/>
  <c r="DH64" i="9"/>
  <c r="DJ63" i="9"/>
  <c r="DI63" i="9"/>
  <c r="DH65" i="9" l="1"/>
  <c r="DI64" i="9"/>
  <c r="DJ64" i="9"/>
  <c r="DK64" i="9"/>
  <c r="CI54" i="9"/>
  <c r="CH59" i="9"/>
  <c r="CI59" i="9"/>
  <c r="CJ59" i="9"/>
  <c r="CH58" i="9"/>
  <c r="CI58" i="9"/>
  <c r="CJ58" i="9"/>
  <c r="CH57" i="9"/>
  <c r="CI57" i="9"/>
  <c r="CJ57" i="9"/>
  <c r="CH56" i="9"/>
  <c r="CI56" i="9"/>
  <c r="CJ56" i="9"/>
  <c r="CH55" i="9"/>
  <c r="CI55" i="9"/>
  <c r="CJ55" i="9"/>
  <c r="CH54" i="9"/>
  <c r="CJ54" i="9"/>
  <c r="CH53" i="9"/>
  <c r="CI53" i="9"/>
  <c r="CJ53" i="9"/>
  <c r="CG59" i="9"/>
  <c r="CG58" i="9"/>
  <c r="CG57" i="9"/>
  <c r="CG56" i="9"/>
  <c r="CG55" i="9"/>
  <c r="CG54" i="9"/>
  <c r="CG53" i="9"/>
  <c r="CH52" i="9"/>
  <c r="CI52" i="9"/>
  <c r="CJ52" i="9"/>
  <c r="CG52" i="9"/>
  <c r="CL59" i="9"/>
  <c r="CL58" i="9"/>
  <c r="CL55" i="9"/>
  <c r="CL54" i="9"/>
  <c r="CL53" i="9"/>
  <c r="CL52" i="9"/>
  <c r="CL51" i="9"/>
  <c r="CL50" i="9"/>
  <c r="CL49" i="9"/>
  <c r="CL47" i="9"/>
  <c r="DJ65" i="9" l="1"/>
  <c r="DI65" i="9"/>
  <c r="DK65" i="9"/>
  <c r="DI66" i="9"/>
  <c r="DI67" i="9" l="1"/>
  <c r="DK66" i="9"/>
  <c r="DJ66" i="9"/>
  <c r="DH66" i="9"/>
  <c r="DK68" i="9" l="1"/>
  <c r="DK67" i="9"/>
  <c r="DH67" i="9"/>
  <c r="DJ67" i="9"/>
  <c r="DK69" i="9" l="1"/>
  <c r="DH68" i="9"/>
  <c r="DI68" i="9"/>
  <c r="DJ68" i="9"/>
  <c r="DK70" i="9" l="1"/>
  <c r="DJ69" i="9"/>
  <c r="DH69" i="9"/>
  <c r="DI69" i="9"/>
  <c r="CZ58" i="9"/>
  <c r="DA58" i="9" s="1"/>
  <c r="DF58" i="9" l="1"/>
  <c r="DI70" i="9"/>
  <c r="DH70" i="9"/>
  <c r="DJ70" i="9"/>
  <c r="DK71" i="9"/>
  <c r="DJ72" i="9" l="1"/>
  <c r="DJ71" i="9"/>
  <c r="DI71" i="9"/>
  <c r="DH71" i="9"/>
  <c r="DH72" i="9"/>
  <c r="BW29" i="9"/>
  <c r="BW41" i="9"/>
  <c r="DK72" i="9" l="1"/>
  <c r="DI72" i="9"/>
  <c r="DI73" i="9"/>
  <c r="DK74" i="9" l="1"/>
  <c r="DH73" i="9"/>
  <c r="DJ73" i="9"/>
  <c r="DK73" i="9"/>
  <c r="DH74" i="9" l="1"/>
  <c r="DI74" i="9"/>
  <c r="DJ74" i="9"/>
  <c r="DK75" i="9"/>
  <c r="CZ30" i="9"/>
  <c r="DA30" i="9" s="1"/>
  <c r="CZ53" i="9"/>
  <c r="DA53" i="9" s="1"/>
  <c r="DF53" i="9" l="1"/>
  <c r="DF30" i="9"/>
  <c r="DH75" i="9"/>
  <c r="DI75" i="9"/>
  <c r="DJ76" i="9"/>
  <c r="DJ75" i="9"/>
  <c r="T38" i="9"/>
  <c r="DK77" i="9" l="1"/>
  <c r="DH76" i="9"/>
  <c r="DI76" i="9"/>
  <c r="DK76" i="9"/>
  <c r="BW12" i="9"/>
  <c r="CZ52" i="9"/>
  <c r="DA52" i="9" s="1"/>
  <c r="DF45" i="9"/>
  <c r="DF52" i="9" l="1"/>
  <c r="DK78" i="9"/>
  <c r="DH77" i="9"/>
  <c r="DI77" i="9"/>
  <c r="DJ77" i="9"/>
  <c r="BW13" i="9"/>
  <c r="BW14" i="9"/>
  <c r="DI79" i="9" l="1"/>
  <c r="DH78" i="9"/>
  <c r="DJ78" i="9"/>
  <c r="DI78" i="9"/>
  <c r="DH79" i="9" l="1"/>
  <c r="DK80" i="9"/>
  <c r="DJ79" i="9"/>
  <c r="DK79" i="9"/>
  <c r="BW15" i="9"/>
  <c r="DI81" i="9" l="1"/>
  <c r="DH80" i="9"/>
  <c r="DJ80" i="9"/>
  <c r="DI80" i="9"/>
  <c r="BW16" i="9"/>
  <c r="T37" i="9"/>
  <c r="T39" i="9"/>
  <c r="T40" i="9"/>
  <c r="T41" i="9"/>
  <c r="DK82" i="9" l="1"/>
  <c r="DJ81" i="9"/>
  <c r="DH81" i="9"/>
  <c r="DK81" i="9"/>
  <c r="CZ26" i="9"/>
  <c r="DA26" i="9" s="1"/>
  <c r="DF31" i="9"/>
  <c r="DA27" i="9"/>
  <c r="DF26" i="9" l="1"/>
  <c r="DJ83" i="9"/>
  <c r="DI82" i="9"/>
  <c r="DH82" i="9"/>
  <c r="DJ82" i="9"/>
  <c r="BW18" i="9"/>
  <c r="DI83" i="9" l="1"/>
  <c r="DH83" i="9"/>
  <c r="DK84" i="9"/>
  <c r="DK83" i="9"/>
  <c r="BW19" i="9"/>
  <c r="CZ28" i="9"/>
  <c r="DA28" i="9" s="1"/>
  <c r="CZ32" i="9"/>
  <c r="DA32" i="9" s="1"/>
  <c r="CZ33" i="9"/>
  <c r="DA33" i="9" s="1"/>
  <c r="CZ34" i="9"/>
  <c r="DA34" i="9" s="1"/>
  <c r="CZ35" i="9"/>
  <c r="DA35" i="9" s="1"/>
  <c r="CZ36" i="9"/>
  <c r="DA36" i="9" s="1"/>
  <c r="CZ37" i="9"/>
  <c r="DA37" i="9" s="1"/>
  <c r="CZ38" i="9"/>
  <c r="DA38" i="9" s="1"/>
  <c r="CZ40" i="9"/>
  <c r="CZ41" i="9"/>
  <c r="DA41" i="9" s="1"/>
  <c r="CZ42" i="9"/>
  <c r="DA42" i="9" s="1"/>
  <c r="CZ43" i="9"/>
  <c r="DA43" i="9" s="1"/>
  <c r="CZ44" i="9"/>
  <c r="DA44" i="9" s="1"/>
  <c r="CZ46" i="9"/>
  <c r="DA46" i="9" s="1"/>
  <c r="CZ47" i="9"/>
  <c r="DA47" i="9" s="1"/>
  <c r="CZ48" i="9"/>
  <c r="DA48" i="9" s="1"/>
  <c r="CZ49" i="9"/>
  <c r="DA49" i="9" s="1"/>
  <c r="CZ50" i="9"/>
  <c r="DA50" i="9" s="1"/>
  <c r="CZ54" i="9"/>
  <c r="DA54" i="9" s="1"/>
  <c r="CZ55" i="9"/>
  <c r="DA55" i="9" s="1"/>
  <c r="CZ57" i="9"/>
  <c r="DA57" i="9" s="1"/>
  <c r="DA40" i="9" l="1"/>
  <c r="AR40" i="9"/>
  <c r="DF36" i="9"/>
  <c r="DF57" i="9"/>
  <c r="DF50" i="9"/>
  <c r="DF49" i="9"/>
  <c r="DF48" i="9"/>
  <c r="DF46" i="9"/>
  <c r="DF28" i="9"/>
  <c r="DF55" i="9"/>
  <c r="DF51" i="9"/>
  <c r="DF47" i="9"/>
  <c r="DF32" i="9"/>
  <c r="DF54" i="9"/>
  <c r="DI84" i="9"/>
  <c r="DH84" i="9"/>
  <c r="DI85" i="9"/>
  <c r="DF42" i="9"/>
  <c r="DF41" i="9"/>
  <c r="DF33" i="9"/>
  <c r="DF40" i="9"/>
  <c r="DF38" i="9"/>
  <c r="DF35" i="9"/>
  <c r="DF44" i="9"/>
  <c r="DF37" i="9"/>
  <c r="DF34" i="9"/>
  <c r="DF43" i="9"/>
  <c r="DJ84" i="9"/>
  <c r="BW20" i="9"/>
  <c r="AR41" i="9" l="1"/>
  <c r="AS40" i="9"/>
  <c r="AT40" i="9" s="1"/>
  <c r="DK86" i="9"/>
  <c r="DK85" i="9"/>
  <c r="DJ85" i="9"/>
  <c r="DH85" i="9"/>
  <c r="BW21" i="9"/>
  <c r="AR42" i="9" l="1"/>
  <c r="AS41" i="9"/>
  <c r="AT41" i="9" s="1"/>
  <c r="DK87" i="9"/>
  <c r="DH86" i="9"/>
  <c r="DI86" i="9"/>
  <c r="DJ86" i="9"/>
  <c r="BW22" i="9"/>
  <c r="AR43" i="9" l="1"/>
  <c r="AS42" i="9"/>
  <c r="AT42" i="9" s="1"/>
  <c r="DH88" i="9"/>
  <c r="DH87" i="9"/>
  <c r="DI87" i="9"/>
  <c r="DJ87" i="9"/>
  <c r="BW23" i="9"/>
  <c r="AR44" i="9" l="1"/>
  <c r="AS43" i="9"/>
  <c r="AT43" i="9" s="1"/>
  <c r="DK88" i="9"/>
  <c r="DI88" i="9"/>
  <c r="DK89" i="9"/>
  <c r="DJ88" i="9"/>
  <c r="BW24" i="9"/>
  <c r="AR45" i="9" l="1"/>
  <c r="AS44" i="9"/>
  <c r="AT44" i="9" s="1"/>
  <c r="DI89" i="9"/>
  <c r="DH89" i="9"/>
  <c r="DI90" i="9"/>
  <c r="DJ89" i="9"/>
  <c r="BW25" i="9"/>
  <c r="AR46" i="9" l="1"/>
  <c r="AS45" i="9"/>
  <c r="AT45" i="9" s="1"/>
  <c r="DJ90" i="9"/>
  <c r="DH91" i="9"/>
  <c r="DK90" i="9"/>
  <c r="DH90" i="9"/>
  <c r="BW26" i="9"/>
  <c r="AR47" i="9" l="1"/>
  <c r="AS46" i="9"/>
  <c r="AT46" i="9" s="1"/>
  <c r="CV30" i="9"/>
  <c r="CV29" i="9"/>
  <c r="DJ91" i="9"/>
  <c r="DK91" i="9"/>
  <c r="DI92" i="9"/>
  <c r="DI91" i="9"/>
  <c r="DK92" i="9"/>
  <c r="BW27" i="9"/>
  <c r="AR48" i="9" l="1"/>
  <c r="AS47" i="9"/>
  <c r="AT47" i="9" s="1"/>
  <c r="CV33" i="9"/>
  <c r="DI93" i="9"/>
  <c r="DJ92" i="9"/>
  <c r="DH92" i="9"/>
  <c r="BW28" i="9"/>
  <c r="AR49" i="9" l="1"/>
  <c r="AS48" i="9"/>
  <c r="AT48" i="9" s="1"/>
  <c r="DI94" i="9"/>
  <c r="DJ93" i="9"/>
  <c r="DK93" i="9"/>
  <c r="DH93" i="9"/>
  <c r="CV31" i="9"/>
  <c r="AR50" i="9" l="1"/>
  <c r="AS49" i="9"/>
  <c r="AT49" i="9" s="1"/>
  <c r="CV50" i="9"/>
  <c r="CV34" i="9"/>
  <c r="DI95" i="9"/>
  <c r="DJ94" i="9"/>
  <c r="DK94" i="9"/>
  <c r="DH94" i="9"/>
  <c r="BW30" i="9"/>
  <c r="CV32" i="9"/>
  <c r="AR51" i="9" l="1"/>
  <c r="AS50" i="9"/>
  <c r="AT50" i="9" s="1"/>
  <c r="DK96" i="9"/>
  <c r="DH95" i="9"/>
  <c r="DJ95" i="9"/>
  <c r="DK95" i="9"/>
  <c r="BW31" i="9"/>
  <c r="AR52" i="9" l="1"/>
  <c r="AS51" i="9"/>
  <c r="AT51" i="9" s="1"/>
  <c r="CV53" i="9"/>
  <c r="DI97" i="9"/>
  <c r="DI96" i="9"/>
  <c r="DH96" i="9"/>
  <c r="DJ96" i="9"/>
  <c r="BW32" i="9"/>
  <c r="AR53" i="9" l="1"/>
  <c r="AS52" i="9"/>
  <c r="AT52" i="9" s="1"/>
  <c r="CV58" i="9"/>
  <c r="DK98" i="9"/>
  <c r="DK97" i="9"/>
  <c r="DH97" i="9"/>
  <c r="DJ97" i="9"/>
  <c r="BW33" i="9"/>
  <c r="CV35" i="9"/>
  <c r="AR54" i="9" l="1"/>
  <c r="AS53" i="9"/>
  <c r="AT53" i="9" s="1"/>
  <c r="DK99" i="9"/>
  <c r="DI98" i="9"/>
  <c r="DJ98" i="9"/>
  <c r="DH98" i="9"/>
  <c r="BW34" i="9"/>
  <c r="CV36" i="9"/>
  <c r="AR55" i="9" l="1"/>
  <c r="AS54" i="9"/>
  <c r="AT54" i="9" s="1"/>
  <c r="CV59" i="9"/>
  <c r="DJ99" i="9"/>
  <c r="DI100" i="9"/>
  <c r="DH99" i="9"/>
  <c r="DI99" i="9"/>
  <c r="BW35" i="9"/>
  <c r="CV37" i="9"/>
  <c r="AR56" i="9" l="1"/>
  <c r="AS55" i="9"/>
  <c r="AT55" i="9" s="1"/>
  <c r="CV60" i="9"/>
  <c r="DJ101" i="9"/>
  <c r="DH100" i="9"/>
  <c r="DK100" i="9"/>
  <c r="DJ100" i="9"/>
  <c r="BW36" i="9"/>
  <c r="CV38" i="9"/>
  <c r="AR57" i="9" l="1"/>
  <c r="AS56" i="9"/>
  <c r="AT56" i="9" s="1"/>
  <c r="DI102" i="9"/>
  <c r="DH101" i="9"/>
  <c r="DK101" i="9"/>
  <c r="DI101" i="9"/>
  <c r="BW37" i="9"/>
  <c r="AR58" i="9" l="1"/>
  <c r="AS57" i="9"/>
  <c r="AT57" i="9" s="1"/>
  <c r="DK102" i="9"/>
  <c r="DJ102" i="9"/>
  <c r="DH102" i="9"/>
  <c r="DH103" i="9"/>
  <c r="DK103" i="9"/>
  <c r="BW38" i="9"/>
  <c r="CV40" i="9"/>
  <c r="AR59" i="9" l="1"/>
  <c r="AS58" i="9"/>
  <c r="AT58" i="9" s="1"/>
  <c r="DK104" i="9"/>
  <c r="DJ103" i="9"/>
  <c r="DI103" i="9"/>
  <c r="BW39" i="9"/>
  <c r="BW40" i="9"/>
  <c r="CV41" i="9"/>
  <c r="AR60" i="9" l="1"/>
  <c r="AS59" i="9"/>
  <c r="AT59" i="9" s="1"/>
  <c r="DH104" i="9"/>
  <c r="DJ104" i="9"/>
  <c r="DI104" i="9"/>
  <c r="DJ105" i="9"/>
  <c r="CV42" i="9"/>
  <c r="AR61" i="9" l="1"/>
  <c r="AS61" i="9" s="1"/>
  <c r="AT61" i="9" s="1"/>
  <c r="AS60" i="9"/>
  <c r="AT60" i="9" s="1"/>
  <c r="DJ106" i="9"/>
  <c r="DI105" i="9"/>
  <c r="DH105" i="9"/>
  <c r="DK105" i="9"/>
  <c r="CV43" i="9"/>
  <c r="DI106" i="9" l="1"/>
  <c r="DK106" i="9"/>
  <c r="DH107" i="9"/>
  <c r="DH106" i="9"/>
  <c r="BW42" i="9"/>
  <c r="CV44" i="9"/>
  <c r="DH108" i="9" l="1"/>
  <c r="DK107" i="9"/>
  <c r="DI107" i="9"/>
  <c r="DJ107" i="9"/>
  <c r="BU43" i="9"/>
  <c r="BW43" i="9" s="1"/>
  <c r="CV45" i="9"/>
  <c r="DI109" i="9" l="1"/>
  <c r="DI108" i="9"/>
  <c r="DJ108" i="9"/>
  <c r="DK108" i="9"/>
  <c r="BU44" i="9"/>
  <c r="BW44" i="9" s="1"/>
  <c r="CV46" i="9"/>
  <c r="DK109" i="9" l="1"/>
  <c r="DH109" i="9"/>
  <c r="DJ109" i="9"/>
  <c r="BU45" i="9"/>
  <c r="BW45" i="9" s="1"/>
  <c r="CV47" i="9"/>
  <c r="BU46" i="9" l="1"/>
  <c r="BW46" i="9" s="1"/>
  <c r="CV48" i="9"/>
  <c r="BU47" i="9" l="1"/>
  <c r="BW47" i="9" s="1"/>
  <c r="CV49" i="9"/>
  <c r="BU48" i="9" l="1"/>
  <c r="BW48" i="9" s="1"/>
  <c r="BW49" i="9" l="1"/>
  <c r="CV51" i="9"/>
  <c r="BW50" i="9" l="1"/>
  <c r="CV52" i="9"/>
  <c r="BW51" i="9" l="1"/>
  <c r="BW52" i="9" l="1"/>
  <c r="CV54" i="9"/>
  <c r="BU53" i="9" l="1"/>
  <c r="BW53" i="9" s="1"/>
  <c r="CV55" i="9"/>
  <c r="BU54" i="9" l="1"/>
  <c r="BW54" i="9" s="1"/>
  <c r="CV56" i="9"/>
  <c r="BU55" i="9" l="1"/>
  <c r="BW55" i="9" s="1"/>
  <c r="BU56" i="9" l="1"/>
  <c r="BW56" i="9" s="1"/>
  <c r="BU57" i="9" l="1"/>
  <c r="BW57" i="9" s="1"/>
  <c r="BU58" i="9" l="1"/>
  <c r="BW58" i="9" s="1"/>
</calcChain>
</file>

<file path=xl/sharedStrings.xml><?xml version="1.0" encoding="utf-8"?>
<sst xmlns="http://schemas.openxmlformats.org/spreadsheetml/2006/main" count="220" uniqueCount="220">
  <si>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</si>
  <si>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</si>
  <si>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</si>
  <si>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</si>
  <si>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</si>
  <si>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</si>
  <si>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</si>
  <si>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</si>
  <si>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</si>
  <si>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</si>
  <si>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</si>
  <si>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</si>
  <si>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</si>
  <si>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</si>
  <si>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</si>
  <si>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</si>
  <si>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</si>
  <si>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</si>
  <si>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</si>
  <si>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</si>
  <si>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</si>
  <si>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</si>
  <si>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</si>
  <si>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</si>
  <si>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</si>
  <si>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</si>
  <si>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</si>
  <si>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</si>
  <si>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</si>
  <si>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</si>
  <si>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</si>
  <si>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</si>
  <si>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</si>
  <si>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</t>
  </si>
  <si>
    <t>2011T3</t>
  </si>
  <si>
    <t>2011T2</t>
  </si>
  <si>
    <t>2011T1</t>
  </si>
  <si>
    <t>2010T4</t>
  </si>
  <si>
    <t>2010T3</t>
  </si>
  <si>
    <t>2010T2</t>
  </si>
  <si>
    <t>2010T1</t>
  </si>
  <si>
    <t>2009T4</t>
  </si>
  <si>
    <t>2009T3</t>
  </si>
  <si>
    <t>2009T2</t>
  </si>
  <si>
    <t>2009T1</t>
  </si>
  <si>
    <t>2008T4</t>
  </si>
  <si>
    <t>2008T3</t>
  </si>
  <si>
    <t>2008T2</t>
  </si>
  <si>
    <t>2008T1</t>
  </si>
  <si>
    <t>2007T4</t>
  </si>
  <si>
    <t>2007T3</t>
  </si>
  <si>
    <t>2007T2</t>
  </si>
  <si>
    <t>2007T1</t>
  </si>
  <si>
    <t>2020T2</t>
  </si>
  <si>
    <t>2020T3</t>
  </si>
  <si>
    <t>2020T4</t>
  </si>
  <si>
    <t>2021T1</t>
  </si>
  <si>
    <t>2021T2</t>
  </si>
  <si>
    <t>2021T3</t>
  </si>
  <si>
    <t>2021T4</t>
  </si>
  <si>
    <t>2001-2020</t>
  </si>
  <si>
    <t>1981-2000</t>
  </si>
  <si>
    <t>1961-1980</t>
  </si>
  <si>
    <t>1941-1960</t>
  </si>
  <si>
    <t>1921-1940</t>
  </si>
  <si>
    <t>Before 1921</t>
  </si>
  <si>
    <t>2021-2040</t>
  </si>
  <si>
    <t>2022T1</t>
  </si>
  <si>
    <t>2022T2</t>
  </si>
  <si>
    <t>2022T3</t>
  </si>
  <si>
    <t>2022T4</t>
  </si>
  <si>
    <t>Tenure</t>
  </si>
  <si>
    <t>Building permits</t>
  </si>
  <si>
    <t>Buyers</t>
  </si>
  <si>
    <t>Multivariate model</t>
  </si>
  <si>
    <t>Build</t>
  </si>
  <si>
    <t>Reform</t>
  </si>
  <si>
    <t>Demolish</t>
  </si>
  <si>
    <t>Owned</t>
  </si>
  <si>
    <t>Mortgaged</t>
  </si>
  <si>
    <t>Rented</t>
  </si>
  <si>
    <t>Inheritances</t>
  </si>
  <si>
    <t>Donations</t>
  </si>
  <si>
    <t>Swaps</t>
  </si>
  <si>
    <t>Others</t>
  </si>
  <si>
    <t>Optimal</t>
  </si>
  <si>
    <t>Nationals</t>
  </si>
  <si>
    <t>Foreigners</t>
  </si>
  <si>
    <t>Approved</t>
  </si>
  <si>
    <t>Releases</t>
  </si>
  <si>
    <t>Land</t>
  </si>
  <si>
    <t>Unemployment</t>
  </si>
  <si>
    <t>Balance</t>
  </si>
  <si>
    <t>Year</t>
  </si>
  <si>
    <t>HPI</t>
  </si>
  <si>
    <t>Sales</t>
  </si>
  <si>
    <t>Spread</t>
  </si>
  <si>
    <t>SUM</t>
  </si>
  <si>
    <t>Sales and Inheritances</t>
  </si>
  <si>
    <t>Wage</t>
  </si>
  <si>
    <t>Mortgages and interest rates</t>
  </si>
  <si>
    <t>Demographic limits</t>
  </si>
  <si>
    <t>Stock and cement</t>
  </si>
  <si>
    <t>Rainbow model</t>
  </si>
  <si>
    <t>Rent (source: idealista)</t>
  </si>
  <si>
    <t>Quarter</t>
  </si>
  <si>
    <t>Cells in red implies that the data is provisional or future projections.</t>
  </si>
  <si>
    <t>Cells in pink imply that the data are past projections.</t>
  </si>
  <si>
    <t>Houses by type and cost of building</t>
  </si>
  <si>
    <t>Condominiums</t>
  </si>
  <si>
    <t>Money</t>
  </si>
  <si>
    <t>Population_25_50</t>
  </si>
  <si>
    <t>Population_over18</t>
  </si>
  <si>
    <t>Age_30</t>
  </si>
  <si>
    <t>Age_30halved</t>
  </si>
  <si>
    <t>Age_40</t>
  </si>
  <si>
    <t>Age_40halved</t>
  </si>
  <si>
    <t>Age_50</t>
  </si>
  <si>
    <t>Age_50halved</t>
  </si>
  <si>
    <t>Total_population</t>
  </si>
  <si>
    <t>Upper_limit</t>
  </si>
  <si>
    <t>Lower_limit</t>
  </si>
  <si>
    <t>Home_sales</t>
  </si>
  <si>
    <t>Total_amount</t>
  </si>
  <si>
    <t>Average_amount</t>
  </si>
  <si>
    <t>Creditor_subrogation</t>
  </si>
  <si>
    <t>Consumer_subrogation</t>
  </si>
  <si>
    <t>Ratio_mortgages_sales</t>
  </si>
  <si>
    <t>Real_credit_movement</t>
  </si>
  <si>
    <t>Average_mortgage_rate</t>
  </si>
  <si>
    <t>Fixed_mortgages</t>
  </si>
  <si>
    <t>Variable_mortgages</t>
  </si>
  <si>
    <t>Years_mortgage</t>
  </si>
  <si>
    <t>Euribor_1year</t>
  </si>
  <si>
    <t>EURUSD_year_ave</t>
  </si>
  <si>
    <t>EUR_house</t>
  </si>
  <si>
    <t>USD_house</t>
  </si>
  <si>
    <t>Euro_M3_bilions</t>
  </si>
  <si>
    <t>Euro_M3_stock_per</t>
  </si>
  <si>
    <t>BTCEUR_year_ave</t>
  </si>
  <si>
    <t>BTC_house</t>
  </si>
  <si>
    <t>AUEUR_year_ave</t>
  </si>
  <si>
    <t>Gold_house</t>
  </si>
  <si>
    <t>Household_net_income</t>
  </si>
  <si>
    <t>Disposable_income_over18</t>
  </si>
  <si>
    <t>Income_constant_inflation</t>
  </si>
  <si>
    <t>Income_constant_housing</t>
  </si>
  <si>
    <t>Income_vs_houseandinflation</t>
  </si>
  <si>
    <t>Housing_affordability</t>
  </si>
  <si>
    <t>Years_full_pay</t>
  </si>
  <si>
    <t>Ideal_wage</t>
  </si>
  <si>
    <t>W_M_disconnect</t>
  </si>
  <si>
    <t>Minimum_wage</t>
  </si>
  <si>
    <t>Price_urban_land</t>
  </si>
  <si>
    <t>Tx_land</t>
  </si>
  <si>
    <t>Building_permits</t>
  </si>
  <si>
    <t>Single_family</t>
  </si>
  <si>
    <t>Single_family_m2</t>
  </si>
  <si>
    <t>SF_cost</t>
  </si>
  <si>
    <t>SF_cost_ave</t>
  </si>
  <si>
    <t>SF_cost_m2</t>
  </si>
  <si>
    <t>Condos_m2</t>
  </si>
  <si>
    <t>Condos_cost_m2</t>
  </si>
  <si>
    <t>Condos_cost</t>
  </si>
  <si>
    <t>Condos_cost_ave</t>
  </si>
  <si>
    <t>Ratio_price_cost</t>
  </si>
  <si>
    <t>Cost_production_ave</t>
  </si>
  <si>
    <t>Cost_edification</t>
  </si>
  <si>
    <t>Total_homes</t>
  </si>
  <si>
    <t>New_homes</t>
  </si>
  <si>
    <t>Per_new_homes</t>
  </si>
  <si>
    <t>Population_yoy</t>
  </si>
  <si>
    <t>Cement_mt</t>
  </si>
  <si>
    <t>Legal_entity</t>
  </si>
  <si>
    <t>Foreigner_raw</t>
  </si>
  <si>
    <t>Freely_loaned</t>
  </si>
  <si>
    <t>Owned_per</t>
  </si>
  <si>
    <t>Mortgaged_per</t>
  </si>
  <si>
    <t>Rented_per</t>
  </si>
  <si>
    <t>Freely_loaned_per</t>
  </si>
  <si>
    <t>Homes_1000</t>
  </si>
  <si>
    <t>Rent_price_eum2</t>
  </si>
  <si>
    <t>Price_per</t>
  </si>
  <si>
    <t>Rent_ROI_gross</t>
  </si>
  <si>
    <t>Rent_ROI_gross_per</t>
  </si>
  <si>
    <t>Rent_ROI_net</t>
  </si>
  <si>
    <t>Rent_ROI_net_per</t>
  </si>
  <si>
    <t>Idealista_price</t>
  </si>
  <si>
    <t>Price_eum2</t>
  </si>
  <si>
    <t>Inflation_CPI</t>
  </si>
  <si>
    <t>CPI_1985</t>
  </si>
  <si>
    <t>Overrated_inflation</t>
  </si>
  <si>
    <t>Real_price_over</t>
  </si>
  <si>
    <t>Real_price</t>
  </si>
  <si>
    <t>Accum_Inflation</t>
  </si>
  <si>
    <t>IR_yoy_per</t>
  </si>
  <si>
    <t>Nominal_price_yoy_per</t>
  </si>
  <si>
    <t>Real_price_yoy_per</t>
  </si>
  <si>
    <t>Pop_yoy_per</t>
  </si>
  <si>
    <t>Sales_yoy_per</t>
  </si>
  <si>
    <t>Credit_yoy_per</t>
  </si>
  <si>
    <t>Unemployment_yoy_per</t>
  </si>
  <si>
    <t>Net_ROI_yoy_per</t>
  </si>
  <si>
    <t>Rainbow_curve</t>
  </si>
  <si>
    <t>RC_minus50</t>
  </si>
  <si>
    <t>RC_plus50</t>
  </si>
  <si>
    <t>RC_plus100</t>
  </si>
  <si>
    <t>RC_minus100</t>
  </si>
  <si>
    <t>Alt_rainbow</t>
  </si>
  <si>
    <t>Price_idealista</t>
  </si>
  <si>
    <t>Price_notaries</t>
  </si>
  <si>
    <t>Sharp_change</t>
  </si>
  <si>
    <t>Ide_1</t>
  </si>
  <si>
    <t>Ide_2</t>
  </si>
  <si>
    <t>Ide_3</t>
  </si>
  <si>
    <t>Not_1</t>
  </si>
  <si>
    <t>Not_2</t>
  </si>
  <si>
    <t>Not_3</t>
  </si>
  <si>
    <t>Construction_period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</si>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</sst>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$-10409]#,##0;\-#,##0"/>
    <numFmt numFmtId="167" formatCode="0.0000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i/>
      <sz val="12"/>
      <color rgb="FF000000"/>
      <name val="Courier New"/>
      <family val="3"/>
    </font>
    <font>
      <i/>
      <sz val="12"/>
      <color rgb="FF000000"/>
      <name val="Courier New"/>
      <family val="3"/>
    </font>
    <font>
      <sz val="12"/>
      <color rgb="FF000000"/>
      <name val="Courier New"/>
      <family val="3"/>
    </font>
    <font>
      <u/>
      <sz val="12"/>
      <color theme="10"/>
      <name val="Courier New"/>
      <family val="3"/>
    </font>
    <font>
      <sz val="12"/>
      <name val="Courier New"/>
      <family val="3"/>
    </font>
    <font>
      <sz val="12"/>
      <color rgb="FFFF0000"/>
      <name val="Courier New"/>
      <family val="3"/>
    </font>
    <font>
      <sz val="12"/>
      <color theme="1"/>
      <name val="Courier New"/>
      <family val="3"/>
    </font>
    <font>
      <b/>
      <sz val="16"/>
      <color rgb="FF000000"/>
      <name val="Courier New"/>
      <family val="3"/>
    </font>
    <font>
      <sz val="12"/>
      <color rgb="FFFF00FF"/>
      <name val="Courier New"/>
      <family val="3"/>
    </font>
    <font>
      <b/>
      <sz val="14"/>
      <color theme="0"/>
      <name val="Calibri"/>
      <family val="2"/>
    </font>
    <font>
      <sz val="14"/>
      <color rgb="FF000000"/>
      <name val="Calibri"/>
      <family val="2"/>
    </font>
    <font>
      <i/>
      <sz val="12"/>
      <color theme="9"/>
      <name val="Courier New"/>
      <family val="3"/>
    </font>
    <font>
      <sz val="12"/>
      <color theme="9"/>
      <name val="Courier New"/>
      <family val="3"/>
    </font>
    <font>
      <sz val="12"/>
      <color theme="10"/>
      <name val="Courier New"/>
      <family val="3"/>
    </font>
    <font>
      <b/>
      <sz val="16"/>
      <name val="Courier New"/>
      <family val="3"/>
    </font>
    <font>
      <u/>
      <sz val="12"/>
      <color rgb="FFFF00FF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center"/>
    </xf>
    <xf numFmtId="0" fontId="1" fillId="0" borderId="0" xfId="2"/>
    <xf numFmtId="0" fontId="0" fillId="0" borderId="0" xfId="0" applyAlignment="1">
      <alignment vertical="center" wrapText="1"/>
    </xf>
    <xf numFmtId="0" fontId="6" fillId="2" borderId="1" xfId="0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1" fillId="3" borderId="7" xfId="0" applyFont="1" applyFill="1" applyBorder="1"/>
    <xf numFmtId="0" fontId="6" fillId="4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7" fillId="4" borderId="1" xfId="1" applyFont="1" applyFill="1" applyBorder="1" applyAlignment="1">
      <alignment horizontal="right"/>
    </xf>
    <xf numFmtId="164" fontId="12" fillId="0" borderId="5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2" fontId="10" fillId="0" borderId="1" xfId="2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10" fillId="0" borderId="1" xfId="2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1" xfId="2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2" fontId="9" fillId="0" borderId="2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0" xfId="0" applyFont="1"/>
    <xf numFmtId="0" fontId="6" fillId="5" borderId="1" xfId="0" applyFont="1" applyFill="1" applyBorder="1"/>
    <xf numFmtId="1" fontId="6" fillId="5" borderId="1" xfId="0" applyNumberFormat="1" applyFont="1" applyFill="1" applyBorder="1"/>
    <xf numFmtId="0" fontId="6" fillId="6" borderId="1" xfId="0" applyFont="1" applyFill="1" applyBorder="1"/>
    <xf numFmtId="1" fontId="6" fillId="6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right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1" fontId="8" fillId="0" borderId="1" xfId="0" applyNumberFormat="1" applyFont="1" applyBorder="1"/>
    <xf numFmtId="164" fontId="8" fillId="0" borderId="1" xfId="0" applyNumberFormat="1" applyFont="1" applyBorder="1"/>
    <xf numFmtId="0" fontId="13" fillId="9" borderId="0" xfId="0" applyFont="1" applyFill="1"/>
    <xf numFmtId="0" fontId="13" fillId="10" borderId="0" xfId="0" applyFont="1" applyFill="1"/>
    <xf numFmtId="0" fontId="14" fillId="9" borderId="0" xfId="0" applyFont="1" applyFill="1"/>
    <xf numFmtId="0" fontId="14" fillId="0" borderId="0" xfId="0" applyFont="1"/>
    <xf numFmtId="0" fontId="14" fillId="10" borderId="0" xfId="0" applyFont="1" applyFill="1"/>
    <xf numFmtId="1" fontId="9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right"/>
    </xf>
    <xf numFmtId="0" fontId="15" fillId="4" borderId="5" xfId="0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164" fontId="5" fillId="4" borderId="5" xfId="0" applyNumberFormat="1" applyFont="1" applyFill="1" applyBorder="1" applyAlignment="1">
      <alignment horizontal="right"/>
    </xf>
    <xf numFmtId="165" fontId="5" fillId="4" borderId="5" xfId="0" applyNumberFormat="1" applyFont="1" applyFill="1" applyBorder="1" applyAlignment="1">
      <alignment horizontal="right"/>
    </xf>
    <xf numFmtId="164" fontId="0" fillId="0" borderId="0" xfId="0" applyNumberFormat="1"/>
    <xf numFmtId="164" fontId="7" fillId="4" borderId="1" xfId="1" applyNumberFormat="1" applyFont="1" applyFill="1" applyBorder="1" applyAlignment="1">
      <alignment horizontal="right"/>
    </xf>
    <xf numFmtId="164" fontId="6" fillId="4" borderId="1" xfId="0" applyNumberFormat="1" applyFont="1" applyFill="1" applyBorder="1" applyAlignment="1">
      <alignment horizontal="right"/>
    </xf>
    <xf numFmtId="164" fontId="12" fillId="4" borderId="1" xfId="0" applyNumberFormat="1" applyFont="1" applyFill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1" fontId="9" fillId="4" borderId="1" xfId="0" applyNumberFormat="1" applyFont="1" applyFill="1" applyBorder="1" applyAlignment="1">
      <alignment horizontal="right"/>
    </xf>
    <xf numFmtId="0" fontId="11" fillId="11" borderId="7" xfId="0" applyFont="1" applyFill="1" applyBorder="1"/>
    <xf numFmtId="1" fontId="8" fillId="4" borderId="1" xfId="0" applyNumberFormat="1" applyFont="1" applyFill="1" applyBorder="1" applyAlignment="1">
      <alignment horizontal="right"/>
    </xf>
    <xf numFmtId="166" fontId="8" fillId="0" borderId="8" xfId="0" applyNumberFormat="1" applyFont="1" applyBorder="1" applyAlignment="1" applyProtection="1">
      <alignment horizontal="right" vertical="top" wrapText="1" readingOrder="1"/>
      <protection locked="0"/>
    </xf>
    <xf numFmtId="166" fontId="9" fillId="4" borderId="1" xfId="0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4" borderId="1" xfId="0" applyNumberFormat="1" applyFont="1" applyFill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2" fontId="8" fillId="4" borderId="1" xfId="0" applyNumberFormat="1" applyFont="1" applyFill="1" applyBorder="1" applyAlignment="1">
      <alignment horizontal="right"/>
    </xf>
    <xf numFmtId="2" fontId="9" fillId="4" borderId="1" xfId="0" applyNumberFormat="1" applyFont="1" applyFill="1" applyBorder="1" applyAlignment="1">
      <alignment horizontal="right"/>
    </xf>
    <xf numFmtId="2" fontId="9" fillId="0" borderId="1" xfId="2" applyNumberFormat="1" applyFont="1" applyBorder="1" applyAlignment="1">
      <alignment horizontal="right"/>
    </xf>
    <xf numFmtId="1" fontId="10" fillId="0" borderId="1" xfId="2" applyNumberFormat="1" applyFont="1" applyBorder="1" applyAlignment="1">
      <alignment horizontal="right"/>
    </xf>
    <xf numFmtId="0" fontId="6" fillId="12" borderId="1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164" fontId="12" fillId="4" borderId="5" xfId="0" applyNumberFormat="1" applyFont="1" applyFill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164" fontId="8" fillId="4" borderId="1" xfId="1" applyNumberFormat="1" applyFont="1" applyFill="1" applyBorder="1" applyAlignment="1">
      <alignment horizontal="right"/>
    </xf>
    <xf numFmtId="167" fontId="17" fillId="4" borderId="1" xfId="1" applyNumberFormat="1" applyFont="1" applyFill="1" applyBorder="1" applyAlignment="1">
      <alignment horizontal="right"/>
    </xf>
    <xf numFmtId="2" fontId="6" fillId="0" borderId="9" xfId="0" applyNumberFormat="1" applyFont="1" applyBorder="1"/>
    <xf numFmtId="2" fontId="8" fillId="0" borderId="1" xfId="2" applyNumberFormat="1" applyFont="1" applyBorder="1" applyAlignment="1">
      <alignment horizontal="right"/>
    </xf>
    <xf numFmtId="0" fontId="6" fillId="2" borderId="9" xfId="0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right"/>
    </xf>
    <xf numFmtId="2" fontId="6" fillId="0" borderId="9" xfId="0" applyNumberFormat="1" applyFont="1" applyBorder="1" applyAlignment="1">
      <alignment horizontal="right"/>
    </xf>
    <xf numFmtId="1" fontId="10" fillId="0" borderId="9" xfId="2" applyNumberFormat="1" applyFont="1" applyBorder="1" applyAlignment="1">
      <alignment horizontal="right"/>
    </xf>
    <xf numFmtId="1" fontId="9" fillId="0" borderId="9" xfId="0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2" fontId="9" fillId="0" borderId="9" xfId="0" applyNumberFormat="1" applyFont="1" applyBorder="1" applyAlignment="1">
      <alignment horizontal="right"/>
    </xf>
    <xf numFmtId="2" fontId="8" fillId="4" borderId="9" xfId="1" applyNumberFormat="1" applyFont="1" applyFill="1" applyBorder="1" applyAlignment="1">
      <alignment horizontal="right"/>
    </xf>
    <xf numFmtId="2" fontId="8" fillId="0" borderId="9" xfId="0" applyNumberFormat="1" applyFont="1" applyBorder="1" applyAlignment="1">
      <alignment horizontal="right"/>
    </xf>
    <xf numFmtId="2" fontId="8" fillId="0" borderId="9" xfId="2" applyNumberFormat="1" applyFont="1" applyBorder="1" applyAlignment="1">
      <alignment horizontal="right"/>
    </xf>
    <xf numFmtId="1" fontId="8" fillId="4" borderId="9" xfId="1" applyNumberFormat="1" applyFont="1" applyFill="1" applyBorder="1" applyAlignment="1">
      <alignment horizontal="right"/>
    </xf>
    <xf numFmtId="1" fontId="9" fillId="4" borderId="9" xfId="1" applyNumberFormat="1" applyFont="1" applyFill="1" applyBorder="1" applyAlignment="1">
      <alignment horizontal="right"/>
    </xf>
    <xf numFmtId="2" fontId="9" fillId="4" borderId="9" xfId="1" applyNumberFormat="1" applyFont="1" applyFill="1" applyBorder="1" applyAlignment="1">
      <alignment horizontal="right"/>
    </xf>
    <xf numFmtId="164" fontId="10" fillId="0" borderId="9" xfId="2" applyNumberFormat="1" applyFont="1" applyBorder="1" applyAlignment="1">
      <alignment horizontal="right"/>
    </xf>
    <xf numFmtId="1" fontId="8" fillId="0" borderId="9" xfId="2" applyNumberFormat="1" applyFont="1" applyBorder="1" applyAlignment="1">
      <alignment horizontal="right"/>
    </xf>
    <xf numFmtId="1" fontId="8" fillId="0" borderId="9" xfId="0" applyNumberFormat="1" applyFont="1" applyBorder="1" applyAlignment="1">
      <alignment horizontal="right"/>
    </xf>
    <xf numFmtId="1" fontId="9" fillId="0" borderId="9" xfId="2" applyNumberFormat="1" applyFont="1" applyBorder="1" applyAlignment="1">
      <alignment horizontal="right"/>
    </xf>
    <xf numFmtId="0" fontId="18" fillId="13" borderId="7" xfId="0" applyFont="1" applyFill="1" applyBorder="1"/>
    <xf numFmtId="0" fontId="11" fillId="13" borderId="7" xfId="0" applyFont="1" applyFill="1" applyBorder="1"/>
    <xf numFmtId="0" fontId="19" fillId="4" borderId="1" xfId="1" applyFont="1" applyFill="1" applyBorder="1" applyAlignment="1">
      <alignment horizontal="right"/>
    </xf>
    <xf numFmtId="2" fontId="12" fillId="4" borderId="1" xfId="1" applyNumberFormat="1" applyFont="1" applyFill="1" applyBorder="1" applyAlignment="1">
      <alignment horizontal="right"/>
    </xf>
    <xf numFmtId="1" fontId="12" fillId="0" borderId="9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 vertical="center" wrapText="1"/>
    </xf>
    <xf numFmtId="1" fontId="6" fillId="0" borderId="9" xfId="0" applyNumberFormat="1" applyFont="1" applyBorder="1" applyAlignment="1">
      <alignment horizontal="right"/>
    </xf>
    <xf numFmtId="0" fontId="8" fillId="2" borderId="9" xfId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right"/>
    </xf>
    <xf numFmtId="0" fontId="6" fillId="0" borderId="9" xfId="0" applyFont="1" applyBorder="1" applyAlignment="1">
      <alignment horizontal="right"/>
    </xf>
    <xf numFmtId="11" fontId="6" fillId="4" borderId="9" xfId="0" applyNumberFormat="1" applyFont="1" applyFill="1" applyBorder="1" applyAlignment="1">
      <alignment horizontal="right"/>
    </xf>
    <xf numFmtId="11" fontId="9" fillId="0" borderId="9" xfId="0" applyNumberFormat="1" applyFont="1" applyBorder="1" applyAlignment="1">
      <alignment horizontal="right"/>
    </xf>
    <xf numFmtId="11" fontId="8" fillId="0" borderId="9" xfId="0" applyNumberFormat="1" applyFont="1" applyBorder="1" applyAlignment="1">
      <alignment horizontal="right"/>
    </xf>
    <xf numFmtId="1" fontId="6" fillId="4" borderId="9" xfId="0" applyNumberFormat="1" applyFont="1" applyFill="1" applyBorder="1" applyAlignment="1">
      <alignment horizontal="right"/>
    </xf>
    <xf numFmtId="1" fontId="0" fillId="0" borderId="0" xfId="0" applyNumberFormat="1"/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353"/>
      <color rgb="FFFF7171"/>
      <color rgb="FFFF0D0D"/>
      <color rgb="FF5B9BD5"/>
      <color rgb="FF00CC99"/>
      <color rgb="FF00B050"/>
      <color rgb="FFFF00FF"/>
      <color rgb="FFFF9900"/>
      <color rgb="FF2F5597"/>
      <color rgb="FF0092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B0BD-52DB-4489-B150-254A1D421995}">
  <dimension ref="A1:DL251"/>
  <sheetViews>
    <sheetView tabSelected="1" zoomScale="76" zoomScaleNormal="76" workbookViewId="0">
      <selection activeCell="B2" sqref="B2"/>
    </sheetView>
  </sheetViews>
  <sheetFormatPr defaultColWidth="8.7265625" defaultRowHeight="14.5" x14ac:dyDescent="0.35"/>
  <cols>
    <col min="1" max="1" width="13.08984375" customWidth="1"/>
    <col min="2" max="2" width="15.90625" customWidth="1"/>
    <col min="3" max="4" width="13.81640625" customWidth="1"/>
    <col min="5" max="5" width="12.7265625" customWidth="1"/>
    <col min="6" max="6" width="11.81640625" customWidth="1"/>
    <col min="7" max="7" width="10" customWidth="1"/>
    <col min="8" max="8" width="12.36328125" bestFit="1" customWidth="1"/>
    <col min="9" max="9" width="10.7265625" customWidth="1"/>
    <col min="10" max="10" width="11.26953125" customWidth="1"/>
    <col min="11" max="11" width="12.54296875" bestFit="1" customWidth="1"/>
    <col min="12" max="12" width="11.54296875" customWidth="1"/>
    <col min="13" max="13" width="12.36328125" customWidth="1"/>
    <col min="14" max="15" width="13.81640625" bestFit="1" customWidth="1"/>
    <col min="16" max="16" width="15.90625" bestFit="1" customWidth="1"/>
    <col min="17" max="18" width="13.81640625" bestFit="1" customWidth="1"/>
    <col min="19" max="19" width="14.54296875" bestFit="1" customWidth="1"/>
    <col min="20" max="20" width="11.81640625" style="2" customWidth="1"/>
    <col min="21" max="21" width="14.08984375" customWidth="1"/>
    <col min="22" max="22" width="11.6328125" bestFit="1" customWidth="1"/>
    <col min="23" max="23" width="15.453125" customWidth="1"/>
    <col min="24" max="24" width="15.90625" customWidth="1"/>
    <col min="25" max="25" width="16.6328125" customWidth="1"/>
    <col min="26" max="26" width="12" customWidth="1"/>
    <col min="27" max="29" width="19.1796875" customWidth="1"/>
    <col min="30" max="40" width="11.36328125" customWidth="1"/>
    <col min="41" max="46" width="16.36328125" customWidth="1"/>
    <col min="47" max="47" width="15.81640625" customWidth="1"/>
    <col min="48" max="48" width="11.81640625" customWidth="1"/>
    <col min="49" max="49" width="16.1796875" customWidth="1"/>
    <col min="50" max="50" width="13.1796875" customWidth="1"/>
    <col min="51" max="51" width="16.26953125" customWidth="1"/>
    <col min="52" max="52" width="10.26953125" customWidth="1"/>
    <col min="53" max="53" width="17.26953125" customWidth="1"/>
    <col min="54" max="54" width="15.1796875" customWidth="1"/>
    <col min="55" max="55" width="13" customWidth="1"/>
    <col min="56" max="69" width="16.26953125" customWidth="1"/>
    <col min="70" max="70" width="13.1796875" customWidth="1"/>
    <col min="71" max="71" width="12.453125" customWidth="1"/>
    <col min="72" max="72" width="13.90625" customWidth="1"/>
    <col min="73" max="73" width="10.90625" customWidth="1"/>
    <col min="74" max="74" width="8.81640625" bestFit="1" customWidth="1"/>
    <col min="75" max="75" width="11.26953125" customWidth="1"/>
    <col min="76" max="76" width="12.08984375" customWidth="1"/>
    <col min="77" max="77" width="13.81640625" bestFit="1" customWidth="1"/>
    <col min="78" max="78" width="14.54296875" bestFit="1" customWidth="1"/>
    <col min="79" max="79" width="12.36328125" bestFit="1" customWidth="1"/>
    <col min="80" max="81" width="13.81640625" bestFit="1" customWidth="1"/>
    <col min="82" max="82" width="15.90625" bestFit="1" customWidth="1"/>
    <col min="83" max="83" width="15.26953125" bestFit="1" customWidth="1"/>
    <col min="84" max="84" width="11.54296875" customWidth="1"/>
    <col min="85" max="85" width="18.08984375" bestFit="1" customWidth="1"/>
    <col min="86" max="86" width="15.26953125" bestFit="1" customWidth="1"/>
    <col min="87" max="87" width="13.81640625" bestFit="1" customWidth="1"/>
    <col min="88" max="88" width="15.90625" bestFit="1" customWidth="1"/>
    <col min="89" max="89" width="15.453125" customWidth="1"/>
    <col min="90" max="90" width="10.54296875" customWidth="1"/>
    <col min="91" max="91" width="15" customWidth="1"/>
    <col min="92" max="92" width="12.26953125" customWidth="1"/>
    <col min="93" max="93" width="15.90625" bestFit="1" customWidth="1"/>
    <col min="94" max="94" width="12.90625" customWidth="1"/>
    <col min="95" max="95" width="16.1796875" customWidth="1"/>
    <col min="96" max="96" width="10.6328125" customWidth="1"/>
    <col min="97" max="97" width="14" customWidth="1"/>
    <col min="98" max="98" width="10.54296875" style="1" customWidth="1"/>
    <col min="99" max="99" width="13.54296875" customWidth="1"/>
    <col min="100" max="101" width="10.1796875" customWidth="1"/>
    <col min="102" max="102" width="13.54296875" customWidth="1"/>
    <col min="103" max="103" width="10.1796875" bestFit="1" customWidth="1"/>
    <col min="104" max="104" width="14.08984375" customWidth="1"/>
    <col min="105" max="105" width="12.36328125" customWidth="1"/>
    <col min="106" max="106" width="11" customWidth="1"/>
    <col min="107" max="107" width="11.36328125" customWidth="1"/>
    <col min="108" max="108" width="12.08984375" customWidth="1"/>
    <col min="109" max="109" width="12.453125" customWidth="1"/>
    <col min="110" max="110" width="10.7265625" customWidth="1"/>
    <col min="111" max="111" width="11.1796875" customWidth="1"/>
    <col min="112" max="112" width="10" customWidth="1"/>
    <col min="113" max="113" width="10.6328125" customWidth="1"/>
    <col min="114" max="114" width="10.36328125" customWidth="1"/>
    <col min="115" max="115" width="11" customWidth="1"/>
    <col min="116" max="116" width="10.36328125" customWidth="1"/>
  </cols>
  <sheetData>
    <row r="1" spans="1:116" ht="19" customHeight="1" x14ac:dyDescent="0.55000000000000004">
      <c r="A1" s="17" t="s">
        <v>219</v>
      </c>
      <c r="B1" s="121" t="s">
        <v>101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20" t="s">
        <v>98</v>
      </c>
      <c r="O1" s="20"/>
      <c r="P1" s="20"/>
      <c r="Q1" s="20"/>
      <c r="R1" s="20"/>
      <c r="S1" s="122" t="s">
        <v>100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20" t="s">
        <v>110</v>
      </c>
      <c r="AG1" s="20"/>
      <c r="AH1" s="20"/>
      <c r="AI1" s="20"/>
      <c r="AJ1" s="20"/>
      <c r="AK1" s="20"/>
      <c r="AL1" s="20"/>
      <c r="AM1" s="20"/>
      <c r="AN1" s="20"/>
      <c r="AO1" s="122" t="s">
        <v>99</v>
      </c>
      <c r="AP1" s="122"/>
      <c r="AQ1" s="122"/>
      <c r="AR1" s="122"/>
      <c r="AS1" s="122"/>
      <c r="AT1" s="122"/>
      <c r="AU1" s="122"/>
      <c r="AV1" s="122"/>
      <c r="AW1" s="122"/>
      <c r="AX1" s="122"/>
      <c r="AY1" s="20" t="s">
        <v>90</v>
      </c>
      <c r="AZ1" s="20"/>
      <c r="BA1" s="122" t="s">
        <v>72</v>
      </c>
      <c r="BB1" s="122"/>
      <c r="BC1" s="122"/>
      <c r="BD1" s="122"/>
      <c r="BE1" s="82" t="s">
        <v>108</v>
      </c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122" t="s">
        <v>102</v>
      </c>
      <c r="BS1" s="122"/>
      <c r="BT1" s="122"/>
      <c r="BU1" s="122"/>
      <c r="BV1" s="122"/>
      <c r="BW1" s="122"/>
      <c r="BX1" s="122"/>
      <c r="BY1" s="20" t="s">
        <v>73</v>
      </c>
      <c r="BZ1" s="20"/>
      <c r="CA1" s="20"/>
      <c r="CB1" s="20"/>
      <c r="CC1" s="122" t="s">
        <v>71</v>
      </c>
      <c r="CD1" s="122"/>
      <c r="CE1" s="122"/>
      <c r="CF1" s="122"/>
      <c r="CG1" s="122"/>
      <c r="CH1" s="122"/>
      <c r="CI1" s="122"/>
      <c r="CJ1" s="122"/>
      <c r="CK1" s="20" t="s">
        <v>104</v>
      </c>
      <c r="CL1" s="20"/>
      <c r="CM1" s="20"/>
      <c r="CN1" s="20"/>
      <c r="CO1" s="20"/>
      <c r="CP1" s="20"/>
      <c r="CQ1" s="20"/>
      <c r="CR1" s="122" t="s">
        <v>74</v>
      </c>
      <c r="CS1" s="122"/>
      <c r="CT1" s="122"/>
      <c r="CU1" s="122"/>
      <c r="CV1" s="122"/>
      <c r="CW1" s="122"/>
      <c r="CX1" s="122"/>
      <c r="CY1" s="122"/>
      <c r="CZ1" s="122"/>
      <c r="DA1" s="122"/>
      <c r="DB1" s="122"/>
      <c r="DC1" s="122"/>
      <c r="DD1" s="122"/>
      <c r="DE1" s="122"/>
      <c r="DF1" s="122"/>
      <c r="DG1" s="20" t="s">
        <v>103</v>
      </c>
      <c r="DH1" s="20"/>
      <c r="DI1" s="20"/>
      <c r="DJ1" s="20"/>
      <c r="DK1" s="20"/>
      <c r="DL1" s="20"/>
    </row>
    <row r="2" spans="1:116" ht="48" x14ac:dyDescent="0.35">
      <c r="A2" s="17" t="s">
        <v>93</v>
      </c>
      <c r="B2" s="103" t="s">
        <v>119</v>
      </c>
      <c r="C2" s="103" t="s">
        <v>111</v>
      </c>
      <c r="D2" s="128" t="s">
        <v>112</v>
      </c>
      <c r="E2" s="18" t="s">
        <v>120</v>
      </c>
      <c r="F2" s="18" t="s">
        <v>121</v>
      </c>
      <c r="G2" s="19" t="s">
        <v>85</v>
      </c>
      <c r="H2" s="19" t="s">
        <v>113</v>
      </c>
      <c r="I2" s="19" t="s">
        <v>114</v>
      </c>
      <c r="J2" s="19" t="s">
        <v>115</v>
      </c>
      <c r="K2" s="19" t="s">
        <v>116</v>
      </c>
      <c r="L2" s="19" t="s">
        <v>117</v>
      </c>
      <c r="M2" s="19" t="s">
        <v>118</v>
      </c>
      <c r="N2" s="18" t="s">
        <v>122</v>
      </c>
      <c r="O2" s="18" t="s">
        <v>81</v>
      </c>
      <c r="P2" s="19" t="s">
        <v>82</v>
      </c>
      <c r="Q2" s="19" t="s">
        <v>83</v>
      </c>
      <c r="R2" s="19" t="s">
        <v>84</v>
      </c>
      <c r="S2" s="19" t="s">
        <v>88</v>
      </c>
      <c r="T2" s="19" t="s">
        <v>89</v>
      </c>
      <c r="U2" s="18" t="s">
        <v>123</v>
      </c>
      <c r="V2" s="18" t="s">
        <v>124</v>
      </c>
      <c r="W2" s="18" t="s">
        <v>125</v>
      </c>
      <c r="X2" s="18" t="s">
        <v>126</v>
      </c>
      <c r="Y2" s="18" t="s">
        <v>127</v>
      </c>
      <c r="Z2" s="95" t="s">
        <v>128</v>
      </c>
      <c r="AA2" s="18" t="s">
        <v>129</v>
      </c>
      <c r="AB2" s="18" t="s">
        <v>130</v>
      </c>
      <c r="AC2" s="18" t="s">
        <v>131</v>
      </c>
      <c r="AD2" s="18" t="s">
        <v>132</v>
      </c>
      <c r="AE2" s="96" t="s">
        <v>133</v>
      </c>
      <c r="AF2" s="103" t="s">
        <v>134</v>
      </c>
      <c r="AG2" s="103" t="s">
        <v>135</v>
      </c>
      <c r="AH2" s="103" t="s">
        <v>136</v>
      </c>
      <c r="AI2" s="103" t="s">
        <v>137</v>
      </c>
      <c r="AJ2" s="103" t="s">
        <v>138</v>
      </c>
      <c r="AK2" s="103" t="s">
        <v>139</v>
      </c>
      <c r="AL2" s="103" t="s">
        <v>140</v>
      </c>
      <c r="AM2" s="103" t="s">
        <v>141</v>
      </c>
      <c r="AN2" s="103" t="s">
        <v>142</v>
      </c>
      <c r="AO2" s="103" t="s">
        <v>143</v>
      </c>
      <c r="AP2" s="18" t="s">
        <v>144</v>
      </c>
      <c r="AQ2" s="103" t="s">
        <v>145</v>
      </c>
      <c r="AR2" s="103" t="s">
        <v>146</v>
      </c>
      <c r="AS2" s="103" t="s">
        <v>147</v>
      </c>
      <c r="AT2" s="103" t="s">
        <v>148</v>
      </c>
      <c r="AU2" s="18" t="s">
        <v>149</v>
      </c>
      <c r="AV2" s="18" t="s">
        <v>150</v>
      </c>
      <c r="AW2" s="18" t="s">
        <v>151</v>
      </c>
      <c r="AX2" s="18" t="s">
        <v>152</v>
      </c>
      <c r="AY2" s="18" t="s">
        <v>153</v>
      </c>
      <c r="AZ2" s="18" t="s">
        <v>154</v>
      </c>
      <c r="BA2" s="23" t="s">
        <v>155</v>
      </c>
      <c r="BB2" s="19" t="s">
        <v>75</v>
      </c>
      <c r="BC2" s="19" t="s">
        <v>76</v>
      </c>
      <c r="BD2" s="19" t="s">
        <v>77</v>
      </c>
      <c r="BE2" s="18" t="s">
        <v>156</v>
      </c>
      <c r="BF2" s="18" t="s">
        <v>157</v>
      </c>
      <c r="BG2" s="18" t="s">
        <v>158</v>
      </c>
      <c r="BH2" s="18" t="s">
        <v>159</v>
      </c>
      <c r="BI2" s="18" t="s">
        <v>160</v>
      </c>
      <c r="BJ2" s="18" t="s">
        <v>109</v>
      </c>
      <c r="BK2" s="18" t="s">
        <v>161</v>
      </c>
      <c r="BL2" s="18" t="s">
        <v>163</v>
      </c>
      <c r="BM2" s="18" t="s">
        <v>164</v>
      </c>
      <c r="BN2" s="18" t="s">
        <v>162</v>
      </c>
      <c r="BO2" s="18" t="s">
        <v>165</v>
      </c>
      <c r="BP2" s="18" t="s">
        <v>166</v>
      </c>
      <c r="BQ2" s="18" t="s">
        <v>167</v>
      </c>
      <c r="BR2" s="18" t="s">
        <v>168</v>
      </c>
      <c r="BS2" s="18" t="s">
        <v>169</v>
      </c>
      <c r="BT2" s="18" t="s">
        <v>180</v>
      </c>
      <c r="BU2" s="18" t="s">
        <v>170</v>
      </c>
      <c r="BV2" s="19" t="s">
        <v>171</v>
      </c>
      <c r="BW2" s="18" t="s">
        <v>92</v>
      </c>
      <c r="BX2" s="96" t="s">
        <v>172</v>
      </c>
      <c r="BY2" s="23" t="s">
        <v>173</v>
      </c>
      <c r="BZ2" s="24" t="s">
        <v>86</v>
      </c>
      <c r="CA2" s="19" t="s">
        <v>87</v>
      </c>
      <c r="CB2" s="18" t="s">
        <v>174</v>
      </c>
      <c r="CC2" s="19" t="s">
        <v>78</v>
      </c>
      <c r="CD2" s="19" t="s">
        <v>79</v>
      </c>
      <c r="CE2" s="19" t="s">
        <v>80</v>
      </c>
      <c r="CF2" s="18" t="s">
        <v>175</v>
      </c>
      <c r="CG2" s="19" t="s">
        <v>176</v>
      </c>
      <c r="CH2" s="18" t="s">
        <v>177</v>
      </c>
      <c r="CI2" s="19" t="s">
        <v>178</v>
      </c>
      <c r="CJ2" s="18" t="s">
        <v>179</v>
      </c>
      <c r="CK2" s="18" t="s">
        <v>181</v>
      </c>
      <c r="CL2" s="19" t="s">
        <v>182</v>
      </c>
      <c r="CM2" s="18" t="s">
        <v>183</v>
      </c>
      <c r="CN2" s="18" t="s">
        <v>184</v>
      </c>
      <c r="CO2" s="18" t="s">
        <v>185</v>
      </c>
      <c r="CP2" s="18" t="s">
        <v>186</v>
      </c>
      <c r="CQ2" s="18" t="s">
        <v>187</v>
      </c>
      <c r="CR2" s="18" t="s">
        <v>188</v>
      </c>
      <c r="CS2" s="18" t="s">
        <v>189</v>
      </c>
      <c r="CT2" s="18" t="s">
        <v>190</v>
      </c>
      <c r="CU2" s="25" t="s">
        <v>191</v>
      </c>
      <c r="CV2" s="25" t="s">
        <v>192</v>
      </c>
      <c r="CW2" s="25" t="s">
        <v>193</v>
      </c>
      <c r="CX2" s="25" t="s">
        <v>194</v>
      </c>
      <c r="CY2" s="18" t="s">
        <v>195</v>
      </c>
      <c r="CZ2" s="18" t="s">
        <v>196</v>
      </c>
      <c r="DA2" s="18" t="s">
        <v>197</v>
      </c>
      <c r="DB2" s="19" t="s">
        <v>198</v>
      </c>
      <c r="DC2" s="19" t="s">
        <v>199</v>
      </c>
      <c r="DD2" s="18" t="s">
        <v>200</v>
      </c>
      <c r="DE2" s="18" t="s">
        <v>201</v>
      </c>
      <c r="DF2" s="18" t="s">
        <v>202</v>
      </c>
      <c r="DG2" s="18" t="s">
        <v>203</v>
      </c>
      <c r="DH2" s="19" t="s">
        <v>205</v>
      </c>
      <c r="DI2" s="19" t="s">
        <v>204</v>
      </c>
      <c r="DJ2" s="19" t="s">
        <v>206</v>
      </c>
      <c r="DK2" s="19" t="s">
        <v>207</v>
      </c>
      <c r="DL2" s="18" t="s">
        <v>208</v>
      </c>
    </row>
    <row r="3" spans="1:116" ht="16" x14ac:dyDescent="0.4">
      <c r="A3" s="18">
        <v>1964</v>
      </c>
      <c r="B3" s="8">
        <v>31723000</v>
      </c>
      <c r="C3" s="31">
        <f t="shared" ref="C3:C8" si="0">C4*B3/B4</f>
        <v>10721598.911503393</v>
      </c>
      <c r="D3" s="125"/>
      <c r="E3" s="31">
        <f t="shared" ref="E3:E9" si="1">C3/26</f>
        <v>412369.18890397664</v>
      </c>
      <c r="F3" s="31">
        <f t="shared" ref="F3:F9" si="2">E3/2</f>
        <v>206184.59445198832</v>
      </c>
      <c r="G3" s="31">
        <f t="shared" ref="G3:G34" si="3">F3*1.5</f>
        <v>309276.89167798246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7"/>
      <c r="T3" s="21"/>
      <c r="U3" s="21"/>
      <c r="V3" s="21"/>
      <c r="W3" s="21"/>
      <c r="X3" s="21"/>
      <c r="Y3" s="21"/>
      <c r="Z3" s="21"/>
      <c r="AA3" s="28"/>
      <c r="AB3" s="28"/>
      <c r="AC3" s="28"/>
      <c r="AD3" s="28"/>
      <c r="AE3" s="28"/>
      <c r="AF3" s="104"/>
      <c r="AG3" s="104"/>
      <c r="AH3" s="104"/>
      <c r="AI3" s="104"/>
      <c r="AJ3" s="104"/>
      <c r="AK3" s="104"/>
      <c r="AL3" s="104"/>
      <c r="AM3" s="104"/>
      <c r="AN3" s="104"/>
      <c r="AO3" s="131"/>
      <c r="AP3" s="21"/>
      <c r="AQ3" s="134"/>
      <c r="AR3" s="129"/>
      <c r="AS3" s="129"/>
      <c r="AT3" s="129"/>
      <c r="AU3" s="21"/>
      <c r="AV3" s="21"/>
      <c r="AW3" s="21"/>
      <c r="AX3" s="28"/>
      <c r="AY3" s="27"/>
      <c r="AZ3" s="27"/>
      <c r="BA3" s="26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8"/>
      <c r="BS3" s="28"/>
      <c r="BT3" s="28"/>
      <c r="BU3" s="28"/>
      <c r="BV3" s="28"/>
      <c r="BW3" s="28"/>
      <c r="BX3" s="10">
        <v>9917.2000000000007</v>
      </c>
      <c r="BY3" s="26"/>
      <c r="BZ3" s="26"/>
      <c r="CA3" s="27"/>
      <c r="CB3" s="27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71"/>
      <c r="CO3" s="78"/>
      <c r="CP3" s="21"/>
      <c r="CQ3" s="21"/>
      <c r="CR3" s="31"/>
      <c r="CS3" s="33">
        <v>6.95</v>
      </c>
      <c r="CT3" s="99"/>
      <c r="CU3" s="80"/>
      <c r="CV3" s="29">
        <f>BX3/88</f>
        <v>112.69545454545455</v>
      </c>
      <c r="CW3" s="29">
        <v>112.69545454545455</v>
      </c>
      <c r="CX3" s="98"/>
      <c r="CY3" s="77"/>
      <c r="CZ3" s="28"/>
      <c r="DA3" s="123"/>
      <c r="DB3" s="28"/>
      <c r="DC3" s="28"/>
      <c r="DD3" s="28"/>
      <c r="DE3" s="28"/>
      <c r="DF3" s="28"/>
      <c r="DG3" s="30">
        <f t="shared" ref="DG3:DG34" si="4">-0.06*((A3-1963)^2)+8.5*(A3-1963)+140</f>
        <v>148.44</v>
      </c>
      <c r="DH3" s="30">
        <f>DG3+50</f>
        <v>198.44</v>
      </c>
      <c r="DI3" s="30">
        <f>DG3-50</f>
        <v>98.44</v>
      </c>
      <c r="DJ3" s="30">
        <f>DG3+100</f>
        <v>248.44</v>
      </c>
      <c r="DK3" s="30">
        <f>DG3-100</f>
        <v>48.44</v>
      </c>
      <c r="DL3" s="30">
        <f t="shared" ref="DL3:DL34" si="5">-0.025*((A3-1963)^2)+5.5*(A3-1963)+175</f>
        <v>180.47499999999999</v>
      </c>
    </row>
    <row r="4" spans="1:116" ht="16" x14ac:dyDescent="0.4">
      <c r="A4" s="18">
        <v>1965</v>
      </c>
      <c r="B4" s="8">
        <v>32056000</v>
      </c>
      <c r="C4" s="31">
        <f t="shared" si="0"/>
        <v>10834144.775309799</v>
      </c>
      <c r="D4" s="125"/>
      <c r="E4" s="31">
        <f t="shared" si="1"/>
        <v>416697.8759734538</v>
      </c>
      <c r="F4" s="31">
        <f t="shared" si="2"/>
        <v>208348.9379867269</v>
      </c>
      <c r="G4" s="31">
        <f t="shared" si="3"/>
        <v>312523.40698009037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7"/>
      <c r="T4" s="21"/>
      <c r="U4" s="21"/>
      <c r="V4" s="21"/>
      <c r="W4" s="21"/>
      <c r="X4" s="21"/>
      <c r="Y4" s="21"/>
      <c r="Z4" s="21"/>
      <c r="AA4" s="28"/>
      <c r="AB4" s="28"/>
      <c r="AC4" s="28"/>
      <c r="AD4" s="28"/>
      <c r="AE4" s="28"/>
      <c r="AF4" s="104"/>
      <c r="AG4" s="104"/>
      <c r="AH4" s="104"/>
      <c r="AI4" s="104"/>
      <c r="AJ4" s="104"/>
      <c r="AK4" s="104"/>
      <c r="AL4" s="104"/>
      <c r="AM4" s="104"/>
      <c r="AN4" s="104"/>
      <c r="AO4" s="131"/>
      <c r="AP4" s="21"/>
      <c r="AQ4" s="134"/>
      <c r="AR4" s="129"/>
      <c r="AS4" s="129"/>
      <c r="AT4" s="129"/>
      <c r="AU4" s="21"/>
      <c r="AV4" s="21"/>
      <c r="AW4" s="21"/>
      <c r="AX4" s="28"/>
      <c r="AY4" s="27"/>
      <c r="AZ4" s="27"/>
      <c r="BA4" s="26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8"/>
      <c r="BS4" s="28"/>
      <c r="BT4" s="28"/>
      <c r="BU4" s="28"/>
      <c r="BV4" s="28"/>
      <c r="BW4" s="28"/>
      <c r="BX4" s="10">
        <v>11388.9</v>
      </c>
      <c r="BY4" s="26"/>
      <c r="BZ4" s="26"/>
      <c r="CA4" s="27"/>
      <c r="CB4" s="27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71"/>
      <c r="CO4" s="78"/>
      <c r="CP4" s="21"/>
      <c r="CQ4" s="21"/>
      <c r="CR4" s="31"/>
      <c r="CS4" s="33">
        <v>13.32</v>
      </c>
      <c r="CT4" s="30"/>
      <c r="CU4" s="80"/>
      <c r="CV4" s="29">
        <f>BX4/88</f>
        <v>129.41931818181817</v>
      </c>
      <c r="CW4" s="29">
        <v>129.41931818181817</v>
      </c>
      <c r="CX4" s="98"/>
      <c r="CY4" s="77"/>
      <c r="CZ4" s="28"/>
      <c r="DA4" s="124"/>
      <c r="DB4" s="28"/>
      <c r="DC4" s="28"/>
      <c r="DD4" s="28"/>
      <c r="DE4" s="28"/>
      <c r="DF4" s="28"/>
      <c r="DG4" s="30">
        <f t="shared" si="4"/>
        <v>156.76</v>
      </c>
      <c r="DH4" s="30">
        <f t="shared" ref="DH4:DH67" si="6">DG4+50</f>
        <v>206.76</v>
      </c>
      <c r="DI4" s="30">
        <f t="shared" ref="DI4:DI67" si="7">DG4-50</f>
        <v>106.75999999999999</v>
      </c>
      <c r="DJ4" s="30">
        <f t="shared" ref="DJ4:DJ67" si="8">DG4+100</f>
        <v>256.76</v>
      </c>
      <c r="DK4" s="30">
        <f t="shared" ref="DK4:DK67" si="9">DG4-100</f>
        <v>56.759999999999991</v>
      </c>
      <c r="DL4" s="30">
        <f t="shared" si="5"/>
        <v>185.9</v>
      </c>
    </row>
    <row r="5" spans="1:116" ht="16" x14ac:dyDescent="0.4">
      <c r="A5" s="18">
        <v>1966</v>
      </c>
      <c r="B5" s="8">
        <v>32394000</v>
      </c>
      <c r="C5" s="31">
        <f t="shared" si="0"/>
        <v>10948380.516951136</v>
      </c>
      <c r="D5" s="125"/>
      <c r="E5" s="31">
        <f t="shared" si="1"/>
        <v>421091.55834427447</v>
      </c>
      <c r="F5" s="31">
        <f t="shared" si="2"/>
        <v>210545.77917213723</v>
      </c>
      <c r="G5" s="31">
        <f t="shared" si="3"/>
        <v>315818.66875820584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7"/>
      <c r="T5" s="21"/>
      <c r="U5" s="21"/>
      <c r="V5" s="21"/>
      <c r="W5" s="21"/>
      <c r="X5" s="21"/>
      <c r="Y5" s="21"/>
      <c r="Z5" s="21"/>
      <c r="AA5" s="28"/>
      <c r="AB5" s="28"/>
      <c r="AC5" s="28"/>
      <c r="AD5" s="28"/>
      <c r="AE5" s="28"/>
      <c r="AF5" s="104"/>
      <c r="AG5" s="104"/>
      <c r="AH5" s="104"/>
      <c r="AI5" s="104"/>
      <c r="AJ5" s="104"/>
      <c r="AK5" s="104"/>
      <c r="AL5" s="104"/>
      <c r="AM5" s="104"/>
      <c r="AN5" s="104"/>
      <c r="AO5" s="131"/>
      <c r="AP5" s="21"/>
      <c r="AQ5" s="134"/>
      <c r="AR5" s="129"/>
      <c r="AS5" s="129"/>
      <c r="AT5" s="129"/>
      <c r="AU5" s="21"/>
      <c r="AV5" s="21"/>
      <c r="AW5" s="21"/>
      <c r="AX5" s="28"/>
      <c r="AY5" s="27"/>
      <c r="AZ5" s="27"/>
      <c r="BA5" s="26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8"/>
      <c r="BS5" s="28"/>
      <c r="BT5" s="28"/>
      <c r="BU5" s="28"/>
      <c r="BV5" s="28"/>
      <c r="BW5" s="28"/>
      <c r="BX5" s="10">
        <v>13053.4</v>
      </c>
      <c r="BY5" s="26"/>
      <c r="BZ5" s="26"/>
      <c r="CA5" s="27"/>
      <c r="CB5" s="27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71"/>
      <c r="CO5" s="78"/>
      <c r="CP5" s="21"/>
      <c r="CQ5" s="21"/>
      <c r="CR5" s="31"/>
      <c r="CS5" s="33">
        <v>6.25</v>
      </c>
      <c r="CT5" s="30"/>
      <c r="CU5" s="80"/>
      <c r="CV5" s="29">
        <f>BX5/88</f>
        <v>148.33409090909092</v>
      </c>
      <c r="CW5" s="29">
        <v>148.33409090909092</v>
      </c>
      <c r="CX5" s="98"/>
      <c r="CY5" s="77"/>
      <c r="CZ5" s="28"/>
      <c r="DA5" s="124"/>
      <c r="DB5" s="28"/>
      <c r="DC5" s="28"/>
      <c r="DD5" s="28"/>
      <c r="DE5" s="28"/>
      <c r="DF5" s="28"/>
      <c r="DG5" s="30">
        <f t="shared" si="4"/>
        <v>164.96</v>
      </c>
      <c r="DH5" s="30">
        <f t="shared" si="6"/>
        <v>214.96</v>
      </c>
      <c r="DI5" s="30">
        <f t="shared" si="7"/>
        <v>114.96000000000001</v>
      </c>
      <c r="DJ5" s="30">
        <f t="shared" si="8"/>
        <v>264.96000000000004</v>
      </c>
      <c r="DK5" s="30">
        <f t="shared" si="9"/>
        <v>64.960000000000008</v>
      </c>
      <c r="DL5" s="30">
        <f t="shared" si="5"/>
        <v>191.27500000000001</v>
      </c>
    </row>
    <row r="6" spans="1:116" ht="16" x14ac:dyDescent="0.4">
      <c r="A6" s="18">
        <v>1967</v>
      </c>
      <c r="B6" s="8">
        <v>32734000</v>
      </c>
      <c r="C6" s="31">
        <f t="shared" si="0"/>
        <v>11063292.209726445</v>
      </c>
      <c r="D6" s="125"/>
      <c r="E6" s="31">
        <f t="shared" si="1"/>
        <v>425511.23883563251</v>
      </c>
      <c r="F6" s="31">
        <f t="shared" si="2"/>
        <v>212755.61941781626</v>
      </c>
      <c r="G6" s="31">
        <f t="shared" si="3"/>
        <v>319133.42912672437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7"/>
      <c r="T6" s="21"/>
      <c r="U6" s="21"/>
      <c r="V6" s="21"/>
      <c r="W6" s="21"/>
      <c r="X6" s="21"/>
      <c r="Y6" s="21"/>
      <c r="Z6" s="21"/>
      <c r="AA6" s="28"/>
      <c r="AB6" s="28"/>
      <c r="AC6" s="28"/>
      <c r="AD6" s="28"/>
      <c r="AE6" s="28"/>
      <c r="AF6" s="104"/>
      <c r="AG6" s="104"/>
      <c r="AH6" s="104"/>
      <c r="AI6" s="104"/>
      <c r="AJ6" s="104"/>
      <c r="AK6" s="104"/>
      <c r="AL6" s="104"/>
      <c r="AM6" s="104"/>
      <c r="AN6" s="104"/>
      <c r="AO6" s="131"/>
      <c r="AP6" s="21"/>
      <c r="AQ6" s="134"/>
      <c r="AR6" s="129"/>
      <c r="AS6" s="129"/>
      <c r="AT6" s="129"/>
      <c r="AU6" s="21"/>
      <c r="AV6" s="21"/>
      <c r="AW6" s="21"/>
      <c r="AX6" s="28"/>
      <c r="AY6" s="27"/>
      <c r="AZ6" s="27"/>
      <c r="BA6" s="26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8"/>
      <c r="BS6" s="28"/>
      <c r="BT6" s="28"/>
      <c r="BU6" s="28"/>
      <c r="BV6" s="28"/>
      <c r="BW6" s="28"/>
      <c r="BX6" s="10">
        <v>14071.399999999996</v>
      </c>
      <c r="BY6" s="26"/>
      <c r="BZ6" s="26"/>
      <c r="CA6" s="27"/>
      <c r="CB6" s="27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71"/>
      <c r="CO6" s="78"/>
      <c r="CP6" s="21"/>
      <c r="CQ6" s="21"/>
      <c r="CR6" s="31"/>
      <c r="CS6" s="33">
        <v>6.39</v>
      </c>
      <c r="CT6" s="30"/>
      <c r="CU6" s="80"/>
      <c r="CV6" s="29">
        <f>BX6/88</f>
        <v>159.90227272727267</v>
      </c>
      <c r="CW6" s="29">
        <v>159.90227272727267</v>
      </c>
      <c r="CX6" s="98"/>
      <c r="CY6" s="77"/>
      <c r="CZ6" s="28"/>
      <c r="DA6" s="124"/>
      <c r="DB6" s="28"/>
      <c r="DC6" s="28"/>
      <c r="DD6" s="28"/>
      <c r="DE6" s="28"/>
      <c r="DF6" s="28"/>
      <c r="DG6" s="30">
        <f t="shared" si="4"/>
        <v>173.04</v>
      </c>
      <c r="DH6" s="30">
        <f t="shared" si="6"/>
        <v>223.04</v>
      </c>
      <c r="DI6" s="30">
        <f t="shared" si="7"/>
        <v>123.03999999999999</v>
      </c>
      <c r="DJ6" s="30">
        <f t="shared" si="8"/>
        <v>273.03999999999996</v>
      </c>
      <c r="DK6" s="30">
        <f t="shared" si="9"/>
        <v>73.039999999999992</v>
      </c>
      <c r="DL6" s="30">
        <f t="shared" si="5"/>
        <v>196.6</v>
      </c>
    </row>
    <row r="7" spans="1:116" ht="16" x14ac:dyDescent="0.4">
      <c r="A7" s="18">
        <v>1968</v>
      </c>
      <c r="B7" s="8">
        <v>33079000</v>
      </c>
      <c r="C7" s="31">
        <f t="shared" si="0"/>
        <v>11179893.780336685</v>
      </c>
      <c r="D7" s="125"/>
      <c r="E7" s="31">
        <f t="shared" si="1"/>
        <v>429995.91462833405</v>
      </c>
      <c r="F7" s="31">
        <f t="shared" si="2"/>
        <v>214997.95731416703</v>
      </c>
      <c r="G7" s="31">
        <f t="shared" si="3"/>
        <v>322496.93597125052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7"/>
      <c r="T7" s="21"/>
      <c r="U7" s="21"/>
      <c r="V7" s="21"/>
      <c r="W7" s="21"/>
      <c r="X7" s="21"/>
      <c r="Y7" s="21"/>
      <c r="Z7" s="21"/>
      <c r="AA7" s="28"/>
      <c r="AB7" s="28"/>
      <c r="AC7" s="28"/>
      <c r="AD7" s="28"/>
      <c r="AE7" s="28"/>
      <c r="AF7" s="104"/>
      <c r="AG7" s="104"/>
      <c r="AH7" s="104"/>
      <c r="AI7" s="104"/>
      <c r="AJ7" s="104"/>
      <c r="AK7" s="104"/>
      <c r="AL7" s="104"/>
      <c r="AM7" s="104"/>
      <c r="AN7" s="104"/>
      <c r="AO7" s="131"/>
      <c r="AP7" s="21"/>
      <c r="AQ7" s="134"/>
      <c r="AR7" s="129"/>
      <c r="AS7" s="129"/>
      <c r="AT7" s="129"/>
      <c r="AU7" s="21"/>
      <c r="AV7" s="21"/>
      <c r="AW7" s="21"/>
      <c r="AX7" s="28"/>
      <c r="AY7" s="27"/>
      <c r="AZ7" s="27"/>
      <c r="BA7" s="26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8"/>
      <c r="BS7" s="28"/>
      <c r="BT7" s="28"/>
      <c r="BU7" s="28"/>
      <c r="BV7" s="28"/>
      <c r="BW7" s="28"/>
      <c r="BX7" s="10">
        <v>15284.300000000001</v>
      </c>
      <c r="BY7" s="26"/>
      <c r="BZ7" s="26"/>
      <c r="CA7" s="27"/>
      <c r="CB7" s="27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71"/>
      <c r="CO7" s="78"/>
      <c r="CP7" s="78"/>
      <c r="CQ7" s="21"/>
      <c r="CR7" s="31"/>
      <c r="CS7" s="33">
        <v>4.9800000000000004</v>
      </c>
      <c r="CT7" s="30"/>
      <c r="CU7" s="80"/>
      <c r="CV7" s="29">
        <f>BX7/76</f>
        <v>201.10921052631579</v>
      </c>
      <c r="CW7" s="29">
        <v>201.10921052631579</v>
      </c>
      <c r="CX7" s="98"/>
      <c r="CY7" s="77"/>
      <c r="CZ7" s="28"/>
      <c r="DA7" s="124"/>
      <c r="DB7" s="28"/>
      <c r="DC7" s="28"/>
      <c r="DD7" s="28"/>
      <c r="DE7" s="28"/>
      <c r="DF7" s="28"/>
      <c r="DG7" s="30">
        <f t="shared" si="4"/>
        <v>181</v>
      </c>
      <c r="DH7" s="30">
        <f t="shared" si="6"/>
        <v>231</v>
      </c>
      <c r="DI7" s="30">
        <f t="shared" si="7"/>
        <v>131</v>
      </c>
      <c r="DJ7" s="30">
        <f t="shared" si="8"/>
        <v>281</v>
      </c>
      <c r="DK7" s="30">
        <f t="shared" si="9"/>
        <v>81</v>
      </c>
      <c r="DL7" s="30">
        <f t="shared" si="5"/>
        <v>201.875</v>
      </c>
    </row>
    <row r="8" spans="1:116" ht="16" x14ac:dyDescent="0.4">
      <c r="A8" s="18">
        <v>1969</v>
      </c>
      <c r="B8" s="8">
        <v>33427000</v>
      </c>
      <c r="C8" s="31">
        <f t="shared" si="0"/>
        <v>11297509.277647885</v>
      </c>
      <c r="D8" s="125"/>
      <c r="E8" s="31">
        <f t="shared" si="1"/>
        <v>434519.58760184172</v>
      </c>
      <c r="F8" s="31">
        <f t="shared" si="2"/>
        <v>217259.79380092086</v>
      </c>
      <c r="G8" s="31">
        <f t="shared" si="3"/>
        <v>325889.6907013813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7"/>
      <c r="T8" s="21"/>
      <c r="U8" s="21"/>
      <c r="V8" s="21"/>
      <c r="W8" s="21"/>
      <c r="X8" s="21"/>
      <c r="Y8" s="21"/>
      <c r="Z8" s="21"/>
      <c r="AA8" s="28"/>
      <c r="AB8" s="28"/>
      <c r="AC8" s="28"/>
      <c r="AD8" s="28"/>
      <c r="AE8" s="28"/>
      <c r="AF8" s="104"/>
      <c r="AG8" s="104"/>
      <c r="AH8" s="104"/>
      <c r="AI8" s="104"/>
      <c r="AJ8" s="104"/>
      <c r="AK8" s="104"/>
      <c r="AL8" s="104"/>
      <c r="AM8" s="114">
        <v>22.24</v>
      </c>
      <c r="AN8" s="119"/>
      <c r="AO8" s="131"/>
      <c r="AP8" s="21"/>
      <c r="AQ8" s="134"/>
      <c r="AR8" s="129"/>
      <c r="AS8" s="129"/>
      <c r="AT8" s="129"/>
      <c r="AU8" s="21"/>
      <c r="AV8" s="21"/>
      <c r="AW8" s="21"/>
      <c r="AX8" s="28"/>
      <c r="AY8" s="27"/>
      <c r="AZ8" s="27"/>
      <c r="BA8" s="26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8"/>
      <c r="BS8" s="28"/>
      <c r="BT8" s="28"/>
      <c r="BU8" s="28"/>
      <c r="BV8" s="28"/>
      <c r="BW8" s="28"/>
      <c r="BX8" s="10">
        <v>16222.3</v>
      </c>
      <c r="BY8" s="74"/>
      <c r="BZ8" s="26"/>
      <c r="CA8" s="27"/>
      <c r="CB8" s="27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71"/>
      <c r="CO8" s="78"/>
      <c r="CP8" s="21"/>
      <c r="CQ8" s="21"/>
      <c r="CR8" s="31"/>
      <c r="CS8" s="33">
        <v>2.16</v>
      </c>
      <c r="CT8" s="30"/>
      <c r="CU8" s="80"/>
      <c r="CV8" s="29">
        <f>BX8/76</f>
        <v>213.45131578947368</v>
      </c>
      <c r="CW8" s="29">
        <v>213.45131578947368</v>
      </c>
      <c r="CX8" s="98"/>
      <c r="CY8" s="77"/>
      <c r="CZ8" s="28"/>
      <c r="DA8" s="124"/>
      <c r="DB8" s="28"/>
      <c r="DC8" s="28"/>
      <c r="DD8" s="28"/>
      <c r="DE8" s="28"/>
      <c r="DF8" s="28"/>
      <c r="DG8" s="30">
        <f t="shared" si="4"/>
        <v>188.84</v>
      </c>
      <c r="DH8" s="30">
        <f>DG8+50</f>
        <v>238.84</v>
      </c>
      <c r="DI8" s="30">
        <f t="shared" si="7"/>
        <v>138.84</v>
      </c>
      <c r="DJ8" s="30">
        <f t="shared" si="8"/>
        <v>288.84000000000003</v>
      </c>
      <c r="DK8" s="30">
        <f t="shared" si="9"/>
        <v>88.84</v>
      </c>
      <c r="DL8" s="30">
        <f t="shared" si="5"/>
        <v>207.1</v>
      </c>
    </row>
    <row r="9" spans="1:116" ht="16" x14ac:dyDescent="0.4">
      <c r="A9" s="18">
        <v>1970</v>
      </c>
      <c r="B9" s="8">
        <v>33779000</v>
      </c>
      <c r="C9" s="31">
        <f>C10*B9/B10</f>
        <v>11416476.677227028</v>
      </c>
      <c r="D9" s="125"/>
      <c r="E9" s="31">
        <f t="shared" si="1"/>
        <v>439095.25681642414</v>
      </c>
      <c r="F9" s="31">
        <f t="shared" si="2"/>
        <v>219547.62840821207</v>
      </c>
      <c r="G9" s="31">
        <f t="shared" si="3"/>
        <v>329321.44261231809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7"/>
      <c r="T9" s="21"/>
      <c r="U9" s="21"/>
      <c r="V9" s="21"/>
      <c r="W9" s="21"/>
      <c r="X9" s="21"/>
      <c r="Y9" s="21"/>
      <c r="Z9" s="21"/>
      <c r="AA9" s="28"/>
      <c r="AB9" s="28"/>
      <c r="AC9" s="28"/>
      <c r="AD9" s="28"/>
      <c r="AE9" s="28"/>
      <c r="AF9" s="104"/>
      <c r="AG9" s="104"/>
      <c r="AH9" s="104"/>
      <c r="AI9" s="104"/>
      <c r="AJ9" s="104"/>
      <c r="AK9" s="104"/>
      <c r="AL9" s="104"/>
      <c r="AM9" s="114">
        <v>23.789166666666663</v>
      </c>
      <c r="AN9" s="119"/>
      <c r="AO9" s="131"/>
      <c r="AP9" s="21"/>
      <c r="AQ9" s="134"/>
      <c r="AR9" s="129"/>
      <c r="AS9" s="129"/>
      <c r="AT9" s="129"/>
      <c r="AU9" s="21"/>
      <c r="AV9" s="21"/>
      <c r="AW9" s="21"/>
      <c r="AX9" s="28"/>
      <c r="AY9" s="27"/>
      <c r="AZ9" s="27"/>
      <c r="BA9" s="26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2">
        <v>10658882</v>
      </c>
      <c r="BS9" s="31"/>
      <c r="BT9" s="28"/>
      <c r="BU9" s="28"/>
      <c r="BV9" s="28"/>
      <c r="BW9" s="28"/>
      <c r="BX9" s="10">
        <v>16573.400000000001</v>
      </c>
      <c r="BY9" s="26"/>
      <c r="BZ9" s="26"/>
      <c r="CA9" s="27"/>
      <c r="CB9" s="27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71"/>
      <c r="CO9" s="78"/>
      <c r="CP9" s="21"/>
      <c r="CQ9" s="21"/>
      <c r="CR9" s="31"/>
      <c r="CS9" s="33">
        <v>5.72</v>
      </c>
      <c r="CT9" s="30"/>
      <c r="CU9" s="80"/>
      <c r="CV9" s="29">
        <f>BX9/71</f>
        <v>233.42816901408452</v>
      </c>
      <c r="CW9" s="29">
        <v>233.42816901408452</v>
      </c>
      <c r="CX9" s="98"/>
      <c r="CY9" s="77"/>
      <c r="CZ9" s="28"/>
      <c r="DA9" s="124"/>
      <c r="DB9" s="28"/>
      <c r="DC9" s="28"/>
      <c r="DD9" s="28"/>
      <c r="DE9" s="28"/>
      <c r="DF9" s="28"/>
      <c r="DG9" s="30">
        <f t="shared" si="4"/>
        <v>196.56</v>
      </c>
      <c r="DH9" s="30">
        <f t="shared" si="6"/>
        <v>246.56</v>
      </c>
      <c r="DI9" s="30">
        <f t="shared" si="7"/>
        <v>146.56</v>
      </c>
      <c r="DJ9" s="30">
        <f t="shared" si="8"/>
        <v>296.56</v>
      </c>
      <c r="DK9" s="30">
        <f t="shared" si="9"/>
        <v>96.56</v>
      </c>
      <c r="DL9" s="30">
        <f t="shared" si="5"/>
        <v>212.27500000000001</v>
      </c>
    </row>
    <row r="10" spans="1:116" ht="16" x14ac:dyDescent="0.4">
      <c r="A10" s="18">
        <v>1971</v>
      </c>
      <c r="B10" s="8">
        <v>34216000</v>
      </c>
      <c r="C10" s="8">
        <v>11564172</v>
      </c>
      <c r="D10" s="126"/>
      <c r="E10" s="10">
        <f t="shared" ref="E10:E33" si="10">C10/26</f>
        <v>444775.84615384613</v>
      </c>
      <c r="F10" s="10">
        <f t="shared" ref="F10:F33" si="11">E10/2</f>
        <v>222387.92307692306</v>
      </c>
      <c r="G10" s="10">
        <f t="shared" si="3"/>
        <v>333581.88461538462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7"/>
      <c r="T10" s="21"/>
      <c r="U10" s="21"/>
      <c r="V10" s="21"/>
      <c r="W10" s="21"/>
      <c r="X10" s="21"/>
      <c r="Y10" s="21"/>
      <c r="Z10" s="21"/>
      <c r="AA10" s="28"/>
      <c r="AB10" s="28"/>
      <c r="AC10" s="28"/>
      <c r="AD10" s="28"/>
      <c r="AE10" s="28"/>
      <c r="AF10" s="104"/>
      <c r="AG10" s="104"/>
      <c r="AH10" s="104"/>
      <c r="AI10" s="104"/>
      <c r="AJ10" s="104"/>
      <c r="AK10" s="104"/>
      <c r="AL10" s="104"/>
      <c r="AM10" s="114">
        <v>26.610833333333336</v>
      </c>
      <c r="AN10" s="119"/>
      <c r="AO10" s="131"/>
      <c r="AP10" s="21"/>
      <c r="AQ10" s="134"/>
      <c r="AR10" s="129"/>
      <c r="AS10" s="129"/>
      <c r="AT10" s="129"/>
      <c r="AU10" s="21"/>
      <c r="AV10" s="21"/>
      <c r="AW10" s="21"/>
      <c r="AX10" s="28"/>
      <c r="AY10" s="27"/>
      <c r="AZ10" s="27"/>
      <c r="BA10" s="26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1">
        <v>11042601.752</v>
      </c>
      <c r="BS10" s="31">
        <f>BR10-BR9</f>
        <v>383719.75200000033</v>
      </c>
      <c r="BT10" s="10">
        <f t="shared" ref="BT10:BT41" si="12">(BR10/(B10))*1000</f>
        <v>322.73210638297871</v>
      </c>
      <c r="BU10" s="30">
        <f>(BR10*100/BR9)-100</f>
        <v>3.6000000000000085</v>
      </c>
      <c r="BV10" s="30">
        <f t="shared" ref="BV10:BV41" si="13">(B10*100/B9)-100</f>
        <v>1.2937031883714667</v>
      </c>
      <c r="BW10" s="30">
        <f>BU10-BV10</f>
        <v>2.3062968116285418</v>
      </c>
      <c r="BX10" s="10">
        <v>16604.8</v>
      </c>
      <c r="BY10" s="30"/>
      <c r="BZ10" s="75"/>
      <c r="CA10" s="27"/>
      <c r="CB10" s="27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71"/>
      <c r="CO10" s="78"/>
      <c r="CP10" s="21"/>
      <c r="CQ10" s="21"/>
      <c r="CR10" s="31"/>
      <c r="CS10" s="33">
        <v>8.24</v>
      </c>
      <c r="CT10" s="30"/>
      <c r="CU10" s="80"/>
      <c r="CV10" s="29">
        <f>BX10/69</f>
        <v>240.64927536231883</v>
      </c>
      <c r="CW10" s="29">
        <v>240.649275362319</v>
      </c>
      <c r="CX10" s="98"/>
      <c r="CY10" s="77"/>
      <c r="CZ10" s="28"/>
      <c r="DA10" s="124"/>
      <c r="DB10" s="28"/>
      <c r="DC10" s="28"/>
      <c r="DD10" s="28"/>
      <c r="DE10" s="28"/>
      <c r="DF10" s="28"/>
      <c r="DG10" s="30">
        <f t="shared" si="4"/>
        <v>204.16</v>
      </c>
      <c r="DH10" s="30">
        <f t="shared" si="6"/>
        <v>254.16</v>
      </c>
      <c r="DI10" s="30">
        <f t="shared" si="7"/>
        <v>154.16</v>
      </c>
      <c r="DJ10" s="30">
        <f t="shared" si="8"/>
        <v>304.15999999999997</v>
      </c>
      <c r="DK10" s="30">
        <f t="shared" si="9"/>
        <v>104.16</v>
      </c>
      <c r="DL10" s="30">
        <f t="shared" si="5"/>
        <v>217.4</v>
      </c>
    </row>
    <row r="11" spans="1:116" ht="16" x14ac:dyDescent="0.4">
      <c r="A11" s="18">
        <v>1972</v>
      </c>
      <c r="B11" s="8">
        <v>34572000</v>
      </c>
      <c r="C11" s="8">
        <v>11620299</v>
      </c>
      <c r="D11" s="126"/>
      <c r="E11" s="10">
        <f t="shared" si="10"/>
        <v>446934.57692307694</v>
      </c>
      <c r="F11" s="10">
        <f t="shared" si="11"/>
        <v>223467.28846153847</v>
      </c>
      <c r="G11" s="10">
        <f t="shared" si="3"/>
        <v>335200.93269230769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7"/>
      <c r="T11" s="21"/>
      <c r="U11" s="21"/>
      <c r="V11" s="21"/>
      <c r="W11" s="21"/>
      <c r="X11" s="21"/>
      <c r="Y11" s="21"/>
      <c r="Z11" s="21"/>
      <c r="AA11" s="28"/>
      <c r="AB11" s="28"/>
      <c r="AC11" s="28"/>
      <c r="AD11" s="28"/>
      <c r="AE11" s="28"/>
      <c r="AF11" s="104"/>
      <c r="AG11" s="104"/>
      <c r="AH11" s="104"/>
      <c r="AI11" s="104"/>
      <c r="AJ11" s="104"/>
      <c r="AK11" s="104"/>
      <c r="AL11" s="104"/>
      <c r="AM11" s="114">
        <v>35.909999999999997</v>
      </c>
      <c r="AN11" s="119"/>
      <c r="AO11" s="131"/>
      <c r="AP11" s="21"/>
      <c r="AQ11" s="134"/>
      <c r="AR11" s="129"/>
      <c r="AS11" s="129"/>
      <c r="AT11" s="129"/>
      <c r="AU11" s="21"/>
      <c r="AV11" s="21"/>
      <c r="AW11" s="21"/>
      <c r="AX11" s="28"/>
      <c r="AY11" s="27"/>
      <c r="AZ11" s="27"/>
      <c r="BA11" s="26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1">
        <v>11462220.618576001</v>
      </c>
      <c r="BS11" s="31">
        <f>BR11-BR10</f>
        <v>419618.86657600105</v>
      </c>
      <c r="BT11" s="10">
        <f t="shared" si="12"/>
        <v>331.54635596945508</v>
      </c>
      <c r="BU11" s="30">
        <f>(BR11*100/BR10)-100</f>
        <v>3.8000000000000114</v>
      </c>
      <c r="BV11" s="30">
        <f t="shared" si="13"/>
        <v>1.0404489127893441</v>
      </c>
      <c r="BW11" s="30">
        <f>BU11-BV11</f>
        <v>2.7595510872106672</v>
      </c>
      <c r="BX11" s="10">
        <v>18872.100000000002</v>
      </c>
      <c r="BY11" s="30"/>
      <c r="BZ11" s="75"/>
      <c r="CA11" s="27"/>
      <c r="CB11" s="27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71"/>
      <c r="CO11" s="78"/>
      <c r="CP11" s="21"/>
      <c r="CQ11" s="21"/>
      <c r="CR11" s="31"/>
      <c r="CS11" s="33">
        <v>8.27</v>
      </c>
      <c r="CT11" s="30"/>
      <c r="CU11" s="80"/>
      <c r="CV11" s="29">
        <f>BX11/69</f>
        <v>273.50869565217397</v>
      </c>
      <c r="CW11" s="29">
        <v>273.50869565217397</v>
      </c>
      <c r="CX11" s="98"/>
      <c r="CY11" s="77"/>
      <c r="CZ11" s="28"/>
      <c r="DA11" s="124"/>
      <c r="DB11" s="28"/>
      <c r="DC11" s="28"/>
      <c r="DD11" s="28"/>
      <c r="DE11" s="28"/>
      <c r="DF11" s="28"/>
      <c r="DG11" s="30">
        <f t="shared" si="4"/>
        <v>211.64</v>
      </c>
      <c r="DH11" s="30">
        <f t="shared" si="6"/>
        <v>261.64</v>
      </c>
      <c r="DI11" s="30">
        <f t="shared" si="7"/>
        <v>161.63999999999999</v>
      </c>
      <c r="DJ11" s="30">
        <f t="shared" si="8"/>
        <v>311.64</v>
      </c>
      <c r="DK11" s="30">
        <f t="shared" si="9"/>
        <v>111.63999999999999</v>
      </c>
      <c r="DL11" s="30">
        <f t="shared" si="5"/>
        <v>222.47499999999999</v>
      </c>
    </row>
    <row r="12" spans="1:116" ht="16" x14ac:dyDescent="0.4">
      <c r="A12" s="18">
        <v>1973</v>
      </c>
      <c r="B12" s="8">
        <v>34921000</v>
      </c>
      <c r="C12" s="8">
        <v>11702665</v>
      </c>
      <c r="D12" s="126"/>
      <c r="E12" s="10">
        <f t="shared" si="10"/>
        <v>450102.5</v>
      </c>
      <c r="F12" s="10">
        <f t="shared" si="11"/>
        <v>225051.25</v>
      </c>
      <c r="G12" s="10">
        <f t="shared" si="3"/>
        <v>337576.875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7"/>
      <c r="T12" s="21"/>
      <c r="U12" s="21"/>
      <c r="V12" s="21"/>
      <c r="W12" s="21"/>
      <c r="X12" s="21"/>
      <c r="Y12" s="21"/>
      <c r="Z12" s="21"/>
      <c r="AA12" s="28"/>
      <c r="AB12" s="28"/>
      <c r="AC12" s="28"/>
      <c r="AD12" s="28"/>
      <c r="AE12" s="28"/>
      <c r="AF12" s="104"/>
      <c r="AG12" s="104"/>
      <c r="AH12" s="104"/>
      <c r="AI12" s="104"/>
      <c r="AJ12" s="104"/>
      <c r="AK12" s="104"/>
      <c r="AL12" s="104"/>
      <c r="AM12" s="114">
        <v>56.747500000000002</v>
      </c>
      <c r="AN12" s="119"/>
      <c r="AO12" s="131"/>
      <c r="AP12" s="21"/>
      <c r="AQ12" s="134"/>
      <c r="AR12" s="129"/>
      <c r="AS12" s="129"/>
      <c r="AT12" s="129"/>
      <c r="AU12" s="21"/>
      <c r="AV12" s="21"/>
      <c r="AW12" s="21"/>
      <c r="AX12" s="28"/>
      <c r="AY12" s="27"/>
      <c r="AZ12" s="27"/>
      <c r="BA12" s="26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31">
        <v>11909247.222700465</v>
      </c>
      <c r="BS12" s="31">
        <f t="shared" ref="BS12:BS42" si="14">BR12-BR11</f>
        <v>447026.60412446409</v>
      </c>
      <c r="BT12" s="10">
        <f t="shared" si="12"/>
        <v>341.0339687494764</v>
      </c>
      <c r="BU12" s="30">
        <f>(BR12*100/BR11)-100</f>
        <v>3.8999999999999915</v>
      </c>
      <c r="BV12" s="30">
        <f t="shared" si="13"/>
        <v>1.0094874464884924</v>
      </c>
      <c r="BW12" s="30">
        <f t="shared" ref="BW12:BW42" si="15">BU12-BV12</f>
        <v>2.890512553511499</v>
      </c>
      <c r="BX12" s="10">
        <v>21606.800000000003</v>
      </c>
      <c r="BY12" s="30"/>
      <c r="BZ12" s="75"/>
      <c r="CA12" s="27"/>
      <c r="CB12" s="27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71"/>
      <c r="CO12" s="78"/>
      <c r="CP12" s="21"/>
      <c r="CQ12" s="21"/>
      <c r="CR12" s="31"/>
      <c r="CS12" s="33">
        <v>11.37</v>
      </c>
      <c r="CT12" s="30"/>
      <c r="CU12" s="80"/>
      <c r="CV12" s="29">
        <f>BX12/69</f>
        <v>313.1420289855073</v>
      </c>
      <c r="CW12" s="29">
        <v>313.1420289855073</v>
      </c>
      <c r="CX12" s="98"/>
      <c r="CY12" s="77"/>
      <c r="CZ12" s="28"/>
      <c r="DA12" s="124"/>
      <c r="DB12" s="28"/>
      <c r="DC12" s="28"/>
      <c r="DD12" s="28"/>
      <c r="DE12" s="28"/>
      <c r="DF12" s="28"/>
      <c r="DG12" s="30">
        <f t="shared" si="4"/>
        <v>219</v>
      </c>
      <c r="DH12" s="30">
        <f t="shared" si="6"/>
        <v>269</v>
      </c>
      <c r="DI12" s="30">
        <f t="shared" si="7"/>
        <v>169</v>
      </c>
      <c r="DJ12" s="30">
        <f t="shared" si="8"/>
        <v>319</v>
      </c>
      <c r="DK12" s="30">
        <f t="shared" si="9"/>
        <v>119</v>
      </c>
      <c r="DL12" s="30">
        <f t="shared" si="5"/>
        <v>227.5</v>
      </c>
    </row>
    <row r="13" spans="1:116" ht="16" x14ac:dyDescent="0.4">
      <c r="A13" s="18">
        <v>1974</v>
      </c>
      <c r="B13" s="8">
        <v>35288000</v>
      </c>
      <c r="C13" s="8">
        <v>11800401</v>
      </c>
      <c r="D13" s="126"/>
      <c r="E13" s="10">
        <f t="shared" si="10"/>
        <v>453861.57692307694</v>
      </c>
      <c r="F13" s="10">
        <f t="shared" si="11"/>
        <v>226930.78846153847</v>
      </c>
      <c r="G13" s="10">
        <f t="shared" si="3"/>
        <v>340396.18269230769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7"/>
      <c r="T13" s="21"/>
      <c r="U13" s="21"/>
      <c r="V13" s="21"/>
      <c r="W13" s="21"/>
      <c r="X13" s="21"/>
      <c r="Y13" s="21"/>
      <c r="Z13" s="21"/>
      <c r="AA13" s="28"/>
      <c r="AB13" s="28"/>
      <c r="AC13" s="28"/>
      <c r="AD13" s="28"/>
      <c r="AE13" s="28"/>
      <c r="AF13" s="104"/>
      <c r="AG13" s="104"/>
      <c r="AH13" s="104"/>
      <c r="AI13" s="104"/>
      <c r="AJ13" s="104"/>
      <c r="AK13" s="104"/>
      <c r="AL13" s="104"/>
      <c r="AM13" s="114">
        <v>95.59416666666668</v>
      </c>
      <c r="AN13" s="119"/>
      <c r="AO13" s="131"/>
      <c r="AP13" s="21"/>
      <c r="AQ13" s="134"/>
      <c r="AR13" s="129"/>
      <c r="AS13" s="129"/>
      <c r="AT13" s="129"/>
      <c r="AU13" s="21"/>
      <c r="AV13" s="21"/>
      <c r="AW13" s="21"/>
      <c r="AX13" s="28"/>
      <c r="AY13" s="27"/>
      <c r="AZ13" s="27"/>
      <c r="BA13" s="26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31">
        <v>12326070.875494981</v>
      </c>
      <c r="BS13" s="31">
        <f t="shared" si="14"/>
        <v>416823.65279451571</v>
      </c>
      <c r="BT13" s="10">
        <f t="shared" si="12"/>
        <v>349.29922000382516</v>
      </c>
      <c r="BU13" s="30">
        <f>(BR13*100/BR12)-100</f>
        <v>3.4999999999999858</v>
      </c>
      <c r="BV13" s="30">
        <f t="shared" si="13"/>
        <v>1.0509435583173428</v>
      </c>
      <c r="BW13" s="30">
        <f t="shared" si="15"/>
        <v>2.449056441682643</v>
      </c>
      <c r="BX13" s="10">
        <v>22147.3</v>
      </c>
      <c r="BY13" s="30"/>
      <c r="BZ13" s="75"/>
      <c r="CA13" s="27"/>
      <c r="CB13" s="27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71"/>
      <c r="CO13" s="78"/>
      <c r="CP13" s="21"/>
      <c r="CQ13" s="21"/>
      <c r="CR13" s="31"/>
      <c r="CS13" s="33">
        <v>15.66</v>
      </c>
      <c r="CT13" s="30"/>
      <c r="CU13" s="80"/>
      <c r="CV13" s="29">
        <f>BX13/69</f>
        <v>320.97536231884055</v>
      </c>
      <c r="CW13" s="29">
        <v>320.97536231884055</v>
      </c>
      <c r="CX13" s="98"/>
      <c r="CY13" s="77"/>
      <c r="CZ13" s="28"/>
      <c r="DA13" s="124"/>
      <c r="DB13" s="28"/>
      <c r="DC13" s="28"/>
      <c r="DD13" s="28"/>
      <c r="DE13" s="28"/>
      <c r="DF13" s="28"/>
      <c r="DG13" s="30">
        <f t="shared" si="4"/>
        <v>226.24</v>
      </c>
      <c r="DH13" s="30">
        <f t="shared" si="6"/>
        <v>276.24</v>
      </c>
      <c r="DI13" s="30">
        <f t="shared" si="7"/>
        <v>176.24</v>
      </c>
      <c r="DJ13" s="30">
        <f t="shared" si="8"/>
        <v>326.24</v>
      </c>
      <c r="DK13" s="30">
        <f t="shared" si="9"/>
        <v>126.24000000000001</v>
      </c>
      <c r="DL13" s="30">
        <f t="shared" si="5"/>
        <v>232.47499999999999</v>
      </c>
    </row>
    <row r="14" spans="1:116" ht="16" x14ac:dyDescent="0.4">
      <c r="A14" s="18">
        <v>1975</v>
      </c>
      <c r="B14" s="8">
        <v>35688000</v>
      </c>
      <c r="C14" s="8">
        <v>11872022</v>
      </c>
      <c r="D14" s="126"/>
      <c r="E14" s="10">
        <f t="shared" si="10"/>
        <v>456616.23076923075</v>
      </c>
      <c r="F14" s="10">
        <f t="shared" si="11"/>
        <v>228308.11538461538</v>
      </c>
      <c r="G14" s="10">
        <f t="shared" si="3"/>
        <v>342462.17307692306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7"/>
      <c r="T14" s="21"/>
      <c r="U14" s="21"/>
      <c r="V14" s="21"/>
      <c r="W14" s="21"/>
      <c r="X14" s="21"/>
      <c r="Y14" s="21"/>
      <c r="Z14" s="21"/>
      <c r="AA14" s="28"/>
      <c r="AB14" s="28"/>
      <c r="AC14" s="28"/>
      <c r="AD14" s="28"/>
      <c r="AE14" s="28"/>
      <c r="AF14" s="104"/>
      <c r="AG14" s="104"/>
      <c r="AH14" s="104"/>
      <c r="AI14" s="104"/>
      <c r="AJ14" s="104"/>
      <c r="AK14" s="104"/>
      <c r="AL14" s="104"/>
      <c r="AM14" s="114">
        <v>92.156666666666652</v>
      </c>
      <c r="AN14" s="119"/>
      <c r="AO14" s="131"/>
      <c r="AP14" s="21"/>
      <c r="AQ14" s="134"/>
      <c r="AR14" s="129"/>
      <c r="AS14" s="129"/>
      <c r="AT14" s="129"/>
      <c r="AU14" s="21"/>
      <c r="AV14" s="21"/>
      <c r="AW14" s="21"/>
      <c r="AX14" s="28"/>
      <c r="AY14" s="27"/>
      <c r="AZ14" s="27"/>
      <c r="BA14" s="26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31">
        <v>12695853.001759831</v>
      </c>
      <c r="BS14" s="31">
        <f t="shared" si="14"/>
        <v>369782.12626484968</v>
      </c>
      <c r="BT14" s="10">
        <f t="shared" si="12"/>
        <v>355.74571289396522</v>
      </c>
      <c r="BU14" s="30">
        <f t="shared" ref="BU14:BU42" si="16">(BR14*100/BR13)-100</f>
        <v>3.0000000000000142</v>
      </c>
      <c r="BV14" s="30">
        <f t="shared" si="13"/>
        <v>1.1335298118340518</v>
      </c>
      <c r="BW14" s="30">
        <f t="shared" si="15"/>
        <v>1.8664701881659624</v>
      </c>
      <c r="BX14" s="10">
        <v>20849.3</v>
      </c>
      <c r="BY14" s="30"/>
      <c r="BZ14" s="75"/>
      <c r="CA14" s="27"/>
      <c r="CB14" s="27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71"/>
      <c r="CO14" s="78"/>
      <c r="CP14" s="21"/>
      <c r="CQ14" s="21"/>
      <c r="CR14" s="31"/>
      <c r="CS14" s="33">
        <v>17.02</v>
      </c>
      <c r="CT14" s="30"/>
      <c r="CU14" s="80"/>
      <c r="CV14" s="29">
        <f>BX14/63</f>
        <v>330.94126984126984</v>
      </c>
      <c r="CW14" s="29">
        <v>330.94126984126984</v>
      </c>
      <c r="CX14" s="98"/>
      <c r="CY14" s="77"/>
      <c r="CZ14" s="28"/>
      <c r="DA14" s="124"/>
      <c r="DB14" s="28"/>
      <c r="DC14" s="28"/>
      <c r="DD14" s="28"/>
      <c r="DE14" s="28"/>
      <c r="DF14" s="28"/>
      <c r="DG14" s="30">
        <f t="shared" si="4"/>
        <v>233.36</v>
      </c>
      <c r="DH14" s="30">
        <f>DG14+50</f>
        <v>283.36</v>
      </c>
      <c r="DI14" s="30">
        <f>DG14-50</f>
        <v>183.36</v>
      </c>
      <c r="DJ14" s="30">
        <f>DG14+100</f>
        <v>333.36</v>
      </c>
      <c r="DK14" s="30">
        <f>DG14-100</f>
        <v>133.36000000000001</v>
      </c>
      <c r="DL14" s="30">
        <f t="shared" si="5"/>
        <v>237.4</v>
      </c>
    </row>
    <row r="15" spans="1:116" ht="16" x14ac:dyDescent="0.4">
      <c r="A15" s="18">
        <v>1976</v>
      </c>
      <c r="B15" s="8">
        <v>36118000</v>
      </c>
      <c r="C15" s="8">
        <v>11926333</v>
      </c>
      <c r="D15" s="126"/>
      <c r="E15" s="10">
        <f t="shared" si="10"/>
        <v>458705.11538461538</v>
      </c>
      <c r="F15" s="10">
        <f t="shared" si="11"/>
        <v>229352.55769230769</v>
      </c>
      <c r="G15" s="10">
        <f t="shared" si="3"/>
        <v>344028.8365384615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7"/>
      <c r="T15" s="21"/>
      <c r="U15" s="21"/>
      <c r="V15" s="21"/>
      <c r="W15" s="21"/>
      <c r="X15" s="21"/>
      <c r="Y15" s="21"/>
      <c r="Z15" s="21"/>
      <c r="AA15" s="28"/>
      <c r="AB15" s="28"/>
      <c r="AC15" s="28"/>
      <c r="AD15" s="28"/>
      <c r="AE15" s="28"/>
      <c r="AF15" s="104"/>
      <c r="AG15" s="104"/>
      <c r="AH15" s="104"/>
      <c r="AI15" s="104"/>
      <c r="AJ15" s="104"/>
      <c r="AK15" s="104"/>
      <c r="AL15" s="104"/>
      <c r="AM15" s="114">
        <v>82.542500000000004</v>
      </c>
      <c r="AN15" s="119"/>
      <c r="AO15" s="131"/>
      <c r="AP15" s="21"/>
      <c r="AQ15" s="134"/>
      <c r="AR15" s="129"/>
      <c r="AS15" s="129"/>
      <c r="AT15" s="129"/>
      <c r="AU15" s="21"/>
      <c r="AV15" s="21"/>
      <c r="AW15" s="21"/>
      <c r="AX15" s="28"/>
      <c r="AY15" s="27"/>
      <c r="AZ15" s="27"/>
      <c r="BA15" s="26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31">
        <v>13064032.738810865</v>
      </c>
      <c r="BS15" s="31">
        <f t="shared" si="14"/>
        <v>368179.73705103435</v>
      </c>
      <c r="BT15" s="10">
        <f t="shared" si="12"/>
        <v>361.70421227119073</v>
      </c>
      <c r="BU15" s="30">
        <f t="shared" si="16"/>
        <v>2.9000000000000057</v>
      </c>
      <c r="BV15" s="30">
        <f t="shared" si="13"/>
        <v>1.2048867966823593</v>
      </c>
      <c r="BW15" s="30">
        <f t="shared" si="15"/>
        <v>1.6951132033176464</v>
      </c>
      <c r="BX15" s="10">
        <v>21293</v>
      </c>
      <c r="BY15" s="30"/>
      <c r="BZ15" s="75"/>
      <c r="CA15" s="27"/>
      <c r="CB15" s="27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71"/>
      <c r="CO15" s="78"/>
      <c r="CP15" s="21"/>
      <c r="CQ15" s="21"/>
      <c r="CR15" s="31"/>
      <c r="CS15" s="33">
        <v>17.559999999999999</v>
      </c>
      <c r="CT15" s="30"/>
      <c r="CU15" s="80"/>
      <c r="CV15" s="29">
        <f>BX15/66</f>
        <v>322.62121212121212</v>
      </c>
      <c r="CW15" s="29">
        <v>322.62121212121212</v>
      </c>
      <c r="CX15" s="98"/>
      <c r="CY15" s="77"/>
      <c r="CZ15" s="28"/>
      <c r="DA15" s="124"/>
      <c r="DB15" s="28"/>
      <c r="DC15" s="28"/>
      <c r="DD15" s="28"/>
      <c r="DE15" s="28"/>
      <c r="DF15" s="28"/>
      <c r="DG15" s="30">
        <f t="shared" si="4"/>
        <v>240.36</v>
      </c>
      <c r="DH15" s="30">
        <f>DG15+50</f>
        <v>290.36</v>
      </c>
      <c r="DI15" s="30">
        <f t="shared" si="7"/>
        <v>190.36</v>
      </c>
      <c r="DJ15" s="30">
        <f t="shared" si="8"/>
        <v>340.36</v>
      </c>
      <c r="DK15" s="30">
        <f t="shared" si="9"/>
        <v>140.36000000000001</v>
      </c>
      <c r="DL15" s="30">
        <f t="shared" si="5"/>
        <v>242.27500000000001</v>
      </c>
    </row>
    <row r="16" spans="1:116" ht="16" x14ac:dyDescent="0.4">
      <c r="A16" s="18">
        <v>1977</v>
      </c>
      <c r="B16" s="8">
        <v>36564000</v>
      </c>
      <c r="C16" s="8">
        <v>11966578</v>
      </c>
      <c r="D16" s="126"/>
      <c r="E16" s="10">
        <f t="shared" si="10"/>
        <v>460253</v>
      </c>
      <c r="F16" s="10">
        <f t="shared" si="11"/>
        <v>230126.5</v>
      </c>
      <c r="G16" s="10">
        <f t="shared" si="3"/>
        <v>345189.75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7"/>
      <c r="T16" s="21"/>
      <c r="U16" s="21"/>
      <c r="V16" s="21"/>
      <c r="W16" s="21"/>
      <c r="X16" s="21"/>
      <c r="Y16" s="21"/>
      <c r="Z16" s="21"/>
      <c r="AA16" s="28"/>
      <c r="AB16" s="28"/>
      <c r="AC16" s="28"/>
      <c r="AD16" s="28"/>
      <c r="AE16" s="28"/>
      <c r="AF16" s="104"/>
      <c r="AG16" s="104"/>
      <c r="AH16" s="104"/>
      <c r="AI16" s="104"/>
      <c r="AJ16" s="104"/>
      <c r="AK16" s="104"/>
      <c r="AL16" s="104"/>
      <c r="AM16" s="114">
        <v>102.25166666666667</v>
      </c>
      <c r="AN16" s="119"/>
      <c r="AO16" s="131"/>
      <c r="AP16" s="21"/>
      <c r="AQ16" s="134"/>
      <c r="AR16" s="129"/>
      <c r="AS16" s="129"/>
      <c r="AT16" s="129"/>
      <c r="AU16" s="21"/>
      <c r="AV16" s="21"/>
      <c r="AW16" s="21"/>
      <c r="AX16" s="28"/>
      <c r="AY16" s="27"/>
      <c r="AZ16" s="27"/>
      <c r="BA16" s="26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31">
        <v>13429825.65549757</v>
      </c>
      <c r="BS16" s="31">
        <f t="shared" si="14"/>
        <v>365792.91668670438</v>
      </c>
      <c r="BT16" s="10">
        <f t="shared" si="12"/>
        <v>367.29640234923886</v>
      </c>
      <c r="BU16" s="30">
        <f t="shared" si="16"/>
        <v>2.8000000000000114</v>
      </c>
      <c r="BV16" s="30">
        <f t="shared" si="13"/>
        <v>1.234841353341821</v>
      </c>
      <c r="BW16" s="30">
        <f t="shared" si="15"/>
        <v>1.5651586466581904</v>
      </c>
      <c r="BX16" s="10">
        <v>21710</v>
      </c>
      <c r="BY16" s="30"/>
      <c r="BZ16" s="75"/>
      <c r="CA16" s="27"/>
      <c r="CB16" s="27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71"/>
      <c r="CO16" s="78"/>
      <c r="CP16" s="21"/>
      <c r="CQ16" s="21"/>
      <c r="CR16" s="31"/>
      <c r="CS16" s="33">
        <v>24.44</v>
      </c>
      <c r="CT16" s="30"/>
      <c r="CU16" s="80"/>
      <c r="CV16" s="29">
        <f>BX16/69</f>
        <v>314.63768115942031</v>
      </c>
      <c r="CW16" s="29">
        <v>314.63768115942031</v>
      </c>
      <c r="CX16" s="98"/>
      <c r="CY16" s="77"/>
      <c r="CZ16" s="28"/>
      <c r="DA16" s="124"/>
      <c r="DB16" s="28"/>
      <c r="DC16" s="28"/>
      <c r="DD16" s="28"/>
      <c r="DE16" s="28"/>
      <c r="DF16" s="28"/>
      <c r="DG16" s="30">
        <f t="shared" si="4"/>
        <v>247.24</v>
      </c>
      <c r="DH16" s="30">
        <f t="shared" si="6"/>
        <v>297.24</v>
      </c>
      <c r="DI16" s="30">
        <f t="shared" si="7"/>
        <v>197.24</v>
      </c>
      <c r="DJ16" s="30">
        <f t="shared" si="8"/>
        <v>347.24</v>
      </c>
      <c r="DK16" s="30">
        <f t="shared" si="9"/>
        <v>147.24</v>
      </c>
      <c r="DL16" s="30">
        <f t="shared" si="5"/>
        <v>247.1</v>
      </c>
    </row>
    <row r="17" spans="1:116" ht="16" x14ac:dyDescent="0.4">
      <c r="A17" s="18">
        <v>1978</v>
      </c>
      <c r="B17" s="8">
        <v>36741000</v>
      </c>
      <c r="C17" s="8">
        <v>12024081</v>
      </c>
      <c r="D17" s="126"/>
      <c r="E17" s="10">
        <f t="shared" si="10"/>
        <v>462464.65384615387</v>
      </c>
      <c r="F17" s="10">
        <f t="shared" si="11"/>
        <v>231232.32692307694</v>
      </c>
      <c r="G17" s="10">
        <f t="shared" si="3"/>
        <v>346848.49038461538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7"/>
      <c r="T17" s="21"/>
      <c r="U17" s="21"/>
      <c r="V17" s="21"/>
      <c r="W17" s="21"/>
      <c r="X17" s="21"/>
      <c r="Y17" s="21"/>
      <c r="Z17" s="21"/>
      <c r="AA17" s="28"/>
      <c r="AB17" s="28"/>
      <c r="AC17" s="28"/>
      <c r="AD17" s="28"/>
      <c r="AE17" s="28"/>
      <c r="AF17" s="104"/>
      <c r="AG17" s="104"/>
      <c r="AH17" s="104"/>
      <c r="AI17" s="104"/>
      <c r="AJ17" s="104"/>
      <c r="AK17" s="104"/>
      <c r="AL17" s="104"/>
      <c r="AM17" s="114">
        <v>125.8875</v>
      </c>
      <c r="AN17" s="119"/>
      <c r="AO17" s="131"/>
      <c r="AP17" s="21"/>
      <c r="AQ17" s="134"/>
      <c r="AR17" s="129"/>
      <c r="AS17" s="129"/>
      <c r="AT17" s="129"/>
      <c r="AU17" s="21"/>
      <c r="AV17" s="21"/>
      <c r="AW17" s="21"/>
      <c r="AX17" s="28"/>
      <c r="AY17" s="27"/>
      <c r="AZ17" s="27"/>
      <c r="BA17" s="26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31">
        <v>13792430.948196003</v>
      </c>
      <c r="BS17" s="31">
        <f t="shared" si="14"/>
        <v>362605.29269843362</v>
      </c>
      <c r="BT17" s="10">
        <f t="shared" si="12"/>
        <v>375.39617724601953</v>
      </c>
      <c r="BU17" s="30">
        <f t="shared" si="16"/>
        <v>2.7000000000000028</v>
      </c>
      <c r="BV17" s="30">
        <f t="shared" si="13"/>
        <v>0.48408270429931122</v>
      </c>
      <c r="BW17" s="30">
        <f>BU17-BV17</f>
        <v>2.2159172957006916</v>
      </c>
      <c r="BX17" s="10">
        <v>22028</v>
      </c>
      <c r="BY17" s="30"/>
      <c r="BZ17" s="75"/>
      <c r="CA17" s="27"/>
      <c r="CB17" s="27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71"/>
      <c r="CO17" s="78"/>
      <c r="CP17" s="21"/>
      <c r="CQ17" s="21"/>
      <c r="CR17" s="31"/>
      <c r="CS17" s="33">
        <v>19.98</v>
      </c>
      <c r="CT17" s="30"/>
      <c r="CU17" s="80"/>
      <c r="CV17" s="29">
        <f>BX17/76</f>
        <v>289.84210526315792</v>
      </c>
      <c r="CW17" s="29">
        <v>289.84210526315792</v>
      </c>
      <c r="CX17" s="98"/>
      <c r="CY17" s="77"/>
      <c r="CZ17" s="28"/>
      <c r="DA17" s="124"/>
      <c r="DB17" s="28"/>
      <c r="DC17" s="28"/>
      <c r="DD17" s="28"/>
      <c r="DE17" s="28"/>
      <c r="DF17" s="28"/>
      <c r="DG17" s="30">
        <f t="shared" si="4"/>
        <v>254</v>
      </c>
      <c r="DH17" s="30">
        <f t="shared" si="6"/>
        <v>304</v>
      </c>
      <c r="DI17" s="30">
        <f t="shared" si="7"/>
        <v>204</v>
      </c>
      <c r="DJ17" s="30">
        <f t="shared" si="8"/>
        <v>354</v>
      </c>
      <c r="DK17" s="30">
        <f t="shared" si="9"/>
        <v>154</v>
      </c>
      <c r="DL17" s="30">
        <f t="shared" si="5"/>
        <v>251.875</v>
      </c>
    </row>
    <row r="18" spans="1:116" ht="16" x14ac:dyDescent="0.4">
      <c r="A18" s="18">
        <v>1979</v>
      </c>
      <c r="B18" s="8">
        <v>37289000</v>
      </c>
      <c r="C18" s="8">
        <v>12074990</v>
      </c>
      <c r="D18" s="126"/>
      <c r="E18" s="10">
        <f t="shared" si="10"/>
        <v>464422.69230769231</v>
      </c>
      <c r="F18" s="10">
        <f t="shared" si="11"/>
        <v>232211.34615384616</v>
      </c>
      <c r="G18" s="10">
        <f t="shared" si="3"/>
        <v>348317.01923076925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/>
      <c r="T18" s="21"/>
      <c r="U18" s="21"/>
      <c r="V18" s="21"/>
      <c r="W18" s="21"/>
      <c r="X18" s="21"/>
      <c r="Y18" s="21"/>
      <c r="Z18" s="21"/>
      <c r="AA18" s="28"/>
      <c r="AB18" s="28"/>
      <c r="AC18" s="28"/>
      <c r="AD18" s="28"/>
      <c r="AE18" s="101">
        <v>17.516500000000001</v>
      </c>
      <c r="AF18" s="104"/>
      <c r="AG18" s="104"/>
      <c r="AH18" s="104"/>
      <c r="AI18" s="104"/>
      <c r="AJ18" s="104"/>
      <c r="AK18" s="104"/>
      <c r="AL18" s="104"/>
      <c r="AM18" s="114">
        <v>193.33666666666667</v>
      </c>
      <c r="AN18" s="119"/>
      <c r="AO18" s="131"/>
      <c r="AP18" s="21"/>
      <c r="AQ18" s="134"/>
      <c r="AR18" s="129"/>
      <c r="AS18" s="129"/>
      <c r="AT18" s="129"/>
      <c r="AU18" s="21"/>
      <c r="AV18" s="21"/>
      <c r="AW18" s="21"/>
      <c r="AX18" s="28"/>
      <c r="AY18" s="27"/>
      <c r="AZ18" s="27"/>
      <c r="BA18" s="26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31">
        <v>14137241.721900903</v>
      </c>
      <c r="BS18" s="31">
        <f t="shared" si="14"/>
        <v>344810.77370489947</v>
      </c>
      <c r="BT18" s="10">
        <f t="shared" si="12"/>
        <v>379.12633006787263</v>
      </c>
      <c r="BU18" s="30">
        <f t="shared" si="16"/>
        <v>2.4999999999999858</v>
      </c>
      <c r="BV18" s="30">
        <f t="shared" si="13"/>
        <v>1.491521733213574</v>
      </c>
      <c r="BW18" s="30">
        <f t="shared" si="15"/>
        <v>1.0084782667864118</v>
      </c>
      <c r="BX18" s="10">
        <v>20773</v>
      </c>
      <c r="BY18" s="30"/>
      <c r="BZ18" s="75"/>
      <c r="CA18" s="27"/>
      <c r="CB18" s="27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71"/>
      <c r="CO18" s="78"/>
      <c r="CP18" s="21"/>
      <c r="CQ18" s="21"/>
      <c r="CR18" s="31"/>
      <c r="CS18" s="33">
        <v>15.68</v>
      </c>
      <c r="CT18" s="30"/>
      <c r="CU18" s="80"/>
      <c r="CV18" s="29">
        <f>BX18/76</f>
        <v>273.32894736842104</v>
      </c>
      <c r="CW18" s="29">
        <v>273.32894736842104</v>
      </c>
      <c r="CX18" s="98"/>
      <c r="CY18" s="33"/>
      <c r="CZ18" s="28"/>
      <c r="DA18" s="124"/>
      <c r="DB18" s="28"/>
      <c r="DC18" s="28"/>
      <c r="DD18" s="28"/>
      <c r="DE18" s="28"/>
      <c r="DF18" s="28"/>
      <c r="DG18" s="30">
        <f t="shared" si="4"/>
        <v>260.64</v>
      </c>
      <c r="DH18" s="30">
        <f t="shared" si="6"/>
        <v>310.64</v>
      </c>
      <c r="DI18" s="30">
        <f t="shared" si="7"/>
        <v>210.64</v>
      </c>
      <c r="DJ18" s="30">
        <f t="shared" si="8"/>
        <v>360.64</v>
      </c>
      <c r="DK18" s="30">
        <f t="shared" si="9"/>
        <v>160.63999999999999</v>
      </c>
      <c r="DL18" s="30">
        <f t="shared" si="5"/>
        <v>256.60000000000002</v>
      </c>
    </row>
    <row r="19" spans="1:116" ht="16" x14ac:dyDescent="0.4">
      <c r="A19" s="18">
        <v>1980</v>
      </c>
      <c r="B19" s="8">
        <v>37527000</v>
      </c>
      <c r="C19" s="8">
        <v>12092821</v>
      </c>
      <c r="D19" s="126"/>
      <c r="E19" s="10">
        <f t="shared" si="10"/>
        <v>465108.5</v>
      </c>
      <c r="F19" s="10">
        <f t="shared" si="11"/>
        <v>232554.25</v>
      </c>
      <c r="G19" s="10">
        <f t="shared" si="3"/>
        <v>348831.375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7"/>
      <c r="T19" s="21"/>
      <c r="U19" s="21"/>
      <c r="V19" s="21"/>
      <c r="W19" s="21"/>
      <c r="X19" s="21"/>
      <c r="Y19" s="21"/>
      <c r="Z19" s="21"/>
      <c r="AA19" s="28"/>
      <c r="AB19" s="28"/>
      <c r="AC19" s="28"/>
      <c r="AD19" s="28"/>
      <c r="AE19" s="101">
        <v>15.841749999999999</v>
      </c>
      <c r="AF19" s="104"/>
      <c r="AG19" s="104"/>
      <c r="AH19" s="104"/>
      <c r="AI19" s="111">
        <v>1.230451</v>
      </c>
      <c r="AJ19" s="104"/>
      <c r="AK19" s="104"/>
      <c r="AL19" s="104"/>
      <c r="AM19" s="114">
        <v>374.74166666666662</v>
      </c>
      <c r="AN19" s="119"/>
      <c r="AO19" s="131"/>
      <c r="AP19" s="21"/>
      <c r="AQ19" s="134"/>
      <c r="AR19" s="129"/>
      <c r="AS19" s="129"/>
      <c r="AT19" s="129"/>
      <c r="AU19" s="21"/>
      <c r="AV19" s="21"/>
      <c r="AW19" s="21"/>
      <c r="AX19" s="28"/>
      <c r="AY19" s="27"/>
      <c r="AZ19" s="27"/>
      <c r="BA19" s="26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31">
        <v>14476535.523226524</v>
      </c>
      <c r="BS19" s="31">
        <f>BR19-BR18</f>
        <v>339293.80132562108</v>
      </c>
      <c r="BT19" s="10">
        <f t="shared" si="12"/>
        <v>385.76319778363643</v>
      </c>
      <c r="BU19" s="30">
        <f t="shared" si="16"/>
        <v>2.3999999999999915</v>
      </c>
      <c r="BV19" s="30">
        <f t="shared" si="13"/>
        <v>0.6382579312934098</v>
      </c>
      <c r="BW19" s="30">
        <f t="shared" si="15"/>
        <v>1.7617420687065817</v>
      </c>
      <c r="BX19" s="10">
        <v>19725</v>
      </c>
      <c r="BY19" s="30"/>
      <c r="BZ19" s="75"/>
      <c r="CA19" s="27"/>
      <c r="CB19" s="27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71"/>
      <c r="CO19" s="78"/>
      <c r="CP19" s="21"/>
      <c r="CQ19" s="21"/>
      <c r="CR19" s="31"/>
      <c r="CS19" s="33">
        <v>15.59</v>
      </c>
      <c r="CT19" s="30"/>
      <c r="CU19" s="80"/>
      <c r="CV19" s="29">
        <f>BX19/76</f>
        <v>259.53947368421052</v>
      </c>
      <c r="CW19" s="29">
        <v>259.53947368421052</v>
      </c>
      <c r="CX19" s="98"/>
      <c r="CY19" s="33">
        <f t="shared" ref="CY19:CY60" si="17">(AE19-AE18)</f>
        <v>-1.6747500000000013</v>
      </c>
      <c r="CZ19" s="28"/>
      <c r="DA19" s="124"/>
      <c r="DB19" s="28"/>
      <c r="DC19" s="28"/>
      <c r="DD19" s="28"/>
      <c r="DE19" s="28"/>
      <c r="DF19" s="28"/>
      <c r="DG19" s="30">
        <f t="shared" si="4"/>
        <v>267.15999999999997</v>
      </c>
      <c r="DH19" s="30">
        <f t="shared" si="6"/>
        <v>317.15999999999997</v>
      </c>
      <c r="DI19" s="30">
        <f t="shared" si="7"/>
        <v>217.15999999999997</v>
      </c>
      <c r="DJ19" s="30">
        <f t="shared" si="8"/>
        <v>367.15999999999997</v>
      </c>
      <c r="DK19" s="30">
        <f t="shared" si="9"/>
        <v>167.15999999999997</v>
      </c>
      <c r="DL19" s="30">
        <f t="shared" si="5"/>
        <v>261.27499999999998</v>
      </c>
    </row>
    <row r="20" spans="1:116" ht="16" x14ac:dyDescent="0.4">
      <c r="A20" s="18">
        <v>1981</v>
      </c>
      <c r="B20" s="8">
        <v>37741000</v>
      </c>
      <c r="C20" s="8">
        <v>12135566</v>
      </c>
      <c r="D20" s="126"/>
      <c r="E20" s="10">
        <f t="shared" si="10"/>
        <v>466752.53846153844</v>
      </c>
      <c r="F20" s="10">
        <f t="shared" si="11"/>
        <v>233376.26923076922</v>
      </c>
      <c r="G20" s="10">
        <f t="shared" si="3"/>
        <v>350064.40384615381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7"/>
      <c r="T20" s="21"/>
      <c r="U20" s="21"/>
      <c r="V20" s="21"/>
      <c r="W20" s="21"/>
      <c r="X20" s="21"/>
      <c r="Y20" s="21"/>
      <c r="Z20" s="21"/>
      <c r="AA20" s="28"/>
      <c r="AB20" s="28"/>
      <c r="AC20" s="28"/>
      <c r="AD20" s="28"/>
      <c r="AE20" s="101">
        <v>16.862454545454543</v>
      </c>
      <c r="AF20" s="104"/>
      <c r="AG20" s="104"/>
      <c r="AH20" s="104"/>
      <c r="AI20" s="112">
        <v>1.356895</v>
      </c>
      <c r="AJ20" s="111">
        <f>(AI20*100/AI19)-100</f>
        <v>10.276232048248986</v>
      </c>
      <c r="AK20" s="104"/>
      <c r="AL20" s="104"/>
      <c r="AM20" s="114">
        <v>356.03</v>
      </c>
      <c r="AN20" s="119"/>
      <c r="AO20" s="131"/>
      <c r="AP20" s="21"/>
      <c r="AQ20" s="134"/>
      <c r="AR20" s="129"/>
      <c r="AS20" s="129"/>
      <c r="AT20" s="129"/>
      <c r="AU20" s="21"/>
      <c r="AV20" s="21"/>
      <c r="AW20" s="21"/>
      <c r="AX20" s="28"/>
      <c r="AY20" s="27"/>
      <c r="AZ20" s="27"/>
      <c r="BA20" s="26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2">
        <v>14726000</v>
      </c>
      <c r="BS20" s="31">
        <f>BR20-BR19</f>
        <v>249464.47677347623</v>
      </c>
      <c r="BT20" s="10">
        <f t="shared" si="12"/>
        <v>390.18573964653825</v>
      </c>
      <c r="BU20" s="30">
        <f>(BR20*100/BR19)-100</f>
        <v>1.7232332720299581</v>
      </c>
      <c r="BV20" s="30">
        <f t="shared" si="13"/>
        <v>0.57025608228741476</v>
      </c>
      <c r="BW20" s="30">
        <f t="shared" si="15"/>
        <v>1.1529771897425434</v>
      </c>
      <c r="BX20" s="10">
        <v>18487</v>
      </c>
      <c r="BY20" s="74"/>
      <c r="BZ20" s="26"/>
      <c r="CA20" s="27"/>
      <c r="CB20" s="27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71"/>
      <c r="CO20" s="78"/>
      <c r="CP20" s="21"/>
      <c r="CQ20" s="21"/>
      <c r="CR20" s="31"/>
      <c r="CS20" s="33">
        <v>14.56</v>
      </c>
      <c r="CT20" s="30"/>
      <c r="CU20" s="80"/>
      <c r="CV20" s="29">
        <f>BX20/88</f>
        <v>210.07954545454547</v>
      </c>
      <c r="CW20" s="29">
        <v>210.07954545454547</v>
      </c>
      <c r="CX20" s="98"/>
      <c r="CY20" s="33">
        <f t="shared" si="17"/>
        <v>1.020704545454544</v>
      </c>
      <c r="CZ20" s="28"/>
      <c r="DA20" s="124"/>
      <c r="DB20" s="28"/>
      <c r="DC20" s="28"/>
      <c r="DD20" s="28"/>
      <c r="DE20" s="28"/>
      <c r="DF20" s="28"/>
      <c r="DG20" s="30">
        <f t="shared" si="4"/>
        <v>273.56</v>
      </c>
      <c r="DH20" s="30">
        <f t="shared" si="6"/>
        <v>323.56</v>
      </c>
      <c r="DI20" s="30">
        <f t="shared" si="7"/>
        <v>223.56</v>
      </c>
      <c r="DJ20" s="30">
        <f t="shared" si="8"/>
        <v>373.56</v>
      </c>
      <c r="DK20" s="30">
        <f t="shared" si="9"/>
        <v>173.56</v>
      </c>
      <c r="DL20" s="30">
        <f t="shared" si="5"/>
        <v>265.89999999999998</v>
      </c>
    </row>
    <row r="21" spans="1:116" ht="16" x14ac:dyDescent="0.4">
      <c r="A21" s="18">
        <v>1982</v>
      </c>
      <c r="B21" s="8">
        <v>37942000</v>
      </c>
      <c r="C21" s="8">
        <v>12166940</v>
      </c>
      <c r="D21" s="126"/>
      <c r="E21" s="10">
        <f t="shared" si="10"/>
        <v>467959.23076923075</v>
      </c>
      <c r="F21" s="10">
        <f t="shared" si="11"/>
        <v>233979.61538461538</v>
      </c>
      <c r="G21" s="10">
        <f t="shared" si="3"/>
        <v>350969.42307692306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7"/>
      <c r="T21" s="21"/>
      <c r="U21" s="21"/>
      <c r="V21" s="21"/>
      <c r="W21" s="21"/>
      <c r="X21" s="21"/>
      <c r="Y21" s="21"/>
      <c r="Z21" s="21"/>
      <c r="AA21" s="28"/>
      <c r="AB21" s="28"/>
      <c r="AC21" s="28"/>
      <c r="AD21" s="28"/>
      <c r="AE21" s="101">
        <v>16.58909090909091</v>
      </c>
      <c r="AF21" s="104"/>
      <c r="AG21" s="104"/>
      <c r="AH21" s="104"/>
      <c r="AI21" s="112">
        <v>1.5116430000000001</v>
      </c>
      <c r="AJ21" s="111">
        <f t="shared" ref="AJ21:AJ22" si="18">(AI21*100/AI20)-100</f>
        <v>11.40456704461289</v>
      </c>
      <c r="AK21" s="104"/>
      <c r="AL21" s="104"/>
      <c r="AM21" s="114">
        <v>348.6608333333333</v>
      </c>
      <c r="AN21" s="119"/>
      <c r="AO21" s="131"/>
      <c r="AP21" s="21"/>
      <c r="AQ21" s="134"/>
      <c r="AR21" s="129"/>
      <c r="AS21" s="129"/>
      <c r="AT21" s="129"/>
      <c r="AU21" s="21"/>
      <c r="AV21" s="21"/>
      <c r="AW21" s="21"/>
      <c r="AX21" s="28"/>
      <c r="AY21" s="27"/>
      <c r="AZ21" s="27"/>
      <c r="BA21" s="26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31">
        <v>14951835.891732119</v>
      </c>
      <c r="BS21" s="31">
        <f t="shared" si="14"/>
        <v>225835.89173211902</v>
      </c>
      <c r="BT21" s="10">
        <f t="shared" si="12"/>
        <v>394.07084212039746</v>
      </c>
      <c r="BU21" s="30">
        <f t="shared" si="16"/>
        <v>1.5335861179690227</v>
      </c>
      <c r="BV21" s="30">
        <f t="shared" si="13"/>
        <v>0.53257730319811003</v>
      </c>
      <c r="BW21" s="30">
        <f t="shared" si="15"/>
        <v>1.0010088147709126</v>
      </c>
      <c r="BX21" s="10">
        <v>18528</v>
      </c>
      <c r="BY21" s="26"/>
      <c r="BZ21" s="26"/>
      <c r="CA21" s="27"/>
      <c r="CB21" s="27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71"/>
      <c r="CO21" s="78"/>
      <c r="CP21" s="21"/>
      <c r="CQ21" s="21"/>
      <c r="CR21" s="31"/>
      <c r="CS21" s="33">
        <v>14.43</v>
      </c>
      <c r="CT21" s="30"/>
      <c r="CU21" s="80"/>
      <c r="CV21" s="29">
        <f>BX21/88</f>
        <v>210.54545454545453</v>
      </c>
      <c r="CW21" s="29">
        <v>210.54545454545453</v>
      </c>
      <c r="CX21" s="98"/>
      <c r="CY21" s="33">
        <f t="shared" si="17"/>
        <v>-0.27336363636363359</v>
      </c>
      <c r="CZ21" s="100"/>
      <c r="DA21" s="124"/>
      <c r="DB21" s="28"/>
      <c r="DC21" s="28"/>
      <c r="DD21" s="28"/>
      <c r="DE21" s="28"/>
      <c r="DF21" s="28"/>
      <c r="DG21" s="30">
        <f t="shared" si="4"/>
        <v>279.84000000000003</v>
      </c>
      <c r="DH21" s="30">
        <f t="shared" si="6"/>
        <v>329.84000000000003</v>
      </c>
      <c r="DI21" s="30">
        <f t="shared" si="7"/>
        <v>229.84000000000003</v>
      </c>
      <c r="DJ21" s="30">
        <f t="shared" si="8"/>
        <v>379.84000000000003</v>
      </c>
      <c r="DK21" s="30">
        <f t="shared" si="9"/>
        <v>179.84000000000003</v>
      </c>
      <c r="DL21" s="30">
        <f t="shared" si="5"/>
        <v>270.47500000000002</v>
      </c>
    </row>
    <row r="22" spans="1:116" ht="16" x14ac:dyDescent="0.4">
      <c r="A22" s="18">
        <v>1983</v>
      </c>
      <c r="B22" s="8">
        <v>38122000</v>
      </c>
      <c r="C22" s="8">
        <v>12255611</v>
      </c>
      <c r="D22" s="126"/>
      <c r="E22" s="10">
        <f t="shared" si="10"/>
        <v>471369.65384615387</v>
      </c>
      <c r="F22" s="10">
        <f t="shared" si="11"/>
        <v>235684.82692307694</v>
      </c>
      <c r="G22" s="10">
        <f t="shared" si="3"/>
        <v>353527.24038461538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7"/>
      <c r="T22" s="21"/>
      <c r="U22" s="21"/>
      <c r="V22" s="21"/>
      <c r="W22" s="21"/>
      <c r="X22" s="21"/>
      <c r="Y22" s="21"/>
      <c r="Z22" s="21"/>
      <c r="AA22" s="28"/>
      <c r="AB22" s="28"/>
      <c r="AC22" s="28"/>
      <c r="AD22" s="28"/>
      <c r="AE22" s="101">
        <v>18.514333333333337</v>
      </c>
      <c r="AF22" s="104"/>
      <c r="AG22" s="104"/>
      <c r="AH22" s="104"/>
      <c r="AI22" s="112">
        <v>1.647621</v>
      </c>
      <c r="AJ22" s="111">
        <f t="shared" si="18"/>
        <v>8.9953778769193491</v>
      </c>
      <c r="AK22" s="104"/>
      <c r="AL22" s="104"/>
      <c r="AM22" s="114">
        <v>437.62833333333333</v>
      </c>
      <c r="AN22" s="119"/>
      <c r="AO22" s="131"/>
      <c r="AP22" s="21"/>
      <c r="AQ22" s="134"/>
      <c r="AR22" s="129"/>
      <c r="AS22" s="129"/>
      <c r="AT22" s="129"/>
      <c r="AU22" s="21"/>
      <c r="AV22" s="21"/>
      <c r="AW22" s="21"/>
      <c r="AX22" s="28"/>
      <c r="AY22" s="27"/>
      <c r="AZ22" s="27"/>
      <c r="BA22" s="26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31">
        <v>15170301.157183452</v>
      </c>
      <c r="BS22" s="31">
        <f t="shared" si="14"/>
        <v>218465.26545133255</v>
      </c>
      <c r="BT22" s="10">
        <f t="shared" si="12"/>
        <v>397.94085192758649</v>
      </c>
      <c r="BU22" s="30">
        <f t="shared" si="16"/>
        <v>1.4611266939609493</v>
      </c>
      <c r="BV22" s="30">
        <f t="shared" si="13"/>
        <v>0.47440830741658147</v>
      </c>
      <c r="BW22" s="30">
        <f t="shared" si="15"/>
        <v>0.98671838654436783</v>
      </c>
      <c r="BX22" s="10">
        <v>17923.3</v>
      </c>
      <c r="BY22" s="26"/>
      <c r="BZ22" s="26"/>
      <c r="CA22" s="27"/>
      <c r="CB22" s="27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71"/>
      <c r="CO22" s="78"/>
      <c r="CP22" s="21"/>
      <c r="CQ22" s="21"/>
      <c r="CR22" s="31"/>
      <c r="CS22" s="33">
        <v>12.19</v>
      </c>
      <c r="CT22" s="30"/>
      <c r="CU22" s="80"/>
      <c r="CV22" s="29">
        <f>BX22/88</f>
        <v>203.67386363636362</v>
      </c>
      <c r="CW22" s="29">
        <v>203.67386363636362</v>
      </c>
      <c r="CX22" s="98"/>
      <c r="CY22" s="33">
        <f t="shared" si="17"/>
        <v>1.9252424242424269</v>
      </c>
      <c r="CZ22" s="28"/>
      <c r="DA22" s="124"/>
      <c r="DB22" s="28"/>
      <c r="DC22" s="28"/>
      <c r="DD22" s="28"/>
      <c r="DE22" s="28"/>
      <c r="DF22" s="28"/>
      <c r="DG22" s="30">
        <f t="shared" si="4"/>
        <v>286</v>
      </c>
      <c r="DH22" s="30">
        <f t="shared" si="6"/>
        <v>336</v>
      </c>
      <c r="DI22" s="30">
        <f t="shared" si="7"/>
        <v>236</v>
      </c>
      <c r="DJ22" s="30">
        <f t="shared" si="8"/>
        <v>386</v>
      </c>
      <c r="DK22" s="30">
        <f t="shared" si="9"/>
        <v>186</v>
      </c>
      <c r="DL22" s="30">
        <f t="shared" si="5"/>
        <v>275</v>
      </c>
    </row>
    <row r="23" spans="1:116" ht="16" x14ac:dyDescent="0.4">
      <c r="A23" s="18">
        <v>1984</v>
      </c>
      <c r="B23" s="8">
        <v>38279000</v>
      </c>
      <c r="C23" s="8">
        <v>12336331</v>
      </c>
      <c r="D23" s="126"/>
      <c r="E23" s="10">
        <f t="shared" si="10"/>
        <v>474474.26923076925</v>
      </c>
      <c r="F23" s="10">
        <f t="shared" si="11"/>
        <v>237237.13461538462</v>
      </c>
      <c r="G23" s="10">
        <f t="shared" si="3"/>
        <v>355855.70192307694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7"/>
      <c r="T23" s="21"/>
      <c r="U23" s="21"/>
      <c r="V23" s="21"/>
      <c r="W23" s="21"/>
      <c r="X23" s="21"/>
      <c r="Y23" s="21"/>
      <c r="Z23" s="21"/>
      <c r="AA23" s="28"/>
      <c r="AB23" s="28"/>
      <c r="AC23" s="28"/>
      <c r="AD23" s="28"/>
      <c r="AE23" s="101">
        <v>14.03825</v>
      </c>
      <c r="AF23" s="104"/>
      <c r="AG23" s="104"/>
      <c r="AH23" s="104"/>
      <c r="AI23" s="112">
        <v>1.788789</v>
      </c>
      <c r="AJ23" s="111">
        <f>(AI23*100/AI22)-100</f>
        <v>8.5679898471796463</v>
      </c>
      <c r="AK23" s="104"/>
      <c r="AL23" s="104"/>
      <c r="AM23" s="114">
        <v>424.69833333333332</v>
      </c>
      <c r="AN23" s="119"/>
      <c r="AO23" s="131"/>
      <c r="AP23" s="21"/>
      <c r="AQ23" s="134"/>
      <c r="AR23" s="129"/>
      <c r="AS23" s="129"/>
      <c r="AT23" s="129"/>
      <c r="AU23" s="21"/>
      <c r="AV23" s="21"/>
      <c r="AW23" s="21"/>
      <c r="AX23" s="28"/>
      <c r="AY23" s="27"/>
      <c r="AZ23" s="27"/>
      <c r="BA23" s="26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31">
        <v>15368227.521006804</v>
      </c>
      <c r="BS23" s="31">
        <f t="shared" si="14"/>
        <v>197926.36382335238</v>
      </c>
      <c r="BT23" s="10">
        <f t="shared" si="12"/>
        <v>401.47933647709721</v>
      </c>
      <c r="BU23" s="30">
        <f t="shared" si="16"/>
        <v>1.3046963390679309</v>
      </c>
      <c r="BV23" s="30">
        <f t="shared" si="13"/>
        <v>0.41183568543098659</v>
      </c>
      <c r="BW23" s="30">
        <f t="shared" si="15"/>
        <v>0.89286065363694433</v>
      </c>
      <c r="BX23" s="10">
        <v>16238.25</v>
      </c>
      <c r="BY23" s="26"/>
      <c r="BZ23" s="26"/>
      <c r="CA23" s="27"/>
      <c r="CB23" s="27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71"/>
      <c r="CO23" s="78"/>
      <c r="CP23" s="21"/>
      <c r="CQ23" s="21"/>
      <c r="CR23" s="31"/>
      <c r="CS23" s="33">
        <v>11.3</v>
      </c>
      <c r="CT23" s="30"/>
      <c r="CU23" s="48"/>
      <c r="CV23" s="79">
        <f>(CV24*((BX23*100/BX24)/100))</f>
        <v>182.53501020832474</v>
      </c>
      <c r="CW23" s="97">
        <v>182.53501020832474</v>
      </c>
      <c r="CX23" s="30"/>
      <c r="CY23" s="33">
        <f t="shared" si="17"/>
        <v>-4.476083333333337</v>
      </c>
      <c r="CZ23" s="28"/>
      <c r="DA23" s="124"/>
      <c r="DB23" s="28"/>
      <c r="DC23" s="28"/>
      <c r="DD23" s="28"/>
      <c r="DE23" s="28"/>
      <c r="DF23" s="28"/>
      <c r="DG23" s="30">
        <f t="shared" si="4"/>
        <v>292.03999999999996</v>
      </c>
      <c r="DH23" s="30">
        <f t="shared" si="6"/>
        <v>342.03999999999996</v>
      </c>
      <c r="DI23" s="30">
        <f t="shared" si="7"/>
        <v>242.03999999999996</v>
      </c>
      <c r="DJ23" s="30">
        <f t="shared" si="8"/>
        <v>392.03999999999996</v>
      </c>
      <c r="DK23" s="30">
        <f t="shared" si="9"/>
        <v>192.03999999999996</v>
      </c>
      <c r="DL23" s="30">
        <f t="shared" si="5"/>
        <v>279.47500000000002</v>
      </c>
    </row>
    <row r="24" spans="1:116" ht="16" x14ac:dyDescent="0.4">
      <c r="A24" s="18">
        <v>1985</v>
      </c>
      <c r="B24" s="12">
        <v>38419000</v>
      </c>
      <c r="C24" s="8">
        <v>12422212</v>
      </c>
      <c r="D24" s="126"/>
      <c r="E24" s="10">
        <f t="shared" si="10"/>
        <v>477777.38461538462</v>
      </c>
      <c r="F24" s="10">
        <f t="shared" si="11"/>
        <v>238888.69230769231</v>
      </c>
      <c r="G24" s="10">
        <f t="shared" si="3"/>
        <v>358333.0384615385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7"/>
      <c r="T24" s="21"/>
      <c r="U24" s="21"/>
      <c r="V24" s="21"/>
      <c r="W24" s="21"/>
      <c r="X24" s="21"/>
      <c r="Y24" s="21"/>
      <c r="Z24" s="21"/>
      <c r="AA24" s="28"/>
      <c r="AB24" s="28"/>
      <c r="AC24" s="28"/>
      <c r="AD24" s="28"/>
      <c r="AE24" s="101">
        <v>13.096083333333333</v>
      </c>
      <c r="AF24" s="111">
        <v>0.7779454545454545</v>
      </c>
      <c r="AG24" s="114">
        <f t="shared" ref="AG24:AG61" si="19">CR24*100</f>
        <v>20400</v>
      </c>
      <c r="AH24" s="114">
        <f t="shared" ref="AH24:AH61" si="20">(CR24*100)*AF24</f>
        <v>15870.087272727271</v>
      </c>
      <c r="AI24" s="112">
        <v>1.927935</v>
      </c>
      <c r="AJ24" s="111">
        <f t="shared" ref="AJ24:AJ61" si="21">(AI24*100/AI23)-100</f>
        <v>7.7787821816882854</v>
      </c>
      <c r="AK24" s="104"/>
      <c r="AL24" s="104"/>
      <c r="AM24" s="114">
        <v>391.07166666666666</v>
      </c>
      <c r="AN24" s="119">
        <f t="shared" ref="AN24:AN61" si="22">CR24*100/AM24</f>
        <v>52.164351802525537</v>
      </c>
      <c r="AO24" s="131"/>
      <c r="AP24" s="21"/>
      <c r="AQ24" s="134"/>
      <c r="AR24" s="129"/>
      <c r="AS24" s="129"/>
      <c r="AT24" s="129"/>
      <c r="AU24" s="21"/>
      <c r="AV24" s="21"/>
      <c r="AW24" s="21"/>
      <c r="AX24" s="10">
        <v>223</v>
      </c>
      <c r="AY24" s="27"/>
      <c r="AZ24" s="27"/>
      <c r="BA24" s="26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31">
        <v>15569896.729566457</v>
      </c>
      <c r="BS24" s="31">
        <f t="shared" si="14"/>
        <v>201669.20855965279</v>
      </c>
      <c r="BT24" s="10">
        <f t="shared" si="12"/>
        <v>405.26553865447971</v>
      </c>
      <c r="BU24" s="30">
        <f t="shared" si="16"/>
        <v>1.3122476764740298</v>
      </c>
      <c r="BV24" s="30">
        <f t="shared" si="13"/>
        <v>0.36573578202147417</v>
      </c>
      <c r="BW24" s="30">
        <f t="shared" si="15"/>
        <v>0.94651189445255568</v>
      </c>
      <c r="BX24" s="10">
        <v>16545.320000000003</v>
      </c>
      <c r="BY24" s="72"/>
      <c r="BZ24" s="26"/>
      <c r="CA24" s="27"/>
      <c r="CB24" s="27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78"/>
      <c r="CP24" s="21"/>
      <c r="CQ24" s="78"/>
      <c r="CR24" s="10">
        <v>204</v>
      </c>
      <c r="CS24" s="33">
        <v>8.83</v>
      </c>
      <c r="CT24" s="30">
        <v>100</v>
      </c>
      <c r="CU24" s="30">
        <f>((CR24*CS24)/100)</f>
        <v>18.013199999999998</v>
      </c>
      <c r="CV24" s="30">
        <f t="shared" ref="CV24:CV61" si="23">CR24-CU24</f>
        <v>185.98680000000002</v>
      </c>
      <c r="CW24" s="30">
        <f t="shared" ref="CW24:CW61" si="24">CR24/CT24*$CT$24</f>
        <v>204</v>
      </c>
      <c r="CX24" s="30">
        <f t="shared" ref="CX24:CX61" si="25">CR24-CW24</f>
        <v>0</v>
      </c>
      <c r="CY24" s="33">
        <f t="shared" si="17"/>
        <v>-0.94216666666666704</v>
      </c>
      <c r="CZ24" s="28"/>
      <c r="DA24" s="124"/>
      <c r="DB24" s="28"/>
      <c r="DC24" s="28"/>
      <c r="DD24" s="28"/>
      <c r="DE24" s="28"/>
      <c r="DF24" s="30"/>
      <c r="DG24" s="30">
        <f t="shared" si="4"/>
        <v>297.96000000000004</v>
      </c>
      <c r="DH24" s="30">
        <f t="shared" si="6"/>
        <v>347.96000000000004</v>
      </c>
      <c r="DI24" s="30">
        <f t="shared" si="7"/>
        <v>247.96000000000004</v>
      </c>
      <c r="DJ24" s="30">
        <f t="shared" si="8"/>
        <v>397.96000000000004</v>
      </c>
      <c r="DK24" s="30">
        <f t="shared" si="9"/>
        <v>197.96000000000004</v>
      </c>
      <c r="DL24" s="30">
        <f t="shared" si="5"/>
        <v>283.89999999999998</v>
      </c>
    </row>
    <row r="25" spans="1:116" ht="16" x14ac:dyDescent="0.4">
      <c r="A25" s="18">
        <v>1986</v>
      </c>
      <c r="B25" s="12">
        <v>38536000</v>
      </c>
      <c r="C25" s="8">
        <v>12546626</v>
      </c>
      <c r="D25" s="126"/>
      <c r="E25" s="10">
        <f t="shared" si="10"/>
        <v>482562.53846153844</v>
      </c>
      <c r="F25" s="10">
        <f t="shared" si="11"/>
        <v>241281.26923076922</v>
      </c>
      <c r="G25" s="10">
        <f t="shared" si="3"/>
        <v>361921.90384615381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7"/>
      <c r="T25" s="21"/>
      <c r="U25" s="21"/>
      <c r="V25" s="21"/>
      <c r="W25" s="21"/>
      <c r="X25" s="21"/>
      <c r="Y25" s="21"/>
      <c r="Z25" s="21"/>
      <c r="AA25" s="28"/>
      <c r="AB25" s="28"/>
      <c r="AC25" s="28"/>
      <c r="AD25" s="28"/>
      <c r="AE25" s="101">
        <v>11.718999999999999</v>
      </c>
      <c r="AF25" s="111">
        <v>0.99354166666666666</v>
      </c>
      <c r="AG25" s="114">
        <f t="shared" si="19"/>
        <v>24400</v>
      </c>
      <c r="AH25" s="114">
        <f t="shared" si="20"/>
        <v>24242.416666666668</v>
      </c>
      <c r="AI25" s="112">
        <v>2.0589390000000001</v>
      </c>
      <c r="AJ25" s="111">
        <f t="shared" si="21"/>
        <v>6.7950423639801159</v>
      </c>
      <c r="AK25" s="104"/>
      <c r="AL25" s="104"/>
      <c r="AM25" s="114">
        <v>347.98916666666668</v>
      </c>
      <c r="AN25" s="119">
        <f t="shared" si="22"/>
        <v>70.117125293651384</v>
      </c>
      <c r="AO25" s="131"/>
      <c r="AP25" s="21"/>
      <c r="AQ25" s="134"/>
      <c r="AR25" s="129"/>
      <c r="AS25" s="129"/>
      <c r="AT25" s="129"/>
      <c r="AU25" s="21"/>
      <c r="AV25" s="21"/>
      <c r="AW25" s="21"/>
      <c r="AX25" s="10">
        <v>241</v>
      </c>
      <c r="AY25" s="27"/>
      <c r="AZ25" s="27"/>
      <c r="BA25" s="26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31">
        <v>15792181.264141027</v>
      </c>
      <c r="BS25" s="31">
        <f t="shared" si="14"/>
        <v>222284.53457457013</v>
      </c>
      <c r="BT25" s="10">
        <f t="shared" si="12"/>
        <v>409.80333361379041</v>
      </c>
      <c r="BU25" s="30">
        <f t="shared" si="16"/>
        <v>1.427655805529298</v>
      </c>
      <c r="BV25" s="30">
        <f t="shared" si="13"/>
        <v>0.30453681772040397</v>
      </c>
      <c r="BW25" s="30">
        <f t="shared" si="15"/>
        <v>1.1231189878088941</v>
      </c>
      <c r="BX25" s="10">
        <v>18236.64</v>
      </c>
      <c r="BY25" s="72"/>
      <c r="BZ25" s="26"/>
      <c r="CA25" s="27"/>
      <c r="CB25" s="27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78"/>
      <c r="CP25" s="21"/>
      <c r="CQ25" s="78"/>
      <c r="CR25" s="10">
        <v>244</v>
      </c>
      <c r="CS25" s="33">
        <v>8.8000000000000007</v>
      </c>
      <c r="CT25" s="30">
        <f>CT24+CS25</f>
        <v>108.8</v>
      </c>
      <c r="CU25" s="30">
        <f t="shared" ref="CU25:CU61" si="26">((CR25*CS25)/100)+CU24</f>
        <v>39.485199999999999</v>
      </c>
      <c r="CV25" s="30">
        <f t="shared" si="23"/>
        <v>204.51480000000001</v>
      </c>
      <c r="CW25" s="30">
        <f t="shared" si="24"/>
        <v>224.26470588235296</v>
      </c>
      <c r="CX25" s="30">
        <f>CR25-CW25</f>
        <v>19.735294117647044</v>
      </c>
      <c r="CY25" s="33">
        <f t="shared" si="17"/>
        <v>-1.3770833333333332</v>
      </c>
      <c r="CZ25" s="33">
        <f>(CR25*100/CR24)-100</f>
        <v>19.607843137254903</v>
      </c>
      <c r="DA25" s="33">
        <f>CZ25-CS25</f>
        <v>10.807843137254903</v>
      </c>
      <c r="DB25" s="33">
        <f>(B26*100/B25)-100</f>
        <v>0.24652273199086494</v>
      </c>
      <c r="DC25" s="33"/>
      <c r="DD25" s="33"/>
      <c r="DE25" s="30">
        <v>20.975000000000001</v>
      </c>
      <c r="DF25" s="30">
        <f>(CZ25)+(4)</f>
        <v>23.607843137254903</v>
      </c>
      <c r="DG25" s="30">
        <f t="shared" si="4"/>
        <v>303.76</v>
      </c>
      <c r="DH25" s="30">
        <f t="shared" si="6"/>
        <v>353.76</v>
      </c>
      <c r="DI25" s="30">
        <f t="shared" si="7"/>
        <v>253.76</v>
      </c>
      <c r="DJ25" s="30">
        <f t="shared" si="8"/>
        <v>403.76</v>
      </c>
      <c r="DK25" s="30">
        <f t="shared" si="9"/>
        <v>203.76</v>
      </c>
      <c r="DL25" s="30">
        <f t="shared" si="5"/>
        <v>288.27499999999998</v>
      </c>
    </row>
    <row r="26" spans="1:116" ht="16" x14ac:dyDescent="0.4">
      <c r="A26" s="18">
        <v>1987</v>
      </c>
      <c r="B26" s="12">
        <v>38631000</v>
      </c>
      <c r="C26" s="8">
        <v>12668258</v>
      </c>
      <c r="D26" s="126"/>
      <c r="E26" s="10">
        <f t="shared" si="10"/>
        <v>487240.69230769231</v>
      </c>
      <c r="F26" s="10">
        <f t="shared" si="11"/>
        <v>243620.34615384616</v>
      </c>
      <c r="G26" s="10">
        <f t="shared" si="3"/>
        <v>365430.51923076925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7"/>
      <c r="T26" s="21"/>
      <c r="U26" s="21"/>
      <c r="V26" s="21"/>
      <c r="W26" s="21"/>
      <c r="X26" s="21"/>
      <c r="Y26" s="21"/>
      <c r="Z26" s="21"/>
      <c r="AA26" s="28"/>
      <c r="AB26" s="28"/>
      <c r="AC26" s="28"/>
      <c r="AD26" s="28"/>
      <c r="AE26" s="101">
        <v>14.569333333333331</v>
      </c>
      <c r="AF26" s="111">
        <v>1.1646333333333332</v>
      </c>
      <c r="AG26" s="114">
        <f t="shared" si="19"/>
        <v>30800</v>
      </c>
      <c r="AH26" s="114">
        <f t="shared" si="20"/>
        <v>35870.706666666665</v>
      </c>
      <c r="AI26" s="112">
        <v>2.2215639999999999</v>
      </c>
      <c r="AJ26" s="111">
        <f t="shared" si="21"/>
        <v>7.8984855792230775</v>
      </c>
      <c r="AK26" s="104"/>
      <c r="AL26" s="104"/>
      <c r="AM26" s="114">
        <v>365.61166666666662</v>
      </c>
      <c r="AN26" s="119">
        <f t="shared" si="22"/>
        <v>84.242388326411913</v>
      </c>
      <c r="AO26" s="131"/>
      <c r="AP26" s="21"/>
      <c r="AQ26" s="134"/>
      <c r="AR26" s="129"/>
      <c r="AS26" s="129"/>
      <c r="AT26" s="129"/>
      <c r="AU26" s="21"/>
      <c r="AV26" s="21"/>
      <c r="AW26" s="21"/>
      <c r="AX26" s="10">
        <v>253</v>
      </c>
      <c r="AY26" s="27"/>
      <c r="AZ26" s="27"/>
      <c r="BA26" s="26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31">
        <v>16038832.867361942</v>
      </c>
      <c r="BS26" s="31">
        <f>BR26-BR25</f>
        <v>246651.60322091542</v>
      </c>
      <c r="BT26" s="10">
        <f t="shared" si="12"/>
        <v>415.18036984188717</v>
      </c>
      <c r="BU26" s="30">
        <f t="shared" si="16"/>
        <v>1.5618589927218096</v>
      </c>
      <c r="BV26" s="30">
        <f t="shared" si="13"/>
        <v>0.24652273199086494</v>
      </c>
      <c r="BW26" s="30">
        <f t="shared" si="15"/>
        <v>1.3153362607309447</v>
      </c>
      <c r="BX26" s="10">
        <v>20235.759999999998</v>
      </c>
      <c r="BY26" s="72"/>
      <c r="BZ26" s="26"/>
      <c r="CA26" s="27"/>
      <c r="CB26" s="27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78"/>
      <c r="CR26" s="10">
        <v>308</v>
      </c>
      <c r="CS26" s="33">
        <v>5.26</v>
      </c>
      <c r="CT26" s="30">
        <f>CT25+CS26</f>
        <v>114.06</v>
      </c>
      <c r="CU26" s="30">
        <f t="shared" si="26"/>
        <v>55.686</v>
      </c>
      <c r="CV26" s="30">
        <f t="shared" si="23"/>
        <v>252.31399999999999</v>
      </c>
      <c r="CW26" s="30">
        <f t="shared" si="24"/>
        <v>270.03331579870246</v>
      </c>
      <c r="CX26" s="30">
        <f t="shared" si="25"/>
        <v>37.966684201297539</v>
      </c>
      <c r="CY26" s="33">
        <f t="shared" si="17"/>
        <v>2.8503333333333316</v>
      </c>
      <c r="CZ26" s="33">
        <f t="shared" ref="CZ26:CZ61" si="27">(CR26*100/CR25)-100</f>
        <v>26.229508196721312</v>
      </c>
      <c r="DA26" s="33">
        <f>CZ26-CS26</f>
        <v>20.969508196721314</v>
      </c>
      <c r="DB26" s="33">
        <f t="shared" ref="DB26:DB61" si="28">(B27*100/B26)-100</f>
        <v>0.22003054541688982</v>
      </c>
      <c r="DC26" s="33"/>
      <c r="DD26" s="33"/>
      <c r="DE26" s="30">
        <v>20.2225</v>
      </c>
      <c r="DF26" s="30">
        <f t="shared" ref="DF26:DF45" si="29">CZ26+4</f>
        <v>30.229508196721312</v>
      </c>
      <c r="DG26" s="30">
        <f t="shared" si="4"/>
        <v>309.44</v>
      </c>
      <c r="DH26" s="30">
        <f t="shared" si="6"/>
        <v>359.44</v>
      </c>
      <c r="DI26" s="30">
        <f t="shared" si="7"/>
        <v>259.44</v>
      </c>
      <c r="DJ26" s="30">
        <f t="shared" si="8"/>
        <v>409.44</v>
      </c>
      <c r="DK26" s="30">
        <f t="shared" si="9"/>
        <v>209.44</v>
      </c>
      <c r="DL26" s="30">
        <f t="shared" si="5"/>
        <v>292.60000000000002</v>
      </c>
    </row>
    <row r="27" spans="1:116" ht="16" x14ac:dyDescent="0.4">
      <c r="A27" s="18">
        <v>1988</v>
      </c>
      <c r="B27" s="12">
        <v>38716000</v>
      </c>
      <c r="C27" s="8">
        <v>12781018</v>
      </c>
      <c r="D27" s="126"/>
      <c r="E27" s="10">
        <f t="shared" si="10"/>
        <v>491577.61538461538</v>
      </c>
      <c r="F27" s="10">
        <f t="shared" si="11"/>
        <v>245788.80769230769</v>
      </c>
      <c r="G27" s="10">
        <f t="shared" si="3"/>
        <v>368683.2115384615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7"/>
      <c r="T27" s="21"/>
      <c r="U27" s="21"/>
      <c r="V27" s="21"/>
      <c r="W27" s="21"/>
      <c r="X27" s="21"/>
      <c r="Y27" s="21"/>
      <c r="Z27" s="21"/>
      <c r="AA27" s="28"/>
      <c r="AB27" s="28"/>
      <c r="AC27" s="28"/>
      <c r="AD27" s="28"/>
      <c r="AE27" s="101">
        <v>11.806583333333334</v>
      </c>
      <c r="AF27" s="111">
        <v>1.1783916666666665</v>
      </c>
      <c r="AG27" s="114">
        <f t="shared" si="19"/>
        <v>40375</v>
      </c>
      <c r="AH27" s="114">
        <f t="shared" si="20"/>
        <v>47577.563541666663</v>
      </c>
      <c r="AI27" s="112">
        <v>2.4100100000000002</v>
      </c>
      <c r="AJ27" s="111">
        <f t="shared" si="21"/>
        <v>8.4825825409486555</v>
      </c>
      <c r="AK27" s="104"/>
      <c r="AL27" s="104"/>
      <c r="AM27" s="114">
        <v>349.53416666666664</v>
      </c>
      <c r="AN27" s="119">
        <f t="shared" si="22"/>
        <v>115.51088234102056</v>
      </c>
      <c r="AO27" s="131"/>
      <c r="AP27" s="21"/>
      <c r="AQ27" s="134"/>
      <c r="AR27" s="129"/>
      <c r="AS27" s="129"/>
      <c r="AT27" s="129"/>
      <c r="AU27" s="21"/>
      <c r="AV27" s="21"/>
      <c r="AW27" s="21"/>
      <c r="AX27" s="10">
        <v>264</v>
      </c>
      <c r="AY27" s="27"/>
      <c r="AZ27" s="27"/>
      <c r="BA27" s="26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31">
        <v>16265162.6075099</v>
      </c>
      <c r="BS27" s="31">
        <f t="shared" si="14"/>
        <v>226329.74014795758</v>
      </c>
      <c r="BT27" s="10">
        <f t="shared" si="12"/>
        <v>420.1147486183981</v>
      </c>
      <c r="BU27" s="30">
        <f t="shared" si="16"/>
        <v>1.4111359724218033</v>
      </c>
      <c r="BV27" s="30">
        <f t="shared" si="13"/>
        <v>0.22003054541688982</v>
      </c>
      <c r="BW27" s="30">
        <f t="shared" si="15"/>
        <v>1.1911054270049135</v>
      </c>
      <c r="BX27" s="10">
        <v>22670.61</v>
      </c>
      <c r="BY27" s="72"/>
      <c r="BZ27" s="26"/>
      <c r="CA27" s="27"/>
      <c r="CB27" s="27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78"/>
      <c r="CR27" s="10">
        <v>403.75</v>
      </c>
      <c r="CS27" s="33">
        <v>4.83</v>
      </c>
      <c r="CT27" s="30">
        <f t="shared" ref="CT27:CT60" si="30">CT26+CS27</f>
        <v>118.89</v>
      </c>
      <c r="CU27" s="30">
        <f t="shared" si="26"/>
        <v>75.187124999999995</v>
      </c>
      <c r="CV27" s="30">
        <f t="shared" si="23"/>
        <v>328.56287500000002</v>
      </c>
      <c r="CW27" s="30">
        <f t="shared" si="24"/>
        <v>339.59962991000083</v>
      </c>
      <c r="CX27" s="30">
        <f t="shared" si="25"/>
        <v>64.150370089999171</v>
      </c>
      <c r="CY27" s="33">
        <f t="shared" si="17"/>
        <v>-2.7627499999999969</v>
      </c>
      <c r="CZ27" s="33">
        <f t="shared" si="27"/>
        <v>31.087662337662351</v>
      </c>
      <c r="DA27" s="33">
        <f t="shared" ref="DA27:DA60" si="31">CZ27-CS27</f>
        <v>26.257662337662353</v>
      </c>
      <c r="DB27" s="33">
        <f t="shared" si="28"/>
        <v>0.19630127079243209</v>
      </c>
      <c r="DC27" s="33"/>
      <c r="DD27" s="33"/>
      <c r="DE27" s="30">
        <v>19.237499999999997</v>
      </c>
      <c r="DF27" s="30">
        <f>CZ27+4</f>
        <v>35.087662337662351</v>
      </c>
      <c r="DG27" s="30">
        <f t="shared" si="4"/>
        <v>315</v>
      </c>
      <c r="DH27" s="30">
        <f t="shared" si="6"/>
        <v>365</v>
      </c>
      <c r="DI27" s="30">
        <f t="shared" si="7"/>
        <v>265</v>
      </c>
      <c r="DJ27" s="30">
        <f t="shared" si="8"/>
        <v>415</v>
      </c>
      <c r="DK27" s="30">
        <f t="shared" si="9"/>
        <v>215</v>
      </c>
      <c r="DL27" s="30">
        <f t="shared" si="5"/>
        <v>296.875</v>
      </c>
    </row>
    <row r="28" spans="1:116" ht="16" x14ac:dyDescent="0.4">
      <c r="A28" s="18">
        <v>1989</v>
      </c>
      <c r="B28" s="12">
        <v>38792000</v>
      </c>
      <c r="C28" s="8">
        <v>12966912</v>
      </c>
      <c r="D28" s="126"/>
      <c r="E28" s="10">
        <f t="shared" si="10"/>
        <v>498727.38461538462</v>
      </c>
      <c r="F28" s="10">
        <f t="shared" si="11"/>
        <v>249363.69230769231</v>
      </c>
      <c r="G28" s="10">
        <f t="shared" si="3"/>
        <v>374045.5384615385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7"/>
      <c r="T28" s="21"/>
      <c r="U28" s="21"/>
      <c r="V28" s="21"/>
      <c r="W28" s="21"/>
      <c r="X28" s="21"/>
      <c r="Y28" s="21"/>
      <c r="Z28" s="21"/>
      <c r="AA28" s="28"/>
      <c r="AB28" s="28"/>
      <c r="AC28" s="28"/>
      <c r="AD28" s="28"/>
      <c r="AE28" s="101">
        <v>15.14775</v>
      </c>
      <c r="AF28" s="111">
        <v>1.1066833333333335</v>
      </c>
      <c r="AG28" s="114">
        <f t="shared" si="19"/>
        <v>50250</v>
      </c>
      <c r="AH28" s="114">
        <f t="shared" si="20"/>
        <v>55610.837500000009</v>
      </c>
      <c r="AI28" s="112">
        <v>2.6599270000000002</v>
      </c>
      <c r="AJ28" s="111">
        <f t="shared" si="21"/>
        <v>10.369956971132893</v>
      </c>
      <c r="AK28" s="104"/>
      <c r="AL28" s="104"/>
      <c r="AM28" s="114">
        <v>322.01249999999999</v>
      </c>
      <c r="AN28" s="119">
        <f t="shared" si="22"/>
        <v>156.04984278560616</v>
      </c>
      <c r="AO28" s="131"/>
      <c r="AP28" s="21"/>
      <c r="AQ28" s="134"/>
      <c r="AR28" s="129"/>
      <c r="AS28" s="129"/>
      <c r="AT28" s="129"/>
      <c r="AU28" s="21"/>
      <c r="AV28" s="21"/>
      <c r="AW28" s="21"/>
      <c r="AX28" s="10">
        <v>280</v>
      </c>
      <c r="AY28" s="27"/>
      <c r="AZ28" s="27"/>
      <c r="BA28" s="26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31">
        <v>16552406.6977991</v>
      </c>
      <c r="BS28" s="31">
        <f t="shared" si="14"/>
        <v>287244.09028919972</v>
      </c>
      <c r="BT28" s="10">
        <f t="shared" si="12"/>
        <v>426.6963986852727</v>
      </c>
      <c r="BU28" s="30">
        <f t="shared" si="16"/>
        <v>1.7660081071465754</v>
      </c>
      <c r="BV28" s="30">
        <f t="shared" si="13"/>
        <v>0.19630127079243209</v>
      </c>
      <c r="BW28" s="30">
        <f t="shared" si="15"/>
        <v>1.5697068363541433</v>
      </c>
      <c r="BX28" s="10">
        <v>26027.3</v>
      </c>
      <c r="BY28" s="72"/>
      <c r="BZ28" s="26"/>
      <c r="CA28" s="27"/>
      <c r="CB28" s="27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78"/>
      <c r="CR28" s="10">
        <v>502.5</v>
      </c>
      <c r="CS28" s="33">
        <v>6.79</v>
      </c>
      <c r="CT28" s="30">
        <f t="shared" si="30"/>
        <v>125.68</v>
      </c>
      <c r="CU28" s="30">
        <f t="shared" si="26"/>
        <v>109.30687499999999</v>
      </c>
      <c r="CV28" s="30">
        <f t="shared" si="23"/>
        <v>393.19312500000001</v>
      </c>
      <c r="CW28" s="30">
        <f t="shared" si="24"/>
        <v>399.82495225970717</v>
      </c>
      <c r="CX28" s="30">
        <f t="shared" si="25"/>
        <v>102.67504774029283</v>
      </c>
      <c r="CY28" s="33">
        <f t="shared" si="17"/>
        <v>3.3411666666666662</v>
      </c>
      <c r="CZ28" s="33">
        <f t="shared" si="27"/>
        <v>24.45820433436532</v>
      </c>
      <c r="DA28" s="33">
        <f t="shared" si="31"/>
        <v>17.668204334365321</v>
      </c>
      <c r="DB28" s="33">
        <f t="shared" si="28"/>
        <v>0.15209321509590268</v>
      </c>
      <c r="DC28" s="33"/>
      <c r="DD28" s="33"/>
      <c r="DE28" s="30">
        <v>17.240000000000002</v>
      </c>
      <c r="DF28" s="30">
        <f t="shared" si="29"/>
        <v>28.45820433436532</v>
      </c>
      <c r="DG28" s="30">
        <f t="shared" si="4"/>
        <v>320.44</v>
      </c>
      <c r="DH28" s="30">
        <f t="shared" si="6"/>
        <v>370.44</v>
      </c>
      <c r="DI28" s="30">
        <f t="shared" si="7"/>
        <v>270.44</v>
      </c>
      <c r="DJ28" s="30">
        <f t="shared" si="8"/>
        <v>420.44</v>
      </c>
      <c r="DK28" s="30">
        <f t="shared" si="9"/>
        <v>220.44</v>
      </c>
      <c r="DL28" s="30">
        <f t="shared" si="5"/>
        <v>301.10000000000002</v>
      </c>
    </row>
    <row r="29" spans="1:116" ht="16" x14ac:dyDescent="0.4">
      <c r="A29" s="18">
        <v>1990</v>
      </c>
      <c r="B29" s="12">
        <v>38851000</v>
      </c>
      <c r="C29" s="8">
        <v>13222820</v>
      </c>
      <c r="D29" s="126"/>
      <c r="E29" s="10">
        <f t="shared" si="10"/>
        <v>508570</v>
      </c>
      <c r="F29" s="10">
        <f t="shared" si="11"/>
        <v>254285</v>
      </c>
      <c r="G29" s="10">
        <f t="shared" si="3"/>
        <v>381427.5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7"/>
      <c r="T29" s="21"/>
      <c r="U29" s="21"/>
      <c r="V29" s="21"/>
      <c r="W29" s="21"/>
      <c r="X29" s="21"/>
      <c r="Y29" s="21"/>
      <c r="Z29" s="21"/>
      <c r="AA29" s="28"/>
      <c r="AB29" s="28"/>
      <c r="AC29" s="28"/>
      <c r="AD29" s="28"/>
      <c r="AE29" s="101">
        <v>15.442833333333333</v>
      </c>
      <c r="AF29" s="111">
        <v>1.2770833333333333</v>
      </c>
      <c r="AG29" s="114">
        <f t="shared" si="19"/>
        <v>57250</v>
      </c>
      <c r="AH29" s="114">
        <f t="shared" si="20"/>
        <v>73113.020833333328</v>
      </c>
      <c r="AI29" s="112">
        <v>2.979949</v>
      </c>
      <c r="AJ29" s="111">
        <f t="shared" si="21"/>
        <v>12.031232436078113</v>
      </c>
      <c r="AK29" s="104"/>
      <c r="AL29" s="104"/>
      <c r="AM29" s="114">
        <v>281.57</v>
      </c>
      <c r="AN29" s="119">
        <f t="shared" si="22"/>
        <v>203.32421777888271</v>
      </c>
      <c r="AO29" s="131"/>
      <c r="AP29" s="21"/>
      <c r="AQ29" s="134"/>
      <c r="AR29" s="129"/>
      <c r="AS29" s="129"/>
      <c r="AT29" s="129"/>
      <c r="AU29" s="21"/>
      <c r="AV29" s="21"/>
      <c r="AW29" s="21"/>
      <c r="AX29" s="10">
        <v>300</v>
      </c>
      <c r="AY29" s="27"/>
      <c r="AZ29" s="27"/>
      <c r="BA29" s="26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31">
        <v>16880663.853062801</v>
      </c>
      <c r="BS29" s="31">
        <f t="shared" si="14"/>
        <v>328257.15526370145</v>
      </c>
      <c r="BT29" s="10">
        <f t="shared" si="12"/>
        <v>434.4975381087437</v>
      </c>
      <c r="BU29" s="30">
        <f t="shared" si="16"/>
        <v>1.9831385324005453</v>
      </c>
      <c r="BV29" s="30">
        <f t="shared" si="13"/>
        <v>0.15209321509590268</v>
      </c>
      <c r="BW29" s="30">
        <f>BU29-BV29</f>
        <v>1.8310453173046426</v>
      </c>
      <c r="BX29" s="10">
        <v>28571.669999999995</v>
      </c>
      <c r="BY29" s="72"/>
      <c r="BZ29" s="26"/>
      <c r="CA29" s="27"/>
      <c r="CB29" s="27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78"/>
      <c r="CR29" s="10">
        <v>572.5</v>
      </c>
      <c r="CS29" s="33">
        <v>6.72</v>
      </c>
      <c r="CT29" s="30">
        <f t="shared" si="30"/>
        <v>132.4</v>
      </c>
      <c r="CU29" s="30">
        <f t="shared" si="26"/>
        <v>147.778875</v>
      </c>
      <c r="CV29" s="30">
        <f t="shared" si="23"/>
        <v>424.72112500000003</v>
      </c>
      <c r="CW29" s="30">
        <f t="shared" si="24"/>
        <v>432.40181268882168</v>
      </c>
      <c r="CX29" s="30">
        <f t="shared" si="25"/>
        <v>140.09818731117832</v>
      </c>
      <c r="CY29" s="33">
        <f t="shared" si="17"/>
        <v>0.29508333333333248</v>
      </c>
      <c r="CZ29" s="33">
        <f t="shared" si="27"/>
        <v>13.930348258706474</v>
      </c>
      <c r="DA29" s="33">
        <f t="shared" si="31"/>
        <v>7.2103482587064738</v>
      </c>
      <c r="DB29" s="33">
        <f t="shared" si="28"/>
        <v>0.2290803325525701</v>
      </c>
      <c r="DC29" s="33"/>
      <c r="DD29" s="33"/>
      <c r="DE29" s="30">
        <v>16.237500000000001</v>
      </c>
      <c r="DF29" s="30">
        <f>CZ29+4</f>
        <v>17.930348258706474</v>
      </c>
      <c r="DG29" s="30">
        <f t="shared" si="4"/>
        <v>325.76</v>
      </c>
      <c r="DH29" s="30">
        <f t="shared" si="6"/>
        <v>375.76</v>
      </c>
      <c r="DI29" s="30">
        <f t="shared" si="7"/>
        <v>275.76</v>
      </c>
      <c r="DJ29" s="30">
        <f t="shared" si="8"/>
        <v>425.76</v>
      </c>
      <c r="DK29" s="30">
        <f t="shared" si="9"/>
        <v>225.76</v>
      </c>
      <c r="DL29" s="30">
        <f t="shared" si="5"/>
        <v>305.27499999999998</v>
      </c>
    </row>
    <row r="30" spans="1:116" ht="16" x14ac:dyDescent="0.4">
      <c r="A30" s="18">
        <v>1991</v>
      </c>
      <c r="B30" s="12">
        <v>38940000</v>
      </c>
      <c r="C30" s="8">
        <v>13511072</v>
      </c>
      <c r="D30" s="126"/>
      <c r="E30" s="10">
        <f t="shared" si="10"/>
        <v>519656.61538461538</v>
      </c>
      <c r="F30" s="10">
        <f t="shared" si="11"/>
        <v>259828.30769230769</v>
      </c>
      <c r="G30" s="10">
        <f t="shared" si="3"/>
        <v>389742.4615384615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7"/>
      <c r="T30" s="21"/>
      <c r="U30" s="21"/>
      <c r="V30" s="21"/>
      <c r="W30" s="21"/>
      <c r="X30" s="21"/>
      <c r="Y30" s="21"/>
      <c r="Z30" s="21"/>
      <c r="AA30" s="28"/>
      <c r="AB30" s="28"/>
      <c r="AC30" s="28"/>
      <c r="AD30" s="28"/>
      <c r="AE30" s="101">
        <v>13.081166666666668</v>
      </c>
      <c r="AF30" s="111">
        <v>1.2385166666666667</v>
      </c>
      <c r="AG30" s="114">
        <f t="shared" si="19"/>
        <v>58218.75</v>
      </c>
      <c r="AH30" s="114">
        <f t="shared" si="20"/>
        <v>72104.892187500009</v>
      </c>
      <c r="AI30" s="112">
        <v>3.2046329999999998</v>
      </c>
      <c r="AJ30" s="111">
        <f t="shared" si="21"/>
        <v>7.539860581506602</v>
      </c>
      <c r="AK30" s="104"/>
      <c r="AL30" s="104"/>
      <c r="AM30" s="114">
        <v>276.57833333333338</v>
      </c>
      <c r="AN30" s="119">
        <f t="shared" si="22"/>
        <v>210.49642355691876</v>
      </c>
      <c r="AO30" s="131"/>
      <c r="AP30" s="21"/>
      <c r="AQ30" s="134"/>
      <c r="AR30" s="129"/>
      <c r="AS30" s="129"/>
      <c r="AT30" s="129"/>
      <c r="AU30" s="21"/>
      <c r="AV30" s="21"/>
      <c r="AW30" s="21"/>
      <c r="AX30" s="10">
        <v>320</v>
      </c>
      <c r="AY30" s="27"/>
      <c r="AZ30" s="27"/>
      <c r="BA30" s="71">
        <v>81900</v>
      </c>
      <c r="BB30" s="21">
        <v>55104</v>
      </c>
      <c r="BC30" s="21">
        <v>26124</v>
      </c>
      <c r="BD30" s="21">
        <v>672</v>
      </c>
      <c r="BE30" s="21">
        <v>61098</v>
      </c>
      <c r="BF30" s="86">
        <v>162.39090328286042</v>
      </c>
      <c r="BG30" s="21">
        <v>2692233599.9999995</v>
      </c>
      <c r="BH30" s="71">
        <f>BG30/BE30</f>
        <v>44064.185407050958</v>
      </c>
      <c r="BI30" s="71">
        <f>BH30/BF30</f>
        <v>271.34639019956558</v>
      </c>
      <c r="BJ30" s="21">
        <v>176142</v>
      </c>
      <c r="BK30" s="86">
        <v>111.14777423345399</v>
      </c>
      <c r="BL30" s="21">
        <v>5773451400</v>
      </c>
      <c r="BM30" s="83">
        <f t="shared" ref="BM30:BM61" si="32">BL30/BJ30</f>
        <v>32777.255850393434</v>
      </c>
      <c r="BN30" s="83">
        <f>BM30/BK30</f>
        <v>294.89799572187854</v>
      </c>
      <c r="BO30" s="91">
        <f>CR30/((BN30+BI30)/2)</f>
        <v>2.056311778005929</v>
      </c>
      <c r="BP30" s="89"/>
      <c r="BQ30" s="83"/>
      <c r="BR30" s="22">
        <v>17206000</v>
      </c>
      <c r="BS30" s="31">
        <f t="shared" si="14"/>
        <v>325336.14693719894</v>
      </c>
      <c r="BT30" s="10">
        <f t="shared" si="12"/>
        <v>441.85927067283001</v>
      </c>
      <c r="BU30" s="30">
        <f>(BR30*100/BR29)-100</f>
        <v>1.9272710467377152</v>
      </c>
      <c r="BV30" s="30">
        <f t="shared" si="13"/>
        <v>0.2290803325525701</v>
      </c>
      <c r="BW30" s="30">
        <f t="shared" si="15"/>
        <v>1.6981907141851451</v>
      </c>
      <c r="BX30" s="10">
        <v>28797.27</v>
      </c>
      <c r="BY30" s="72"/>
      <c r="BZ30" s="26"/>
      <c r="CA30" s="27"/>
      <c r="CB30" s="27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78"/>
      <c r="CR30" s="10">
        <v>582.1875</v>
      </c>
      <c r="CS30" s="33">
        <v>5.94</v>
      </c>
      <c r="CT30" s="30">
        <f t="shared" si="30"/>
        <v>138.34</v>
      </c>
      <c r="CU30" s="30">
        <f t="shared" si="26"/>
        <v>182.36081250000001</v>
      </c>
      <c r="CV30" s="30">
        <f t="shared" si="23"/>
        <v>399.82668749999999</v>
      </c>
      <c r="CW30" s="30">
        <f t="shared" si="24"/>
        <v>420.83815237819857</v>
      </c>
      <c r="CX30" s="30">
        <f t="shared" si="25"/>
        <v>161.34934762180143</v>
      </c>
      <c r="CY30" s="33">
        <f t="shared" si="17"/>
        <v>-2.3616666666666646</v>
      </c>
      <c r="CZ30" s="33">
        <f t="shared" si="27"/>
        <v>1.692139737991269</v>
      </c>
      <c r="DA30" s="33">
        <f t="shared" si="31"/>
        <v>-4.2478602620087313</v>
      </c>
      <c r="DB30" s="33">
        <f t="shared" si="28"/>
        <v>0.32871083718541172</v>
      </c>
      <c r="DC30" s="33"/>
      <c r="DD30" s="33"/>
      <c r="DE30" s="30">
        <v>16.3125</v>
      </c>
      <c r="DF30" s="30">
        <f t="shared" si="29"/>
        <v>5.692139737991269</v>
      </c>
      <c r="DG30" s="30">
        <f t="shared" si="4"/>
        <v>330.96000000000004</v>
      </c>
      <c r="DH30" s="30">
        <f t="shared" si="6"/>
        <v>380.96000000000004</v>
      </c>
      <c r="DI30" s="30">
        <f t="shared" si="7"/>
        <v>280.96000000000004</v>
      </c>
      <c r="DJ30" s="30">
        <f t="shared" si="8"/>
        <v>430.96000000000004</v>
      </c>
      <c r="DK30" s="30">
        <f t="shared" si="9"/>
        <v>230.96000000000004</v>
      </c>
      <c r="DL30" s="30">
        <f t="shared" si="5"/>
        <v>309.39999999999998</v>
      </c>
    </row>
    <row r="31" spans="1:116" ht="16" x14ac:dyDescent="0.4">
      <c r="A31" s="18">
        <v>1992</v>
      </c>
      <c r="B31" s="12">
        <v>39068000</v>
      </c>
      <c r="C31" s="8">
        <v>13710030</v>
      </c>
      <c r="D31" s="126"/>
      <c r="E31" s="10">
        <f t="shared" si="10"/>
        <v>527308.84615384613</v>
      </c>
      <c r="F31" s="10">
        <f t="shared" si="11"/>
        <v>263654.42307692306</v>
      </c>
      <c r="G31" s="10">
        <f t="shared" si="3"/>
        <v>395481.63461538462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7"/>
      <c r="T31" s="21"/>
      <c r="U31" s="21"/>
      <c r="V31" s="21"/>
      <c r="W31" s="21"/>
      <c r="X31" s="21"/>
      <c r="Y31" s="21"/>
      <c r="Z31" s="21"/>
      <c r="AA31" s="28"/>
      <c r="AB31" s="28"/>
      <c r="AC31" s="28"/>
      <c r="AD31" s="28"/>
      <c r="AE31" s="101">
        <v>13.308999999999999</v>
      </c>
      <c r="AF31" s="111">
        <v>1.2956166666666664</v>
      </c>
      <c r="AG31" s="114">
        <f t="shared" si="19"/>
        <v>57656.25</v>
      </c>
      <c r="AH31" s="114">
        <f t="shared" si="20"/>
        <v>74700.398437499985</v>
      </c>
      <c r="AI31" s="112">
        <v>3.4331779999999998</v>
      </c>
      <c r="AJ31" s="111">
        <f t="shared" si="21"/>
        <v>7.1317058770848263</v>
      </c>
      <c r="AK31" s="104"/>
      <c r="AL31" s="104"/>
      <c r="AM31" s="114">
        <v>253.61166666666665</v>
      </c>
      <c r="AN31" s="119">
        <f t="shared" si="22"/>
        <v>227.3406849054</v>
      </c>
      <c r="AO31" s="131"/>
      <c r="AP31" s="21"/>
      <c r="AQ31" s="134"/>
      <c r="AR31" s="129"/>
      <c r="AS31" s="129"/>
      <c r="AT31" s="129"/>
      <c r="AU31" s="21"/>
      <c r="AV31" s="21"/>
      <c r="AW31" s="21"/>
      <c r="AX31" s="10">
        <v>338</v>
      </c>
      <c r="AY31" s="27"/>
      <c r="AZ31" s="27"/>
      <c r="BA31" s="6">
        <v>81380</v>
      </c>
      <c r="BB31" s="21">
        <v>52825</v>
      </c>
      <c r="BC31" s="21">
        <v>27296</v>
      </c>
      <c r="BD31" s="21">
        <v>1259</v>
      </c>
      <c r="BE31" s="21">
        <v>66137</v>
      </c>
      <c r="BF31" s="86">
        <v>156.49320362586838</v>
      </c>
      <c r="BG31" s="21">
        <v>2929328500</v>
      </c>
      <c r="BH31" s="71">
        <f t="shared" ref="BH31:BH61" si="33">BG31/BE31</f>
        <v>44291.82605803106</v>
      </c>
      <c r="BI31" s="71">
        <f t="shared" ref="BI31:BI61" si="34">BH31/BF31</f>
        <v>283.02715409878419</v>
      </c>
      <c r="BJ31" s="21">
        <v>152483</v>
      </c>
      <c r="BK31" s="86">
        <v>109.6253646284643</v>
      </c>
      <c r="BL31" s="21">
        <v>5082786000</v>
      </c>
      <c r="BM31" s="83">
        <f t="shared" si="32"/>
        <v>33333.460123423596</v>
      </c>
      <c r="BN31" s="83">
        <f t="shared" ref="BN31:BN61" si="35">BM31/BK31</f>
        <v>304.06703992634692</v>
      </c>
      <c r="BO31" s="91">
        <f t="shared" ref="BO31:BO60" si="36">CR31/((BN31+BI31)/2)</f>
        <v>1.9641226429001941</v>
      </c>
      <c r="BP31" s="89">
        <f>((BI31+BN31)*100/(BI30+BN30))-100</f>
        <v>3.6821218226752706</v>
      </c>
      <c r="BQ31" s="83"/>
      <c r="BR31" s="31">
        <v>17558891.149678409</v>
      </c>
      <c r="BS31" s="31">
        <f t="shared" si="14"/>
        <v>352891.1496784091</v>
      </c>
      <c r="BT31" s="10">
        <f t="shared" si="12"/>
        <v>449.44433166986812</v>
      </c>
      <c r="BU31" s="30">
        <f>(BR31*100/BR30)-100</f>
        <v>2.0509772734999956</v>
      </c>
      <c r="BV31" s="30">
        <f t="shared" si="13"/>
        <v>0.32871083718541172</v>
      </c>
      <c r="BW31" s="30">
        <f t="shared" si="15"/>
        <v>1.7222664363145839</v>
      </c>
      <c r="BX31" s="10">
        <v>26051.130000000005</v>
      </c>
      <c r="BY31" s="72"/>
      <c r="BZ31" s="26"/>
      <c r="CA31" s="27"/>
      <c r="CB31" s="27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78"/>
      <c r="CR31" s="10">
        <v>576.5625</v>
      </c>
      <c r="CS31" s="33">
        <v>5.93</v>
      </c>
      <c r="CT31" s="30">
        <f t="shared" si="30"/>
        <v>144.27000000000001</v>
      </c>
      <c r="CU31" s="30">
        <f t="shared" si="26"/>
        <v>216.55096875000001</v>
      </c>
      <c r="CV31" s="30">
        <f t="shared" si="23"/>
        <v>360.01153124999996</v>
      </c>
      <c r="CW31" s="30">
        <f t="shared" si="24"/>
        <v>399.64129756706177</v>
      </c>
      <c r="CX31" s="30">
        <f t="shared" si="25"/>
        <v>176.92120243293823</v>
      </c>
      <c r="CY31" s="33">
        <f t="shared" si="17"/>
        <v>0.22783333333333111</v>
      </c>
      <c r="CZ31" s="33">
        <f t="shared" si="27"/>
        <v>-0.96618357487922424</v>
      </c>
      <c r="DA31" s="33">
        <f t="shared" si="31"/>
        <v>-6.896183574879224</v>
      </c>
      <c r="DB31" s="33">
        <f t="shared" si="28"/>
        <v>0.3122760315347648</v>
      </c>
      <c r="DC31" s="33"/>
      <c r="DD31" s="33"/>
      <c r="DE31" s="30">
        <v>18.352499999999999</v>
      </c>
      <c r="DF31" s="30">
        <f t="shared" si="29"/>
        <v>3.0338164251207758</v>
      </c>
      <c r="DG31" s="30">
        <f t="shared" si="4"/>
        <v>336.03999999999996</v>
      </c>
      <c r="DH31" s="30">
        <f t="shared" si="6"/>
        <v>386.03999999999996</v>
      </c>
      <c r="DI31" s="30">
        <f t="shared" si="7"/>
        <v>286.03999999999996</v>
      </c>
      <c r="DJ31" s="30">
        <f t="shared" si="8"/>
        <v>436.03999999999996</v>
      </c>
      <c r="DK31" s="30">
        <f t="shared" si="9"/>
        <v>236.03999999999996</v>
      </c>
      <c r="DL31" s="30">
        <f t="shared" si="5"/>
        <v>313.47500000000002</v>
      </c>
    </row>
    <row r="32" spans="1:116" ht="16" x14ac:dyDescent="0.4">
      <c r="A32" s="18">
        <v>1993</v>
      </c>
      <c r="B32" s="12">
        <v>39190000</v>
      </c>
      <c r="C32" s="8">
        <v>14031422</v>
      </c>
      <c r="D32" s="126"/>
      <c r="E32" s="10">
        <f t="shared" si="10"/>
        <v>539670.07692307688</v>
      </c>
      <c r="F32" s="10">
        <f t="shared" si="11"/>
        <v>269835.03846153844</v>
      </c>
      <c r="G32" s="10">
        <f t="shared" si="3"/>
        <v>404752.55769230763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7"/>
      <c r="T32" s="21"/>
      <c r="U32" s="21"/>
      <c r="V32" s="21"/>
      <c r="W32" s="21"/>
      <c r="X32" s="21"/>
      <c r="Y32" s="21"/>
      <c r="Z32" s="21"/>
      <c r="AA32" s="28"/>
      <c r="AB32" s="28"/>
      <c r="AC32" s="28"/>
      <c r="AD32" s="28"/>
      <c r="AE32" s="101">
        <v>10.913333333333336</v>
      </c>
      <c r="AF32" s="111">
        <v>1.1633333333333336</v>
      </c>
      <c r="AG32" s="114">
        <f t="shared" si="19"/>
        <v>57343.75</v>
      </c>
      <c r="AH32" s="114">
        <f t="shared" si="20"/>
        <v>66709.895833333343</v>
      </c>
      <c r="AI32" s="112">
        <v>3.6517740000000001</v>
      </c>
      <c r="AJ32" s="111">
        <f t="shared" si="21"/>
        <v>6.3671618541188479</v>
      </c>
      <c r="AK32" s="104"/>
      <c r="AL32" s="104"/>
      <c r="AM32" s="114">
        <v>306.66666666666663</v>
      </c>
      <c r="AN32" s="119">
        <f t="shared" si="22"/>
        <v>186.99048913043481</v>
      </c>
      <c r="AO32" s="131"/>
      <c r="AP32" s="21"/>
      <c r="AQ32" s="134"/>
      <c r="AR32" s="129"/>
      <c r="AS32" s="129"/>
      <c r="AT32" s="129"/>
      <c r="AU32" s="21"/>
      <c r="AV32" s="21"/>
      <c r="AW32" s="21"/>
      <c r="AX32" s="10">
        <v>351</v>
      </c>
      <c r="AY32" s="27"/>
      <c r="AZ32" s="27"/>
      <c r="BA32" s="6">
        <v>74158</v>
      </c>
      <c r="BB32" s="21">
        <v>48588</v>
      </c>
      <c r="BC32" s="21">
        <v>24533</v>
      </c>
      <c r="BD32" s="21">
        <v>1037</v>
      </c>
      <c r="BE32" s="21">
        <v>66788</v>
      </c>
      <c r="BF32" s="86">
        <v>148.96771219272443</v>
      </c>
      <c r="BG32" s="21">
        <v>2966748399.9999995</v>
      </c>
      <c r="BH32" s="71">
        <f t="shared" si="33"/>
        <v>44420.380906749706</v>
      </c>
      <c r="BI32" s="71">
        <f t="shared" si="34"/>
        <v>298.18797813905871</v>
      </c>
      <c r="BJ32" s="21">
        <v>147981</v>
      </c>
      <c r="BK32" s="86">
        <v>108.07798596309799</v>
      </c>
      <c r="BL32" s="21">
        <v>5170784200</v>
      </c>
      <c r="BM32" s="83">
        <f t="shared" si="32"/>
        <v>34942.21690622445</v>
      </c>
      <c r="BN32" s="83">
        <f t="shared" si="35"/>
        <v>323.3055889675357</v>
      </c>
      <c r="BO32" s="91">
        <f t="shared" si="36"/>
        <v>1.8453529701672613</v>
      </c>
      <c r="BP32" s="89">
        <f t="shared" ref="BP32:BP61" si="37">((BI32+BN32)*100/(BI31+BN31))-100</f>
        <v>5.8592596267424</v>
      </c>
      <c r="BQ32" s="83"/>
      <c r="BR32" s="31">
        <v>17865724.212892946</v>
      </c>
      <c r="BS32" s="31">
        <f t="shared" si="14"/>
        <v>306833.06321453676</v>
      </c>
      <c r="BT32" s="10">
        <f t="shared" si="12"/>
        <v>455.87456526902133</v>
      </c>
      <c r="BU32" s="30">
        <f t="shared" si="16"/>
        <v>1.7474512518984113</v>
      </c>
      <c r="BV32" s="30">
        <f t="shared" si="13"/>
        <v>0.3122760315347648</v>
      </c>
      <c r="BW32" s="30">
        <f t="shared" si="15"/>
        <v>1.4351752203636465</v>
      </c>
      <c r="BX32" s="10">
        <v>22651.03</v>
      </c>
      <c r="BY32" s="72"/>
      <c r="BZ32" s="26"/>
      <c r="CA32" s="27"/>
      <c r="CB32" s="27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78"/>
      <c r="CR32" s="10">
        <v>573.4375</v>
      </c>
      <c r="CS32" s="33">
        <v>4.5699999999999994</v>
      </c>
      <c r="CT32" s="30">
        <f t="shared" si="30"/>
        <v>148.84</v>
      </c>
      <c r="CU32" s="30">
        <f t="shared" si="26"/>
        <v>242.75706250000002</v>
      </c>
      <c r="CV32" s="30">
        <f t="shared" si="23"/>
        <v>330.68043749999998</v>
      </c>
      <c r="CW32" s="30">
        <f t="shared" si="24"/>
        <v>385.27109647944104</v>
      </c>
      <c r="CX32" s="30">
        <f t="shared" si="25"/>
        <v>188.16640352055896</v>
      </c>
      <c r="CY32" s="33">
        <f t="shared" si="17"/>
        <v>-2.3956666666666635</v>
      </c>
      <c r="CZ32" s="33">
        <f t="shared" si="27"/>
        <v>-0.5420054200541955</v>
      </c>
      <c r="DA32" s="33">
        <f t="shared" si="31"/>
        <v>-5.1120054200541949</v>
      </c>
      <c r="DB32" s="33">
        <f t="shared" si="28"/>
        <v>0.26792549119673481</v>
      </c>
      <c r="DC32" s="33"/>
      <c r="DD32" s="33"/>
      <c r="DE32" s="30">
        <v>22.64</v>
      </c>
      <c r="DF32" s="30">
        <f t="shared" si="29"/>
        <v>3.4579945799458045</v>
      </c>
      <c r="DG32" s="30">
        <f t="shared" si="4"/>
        <v>341</v>
      </c>
      <c r="DH32" s="30">
        <f t="shared" si="6"/>
        <v>391</v>
      </c>
      <c r="DI32" s="30">
        <f t="shared" si="7"/>
        <v>291</v>
      </c>
      <c r="DJ32" s="30">
        <f t="shared" si="8"/>
        <v>441</v>
      </c>
      <c r="DK32" s="30">
        <f t="shared" si="9"/>
        <v>241</v>
      </c>
      <c r="DL32" s="30">
        <f t="shared" si="5"/>
        <v>317.5</v>
      </c>
    </row>
    <row r="33" spans="1:116" ht="16" x14ac:dyDescent="0.4">
      <c r="A33" s="18">
        <v>1994</v>
      </c>
      <c r="B33" s="12">
        <v>39295000</v>
      </c>
      <c r="C33" s="8">
        <v>14319606</v>
      </c>
      <c r="D33" s="126"/>
      <c r="E33" s="10">
        <f t="shared" si="10"/>
        <v>550754.07692307688</v>
      </c>
      <c r="F33" s="10">
        <f t="shared" si="11"/>
        <v>275377.03846153844</v>
      </c>
      <c r="G33" s="10">
        <f t="shared" si="3"/>
        <v>413065.55769230763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7"/>
      <c r="T33" s="21"/>
      <c r="U33" s="21"/>
      <c r="V33" s="21"/>
      <c r="W33" s="21"/>
      <c r="X33" s="21"/>
      <c r="Y33" s="21"/>
      <c r="Z33" s="21"/>
      <c r="AA33" s="28"/>
      <c r="AB33" s="28"/>
      <c r="AC33" s="28"/>
      <c r="AD33" s="28"/>
      <c r="AE33" s="101">
        <v>9.0772499999999994</v>
      </c>
      <c r="AF33" s="111">
        <v>1.1923250000000001</v>
      </c>
      <c r="AG33" s="114">
        <f t="shared" si="19"/>
        <v>59093.75</v>
      </c>
      <c r="AH33" s="114">
        <f t="shared" si="20"/>
        <v>70458.955468750006</v>
      </c>
      <c r="AI33" s="112">
        <v>3.7357990000000001</v>
      </c>
      <c r="AJ33" s="111">
        <f t="shared" si="21"/>
        <v>2.3009364763536837</v>
      </c>
      <c r="AK33" s="104"/>
      <c r="AL33" s="104"/>
      <c r="AM33" s="114">
        <v>318.25166666666701</v>
      </c>
      <c r="AN33" s="119">
        <f t="shared" si="22"/>
        <v>185.68245256636499</v>
      </c>
      <c r="AO33" s="131"/>
      <c r="AP33" s="21"/>
      <c r="AQ33" s="134"/>
      <c r="AR33" s="129"/>
      <c r="AS33" s="129"/>
      <c r="AT33" s="129"/>
      <c r="AU33" s="21"/>
      <c r="AV33" s="21"/>
      <c r="AW33" s="21"/>
      <c r="AX33" s="10">
        <v>364</v>
      </c>
      <c r="AY33" s="27"/>
      <c r="AZ33" s="27"/>
      <c r="BA33" s="6">
        <v>85789</v>
      </c>
      <c r="BB33" s="21">
        <v>56532</v>
      </c>
      <c r="BC33" s="21">
        <v>28118</v>
      </c>
      <c r="BD33" s="21">
        <v>1139</v>
      </c>
      <c r="BE33" s="21">
        <v>86187</v>
      </c>
      <c r="BF33" s="86">
        <v>148.88098640885858</v>
      </c>
      <c r="BG33" s="21">
        <v>4025289699.9999995</v>
      </c>
      <c r="BH33" s="71">
        <f t="shared" si="33"/>
        <v>46704.139835474023</v>
      </c>
      <c r="BI33" s="71">
        <f t="shared" si="34"/>
        <v>313.70117139884206</v>
      </c>
      <c r="BJ33" s="21">
        <v>180702</v>
      </c>
      <c r="BK33" s="86">
        <v>107.31739484502098</v>
      </c>
      <c r="BL33" s="21">
        <v>6401262300</v>
      </c>
      <c r="BM33" s="83">
        <f t="shared" si="32"/>
        <v>35424.413122156919</v>
      </c>
      <c r="BN33" s="83">
        <f t="shared" si="35"/>
        <v>330.09013285603851</v>
      </c>
      <c r="BO33" s="91">
        <f t="shared" si="36"/>
        <v>1.8358045412991306</v>
      </c>
      <c r="BP33" s="89">
        <f t="shared" si="37"/>
        <v>3.5877663629078</v>
      </c>
      <c r="BQ33" s="83"/>
      <c r="BR33" s="31">
        <v>18191342.462421015</v>
      </c>
      <c r="BS33" s="31">
        <f t="shared" si="14"/>
        <v>325618.24952806905</v>
      </c>
      <c r="BT33" s="10">
        <f t="shared" si="12"/>
        <v>462.94293071436607</v>
      </c>
      <c r="BU33" s="30">
        <f t="shared" si="16"/>
        <v>1.8225863426968374</v>
      </c>
      <c r="BV33" s="30">
        <f t="shared" si="13"/>
        <v>0.26792549119673481</v>
      </c>
      <c r="BW33" s="30">
        <f t="shared" si="15"/>
        <v>1.5546608515001026</v>
      </c>
      <c r="BX33" s="10">
        <v>24037.79</v>
      </c>
      <c r="BY33" s="72"/>
      <c r="BZ33" s="26"/>
      <c r="CA33" s="27"/>
      <c r="CB33" s="27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78"/>
      <c r="CR33" s="10">
        <v>590.9375</v>
      </c>
      <c r="CS33" s="33">
        <v>4.72</v>
      </c>
      <c r="CT33" s="30">
        <f t="shared" si="30"/>
        <v>153.56</v>
      </c>
      <c r="CU33" s="30">
        <f t="shared" si="26"/>
        <v>270.64931250000001</v>
      </c>
      <c r="CV33" s="30">
        <f t="shared" si="23"/>
        <v>320.28818749999999</v>
      </c>
      <c r="CW33" s="30">
        <f t="shared" si="24"/>
        <v>384.82514977858818</v>
      </c>
      <c r="CX33" s="30">
        <f t="shared" si="25"/>
        <v>206.11235022141182</v>
      </c>
      <c r="CY33" s="33">
        <f t="shared" si="17"/>
        <v>-1.8360833333333364</v>
      </c>
      <c r="CZ33" s="33">
        <f t="shared" si="27"/>
        <v>3.0517711171662114</v>
      </c>
      <c r="DA33" s="33">
        <f t="shared" si="31"/>
        <v>-1.6682288828337883</v>
      </c>
      <c r="DB33" s="33">
        <f t="shared" si="28"/>
        <v>0.23412647919582241</v>
      </c>
      <c r="DC33" s="33"/>
      <c r="DD33" s="33"/>
      <c r="DE33" s="30">
        <v>24.1175</v>
      </c>
      <c r="DF33" s="30">
        <f t="shared" si="29"/>
        <v>7.0517711171662114</v>
      </c>
      <c r="DG33" s="30">
        <f t="shared" si="4"/>
        <v>345.84000000000003</v>
      </c>
      <c r="DH33" s="30">
        <f t="shared" si="6"/>
        <v>395.84000000000003</v>
      </c>
      <c r="DI33" s="30">
        <f t="shared" si="7"/>
        <v>295.84000000000003</v>
      </c>
      <c r="DJ33" s="30">
        <f t="shared" si="8"/>
        <v>445.84000000000003</v>
      </c>
      <c r="DK33" s="30">
        <f t="shared" si="9"/>
        <v>245.84000000000003</v>
      </c>
      <c r="DL33" s="30">
        <f t="shared" si="5"/>
        <v>321.47500000000002</v>
      </c>
    </row>
    <row r="34" spans="1:116" ht="16" x14ac:dyDescent="0.4">
      <c r="A34" s="18">
        <v>1995</v>
      </c>
      <c r="B34" s="12">
        <v>39387000</v>
      </c>
      <c r="C34" s="8">
        <v>14555126</v>
      </c>
      <c r="D34" s="126"/>
      <c r="E34" s="10">
        <f t="shared" ref="E34:E41" si="38">C34/26</f>
        <v>559812.5384615385</v>
      </c>
      <c r="F34" s="10">
        <f t="shared" ref="F34:F41" si="39">E34/2</f>
        <v>279906.26923076925</v>
      </c>
      <c r="G34" s="10">
        <f t="shared" si="3"/>
        <v>419859.40384615387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>
        <v>403587</v>
      </c>
      <c r="T34" s="31">
        <f>S34/1.5</f>
        <v>269058</v>
      </c>
      <c r="U34" s="34">
        <v>17899907</v>
      </c>
      <c r="V34" s="34">
        <f t="shared" ref="V34:V40" si="40">U34*1000/S34</f>
        <v>44352.040576133521</v>
      </c>
      <c r="W34" s="22"/>
      <c r="X34" s="22"/>
      <c r="Y34" s="33"/>
      <c r="Z34" s="32"/>
      <c r="AA34" s="33"/>
      <c r="AB34" s="33"/>
      <c r="AC34" s="33"/>
      <c r="AD34" s="33"/>
      <c r="AE34" s="101">
        <v>9.9973333333333354</v>
      </c>
      <c r="AF34" s="112">
        <v>1.297625</v>
      </c>
      <c r="AG34" s="114">
        <f t="shared" si="19"/>
        <v>61343.75</v>
      </c>
      <c r="AH34" s="114">
        <f t="shared" si="20"/>
        <v>79601.18359375</v>
      </c>
      <c r="AI34" s="112">
        <v>3.9374030000000002</v>
      </c>
      <c r="AJ34" s="111">
        <f t="shared" si="21"/>
        <v>5.3965430152960749</v>
      </c>
      <c r="AK34" s="105"/>
      <c r="AL34" s="105"/>
      <c r="AM34" s="119">
        <v>290.52250000000004</v>
      </c>
      <c r="AN34" s="119">
        <f t="shared" si="22"/>
        <v>211.1497388326205</v>
      </c>
      <c r="AO34" s="132"/>
      <c r="AP34" s="35"/>
      <c r="AQ34" s="107"/>
      <c r="AR34" s="109"/>
      <c r="AS34" s="109"/>
      <c r="AT34" s="109"/>
      <c r="AU34" s="22"/>
      <c r="AV34" s="22"/>
      <c r="AW34" s="22"/>
      <c r="AX34" s="10">
        <v>376</v>
      </c>
      <c r="AY34" s="27"/>
      <c r="AZ34" s="27"/>
      <c r="BA34" s="6">
        <v>87673</v>
      </c>
      <c r="BB34" s="21">
        <v>57527</v>
      </c>
      <c r="BC34" s="21">
        <v>28991</v>
      </c>
      <c r="BD34" s="21">
        <v>1155</v>
      </c>
      <c r="BE34" s="21">
        <v>92749</v>
      </c>
      <c r="BF34" s="86">
        <v>150.39587395661388</v>
      </c>
      <c r="BG34" s="21">
        <v>4421153500</v>
      </c>
      <c r="BH34" s="71">
        <f t="shared" si="33"/>
        <v>47667.937120615854</v>
      </c>
      <c r="BI34" s="71">
        <f t="shared" si="34"/>
        <v>316.94976641691028</v>
      </c>
      <c r="BJ34" s="21">
        <v>214997</v>
      </c>
      <c r="BK34" s="86">
        <v>107.22267784571704</v>
      </c>
      <c r="BL34" s="21">
        <v>7875175899.999999</v>
      </c>
      <c r="BM34" s="83">
        <f t="shared" si="32"/>
        <v>36629.236221900763</v>
      </c>
      <c r="BN34" s="83">
        <f t="shared" si="35"/>
        <v>341.61836803410802</v>
      </c>
      <c r="BO34" s="91">
        <f t="shared" si="36"/>
        <v>1.8629431577686668</v>
      </c>
      <c r="BP34" s="89">
        <f t="shared" si="37"/>
        <v>2.29528266357066</v>
      </c>
      <c r="BQ34" s="83"/>
      <c r="BR34" s="31">
        <v>18536203.485439684</v>
      </c>
      <c r="BS34" s="31">
        <f>BR34-BR33</f>
        <v>344861.02301866934</v>
      </c>
      <c r="BT34" s="10">
        <f t="shared" si="12"/>
        <v>470.61729721582464</v>
      </c>
      <c r="BU34" s="30">
        <f t="shared" si="16"/>
        <v>1.8957425694726453</v>
      </c>
      <c r="BV34" s="30">
        <f t="shared" si="13"/>
        <v>0.23412647919582241</v>
      </c>
      <c r="BW34" s="30">
        <f t="shared" si="15"/>
        <v>1.6616160902768229</v>
      </c>
      <c r="BX34" s="10">
        <v>25458.329999999998</v>
      </c>
      <c r="BY34" s="72"/>
      <c r="BZ34" s="26"/>
      <c r="CA34" s="27"/>
      <c r="CB34" s="27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78"/>
      <c r="CR34" s="10">
        <v>613.4375</v>
      </c>
      <c r="CS34" s="33">
        <v>4.67</v>
      </c>
      <c r="CT34" s="30">
        <f t="shared" si="30"/>
        <v>158.22999999999999</v>
      </c>
      <c r="CU34" s="30">
        <f t="shared" si="26"/>
        <v>299.29684374999999</v>
      </c>
      <c r="CV34" s="30">
        <f t="shared" si="23"/>
        <v>314.14065625000001</v>
      </c>
      <c r="CW34" s="30">
        <f t="shared" si="24"/>
        <v>387.68722745370667</v>
      </c>
      <c r="CX34" s="30">
        <f t="shared" si="25"/>
        <v>225.75027254629333</v>
      </c>
      <c r="CY34" s="33">
        <f t="shared" si="17"/>
        <v>0.92008333333333603</v>
      </c>
      <c r="CZ34" s="33">
        <f t="shared" si="27"/>
        <v>3.8075092543627704</v>
      </c>
      <c r="DA34" s="33">
        <f t="shared" si="31"/>
        <v>-0.86249074563722949</v>
      </c>
      <c r="DB34" s="33">
        <f t="shared" si="28"/>
        <v>0.23104069870770161</v>
      </c>
      <c r="DC34" s="33"/>
      <c r="DD34" s="33"/>
      <c r="DE34" s="30">
        <v>22.9</v>
      </c>
      <c r="DF34" s="30">
        <f t="shared" si="29"/>
        <v>7.8075092543627704</v>
      </c>
      <c r="DG34" s="30">
        <f t="shared" si="4"/>
        <v>350.56</v>
      </c>
      <c r="DH34" s="30">
        <f t="shared" si="6"/>
        <v>400.56</v>
      </c>
      <c r="DI34" s="30">
        <f t="shared" si="7"/>
        <v>300.56</v>
      </c>
      <c r="DJ34" s="30">
        <f t="shared" si="8"/>
        <v>450.56</v>
      </c>
      <c r="DK34" s="30">
        <f t="shared" si="9"/>
        <v>250.56</v>
      </c>
      <c r="DL34" s="30">
        <f t="shared" si="5"/>
        <v>325.39999999999998</v>
      </c>
    </row>
    <row r="35" spans="1:116" ht="16" x14ac:dyDescent="0.4">
      <c r="A35" s="18">
        <v>1996</v>
      </c>
      <c r="B35" s="12">
        <v>39478000</v>
      </c>
      <c r="C35" s="8">
        <v>14798908</v>
      </c>
      <c r="D35" s="126"/>
      <c r="E35" s="10">
        <f t="shared" si="38"/>
        <v>569188.76923076925</v>
      </c>
      <c r="F35" s="10">
        <f t="shared" si="39"/>
        <v>284594.38461538462</v>
      </c>
      <c r="G35" s="10">
        <f t="shared" ref="G35:G66" si="41">F35*1.5</f>
        <v>426891.57692307694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>
        <v>412982</v>
      </c>
      <c r="T35" s="31">
        <f>S35/1.5</f>
        <v>275321.33333333331</v>
      </c>
      <c r="U35" s="34">
        <v>19566189</v>
      </c>
      <c r="V35" s="34">
        <f>U35*1000/S35</f>
        <v>47377.825183664179</v>
      </c>
      <c r="W35" s="22"/>
      <c r="X35" s="22"/>
      <c r="Y35" s="33"/>
      <c r="Z35" s="36">
        <f t="shared" ref="Z35:Z61" si="42">((V35*100/V34)-100)-CS35</f>
        <v>3.2621993130996452</v>
      </c>
      <c r="AA35" s="33"/>
      <c r="AB35" s="33"/>
      <c r="AC35" s="33"/>
      <c r="AD35" s="33"/>
      <c r="AE35" s="101">
        <v>7.3560000000000008</v>
      </c>
      <c r="AF35" s="112">
        <v>1.2521833333333336</v>
      </c>
      <c r="AG35" s="114">
        <f t="shared" si="19"/>
        <v>62406.25</v>
      </c>
      <c r="AH35" s="114">
        <f t="shared" si="20"/>
        <v>78144.066145833349</v>
      </c>
      <c r="AI35" s="112">
        <v>4.0903450000000001</v>
      </c>
      <c r="AJ35" s="111">
        <f t="shared" si="21"/>
        <v>3.8843369601740108</v>
      </c>
      <c r="AK35" s="105"/>
      <c r="AL35" s="105"/>
      <c r="AM35" s="119">
        <v>300.08749999999992</v>
      </c>
      <c r="AN35" s="119">
        <f t="shared" si="22"/>
        <v>207.96017828133466</v>
      </c>
      <c r="AO35" s="132"/>
      <c r="AP35" s="35"/>
      <c r="AQ35" s="107"/>
      <c r="AR35" s="109"/>
      <c r="AS35" s="109"/>
      <c r="AT35" s="109"/>
      <c r="AU35" s="22"/>
      <c r="AV35" s="22"/>
      <c r="AW35" s="22"/>
      <c r="AX35" s="10">
        <v>390</v>
      </c>
      <c r="AY35" s="27"/>
      <c r="AZ35" s="27"/>
      <c r="BA35" s="6">
        <v>89323</v>
      </c>
      <c r="BB35" s="21">
        <v>56928</v>
      </c>
      <c r="BC35" s="21">
        <v>31111</v>
      </c>
      <c r="BD35" s="21">
        <v>1284</v>
      </c>
      <c r="BE35" s="21">
        <v>88707</v>
      </c>
      <c r="BF35" s="86">
        <v>146.29492017656852</v>
      </c>
      <c r="BG35" s="21">
        <v>4368693100</v>
      </c>
      <c r="BH35" s="71">
        <f t="shared" si="33"/>
        <v>49248.572265999304</v>
      </c>
      <c r="BI35" s="71">
        <f t="shared" si="34"/>
        <v>336.63897698265572</v>
      </c>
      <c r="BJ35" s="21">
        <v>192120</v>
      </c>
      <c r="BK35" s="86">
        <v>106.04233083913887</v>
      </c>
      <c r="BL35" s="21">
        <v>7125463000</v>
      </c>
      <c r="BM35" s="83">
        <f t="shared" si="32"/>
        <v>37088.606079533623</v>
      </c>
      <c r="BN35" s="83">
        <f t="shared" si="35"/>
        <v>349.75283724944956</v>
      </c>
      <c r="BO35" s="91">
        <f t="shared" si="36"/>
        <v>1.8183856131739111</v>
      </c>
      <c r="BP35" s="89">
        <f t="shared" si="37"/>
        <v>4.2248748953334569</v>
      </c>
      <c r="BQ35" s="83"/>
      <c r="BR35" s="31">
        <v>18871157.299053606</v>
      </c>
      <c r="BS35" s="31">
        <f t="shared" si="14"/>
        <v>334953.8136139214</v>
      </c>
      <c r="BT35" s="10">
        <f t="shared" si="12"/>
        <v>478.0170550446731</v>
      </c>
      <c r="BU35" s="30">
        <f t="shared" si="16"/>
        <v>1.8070249060279764</v>
      </c>
      <c r="BV35" s="30">
        <f t="shared" si="13"/>
        <v>0.23104069870770161</v>
      </c>
      <c r="BW35" s="30">
        <f t="shared" si="15"/>
        <v>1.5759842073202748</v>
      </c>
      <c r="BX35" s="10">
        <v>24726.959999999999</v>
      </c>
      <c r="BY35" s="72"/>
      <c r="BZ35" s="26"/>
      <c r="CA35" s="27"/>
      <c r="CB35" s="27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78"/>
      <c r="CR35" s="10">
        <v>624.0625</v>
      </c>
      <c r="CS35" s="33">
        <v>3.56</v>
      </c>
      <c r="CT35" s="30">
        <f t="shared" si="30"/>
        <v>161.79</v>
      </c>
      <c r="CU35" s="30">
        <f t="shared" si="26"/>
        <v>321.51346875000002</v>
      </c>
      <c r="CV35" s="30">
        <f t="shared" si="23"/>
        <v>302.54903124999998</v>
      </c>
      <c r="CW35" s="30">
        <f t="shared" si="24"/>
        <v>385.72377773657212</v>
      </c>
      <c r="CX35" s="30">
        <f t="shared" si="25"/>
        <v>238.33872226342788</v>
      </c>
      <c r="CY35" s="33">
        <f t="shared" si="17"/>
        <v>-2.6413333333333346</v>
      </c>
      <c r="CZ35" s="33">
        <f t="shared" si="27"/>
        <v>1.7320427916454406</v>
      </c>
      <c r="DA35" s="33">
        <f t="shared" si="31"/>
        <v>-1.8279572083545594</v>
      </c>
      <c r="DB35" s="33">
        <f t="shared" si="28"/>
        <v>0.26343786412685688</v>
      </c>
      <c r="DC35" s="33"/>
      <c r="DD35" s="33">
        <v>2.33</v>
      </c>
      <c r="DE35" s="30">
        <v>22.08</v>
      </c>
      <c r="DF35" s="30">
        <f t="shared" si="29"/>
        <v>5.7320427916454406</v>
      </c>
      <c r="DG35" s="30">
        <f t="shared" ref="DG35:DG66" si="43">-0.06*((A35-1963)^2)+8.5*(A35-1963)+140</f>
        <v>355.15999999999997</v>
      </c>
      <c r="DH35" s="30">
        <f t="shared" si="6"/>
        <v>405.15999999999997</v>
      </c>
      <c r="DI35" s="30">
        <f t="shared" si="7"/>
        <v>305.15999999999997</v>
      </c>
      <c r="DJ35" s="30">
        <f t="shared" si="8"/>
        <v>455.15999999999997</v>
      </c>
      <c r="DK35" s="30">
        <f t="shared" si="9"/>
        <v>255.15999999999997</v>
      </c>
      <c r="DL35" s="30">
        <f t="shared" ref="DL35:DL66" si="44">-0.025*((A35-1963)^2)+5.5*(A35-1963)+175</f>
        <v>329.27499999999998</v>
      </c>
    </row>
    <row r="36" spans="1:116" ht="16" x14ac:dyDescent="0.4">
      <c r="A36" s="18">
        <v>1997</v>
      </c>
      <c r="B36" s="12">
        <v>39582000</v>
      </c>
      <c r="C36" s="8">
        <v>15027010</v>
      </c>
      <c r="D36" s="126"/>
      <c r="E36" s="10">
        <f t="shared" si="38"/>
        <v>577961.92307692312</v>
      </c>
      <c r="F36" s="10">
        <f t="shared" si="39"/>
        <v>288980.96153846156</v>
      </c>
      <c r="G36" s="10">
        <f t="shared" si="41"/>
        <v>433471.44230769237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>
        <v>479237</v>
      </c>
      <c r="T36" s="31">
        <f t="shared" ref="T36:T41" si="45">S36/1.5</f>
        <v>319491.33333333331</v>
      </c>
      <c r="U36" s="34">
        <v>24338352</v>
      </c>
      <c r="V36" s="34">
        <f t="shared" si="40"/>
        <v>50785.627987822307</v>
      </c>
      <c r="W36" s="22"/>
      <c r="X36" s="22"/>
      <c r="Y36" s="33"/>
      <c r="Z36" s="36">
        <f t="shared" si="42"/>
        <v>5.222822361405334</v>
      </c>
      <c r="AA36" s="33"/>
      <c r="AB36" s="33"/>
      <c r="AC36" s="33"/>
      <c r="AD36" s="33"/>
      <c r="AE36" s="101">
        <v>5.197916666666667</v>
      </c>
      <c r="AF36" s="112">
        <v>1.1270083333333334</v>
      </c>
      <c r="AG36" s="114">
        <f t="shared" si="19"/>
        <v>64250</v>
      </c>
      <c r="AH36" s="114">
        <f t="shared" si="20"/>
        <v>72410.285416666666</v>
      </c>
      <c r="AI36" s="112">
        <v>4.2673110000000003</v>
      </c>
      <c r="AJ36" s="111">
        <f t="shared" si="21"/>
        <v>4.3264321224737756</v>
      </c>
      <c r="AK36" s="105"/>
      <c r="AL36" s="105"/>
      <c r="AM36" s="119">
        <v>291.96583333333331</v>
      </c>
      <c r="AN36" s="119">
        <f t="shared" si="22"/>
        <v>220.05999560450854</v>
      </c>
      <c r="AO36" s="132"/>
      <c r="AP36" s="35"/>
      <c r="AQ36" s="107"/>
      <c r="AR36" s="109"/>
      <c r="AS36" s="109"/>
      <c r="AT36" s="109"/>
      <c r="AU36" s="22"/>
      <c r="AV36" s="22"/>
      <c r="AW36" s="22"/>
      <c r="AX36" s="10">
        <v>400</v>
      </c>
      <c r="AY36" s="27"/>
      <c r="AZ36" s="27"/>
      <c r="BA36" s="6">
        <v>104790</v>
      </c>
      <c r="BB36" s="21">
        <v>66740</v>
      </c>
      <c r="BC36" s="21">
        <v>36487</v>
      </c>
      <c r="BD36" s="21">
        <v>1563</v>
      </c>
      <c r="BE36" s="21">
        <v>104094</v>
      </c>
      <c r="BF36" s="86">
        <v>148.00938669993204</v>
      </c>
      <c r="BG36" s="21">
        <v>5435822699.999999</v>
      </c>
      <c r="BH36" s="71">
        <f t="shared" si="33"/>
        <v>52220.326819989612</v>
      </c>
      <c r="BI36" s="71">
        <f t="shared" si="34"/>
        <v>352.81766909729106</v>
      </c>
      <c r="BJ36" s="21">
        <v>231524</v>
      </c>
      <c r="BK36" s="86">
        <v>103.8488448819956</v>
      </c>
      <c r="BL36" s="21">
        <v>8764069200</v>
      </c>
      <c r="BM36" s="83">
        <f t="shared" si="32"/>
        <v>37853.82595324891</v>
      </c>
      <c r="BN36" s="83">
        <f t="shared" si="35"/>
        <v>364.50887822837666</v>
      </c>
      <c r="BO36" s="91">
        <f t="shared" si="36"/>
        <v>1.7913738238055303</v>
      </c>
      <c r="BP36" s="89">
        <f t="shared" si="37"/>
        <v>4.5068621816491685</v>
      </c>
      <c r="BQ36" s="83"/>
      <c r="BR36" s="31">
        <v>19234119.565917771</v>
      </c>
      <c r="BS36" s="31">
        <f t="shared" si="14"/>
        <v>362962.26686416566</v>
      </c>
      <c r="BT36" s="10">
        <f t="shared" si="12"/>
        <v>485.93096776104721</v>
      </c>
      <c r="BU36" s="30">
        <f t="shared" si="16"/>
        <v>1.9233704701426433</v>
      </c>
      <c r="BV36" s="30">
        <f t="shared" si="13"/>
        <v>0.26343786412685688</v>
      </c>
      <c r="BW36" s="30">
        <f t="shared" si="15"/>
        <v>1.6599326060157864</v>
      </c>
      <c r="BX36" s="10">
        <v>26794.600000000002</v>
      </c>
      <c r="BY36" s="72"/>
      <c r="BZ36" s="26"/>
      <c r="CA36" s="27"/>
      <c r="CB36" s="27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78"/>
      <c r="CR36" s="10">
        <v>642.5</v>
      </c>
      <c r="CS36" s="33">
        <v>1.97</v>
      </c>
      <c r="CT36" s="30">
        <f t="shared" si="30"/>
        <v>163.76</v>
      </c>
      <c r="CU36" s="30">
        <f t="shared" si="26"/>
        <v>334.17071874999999</v>
      </c>
      <c r="CV36" s="30">
        <f t="shared" si="23"/>
        <v>308.32928125000001</v>
      </c>
      <c r="CW36" s="30">
        <f t="shared" si="24"/>
        <v>392.34245236932099</v>
      </c>
      <c r="CX36" s="30">
        <f t="shared" si="25"/>
        <v>250.15754763067901</v>
      </c>
      <c r="CY36" s="33">
        <f t="shared" si="17"/>
        <v>-2.1580833333333338</v>
      </c>
      <c r="CZ36" s="33">
        <f t="shared" si="27"/>
        <v>2.9544316474712105</v>
      </c>
      <c r="DA36" s="33">
        <f t="shared" si="31"/>
        <v>0.98443164747121048</v>
      </c>
      <c r="DB36" s="33">
        <f t="shared" si="28"/>
        <v>0.35116972361174703</v>
      </c>
      <c r="DC36" s="33"/>
      <c r="DD36" s="33">
        <v>16.04</v>
      </c>
      <c r="DE36" s="30">
        <v>20.61</v>
      </c>
      <c r="DF36" s="30">
        <f t="shared" si="29"/>
        <v>6.9544316474712105</v>
      </c>
      <c r="DG36" s="30">
        <f t="shared" si="43"/>
        <v>359.64</v>
      </c>
      <c r="DH36" s="30">
        <f t="shared" si="6"/>
        <v>409.64</v>
      </c>
      <c r="DI36" s="30">
        <f t="shared" si="7"/>
        <v>309.64</v>
      </c>
      <c r="DJ36" s="30">
        <f t="shared" si="8"/>
        <v>459.64</v>
      </c>
      <c r="DK36" s="30">
        <f t="shared" si="9"/>
        <v>259.64</v>
      </c>
      <c r="DL36" s="30">
        <f t="shared" si="44"/>
        <v>333.1</v>
      </c>
    </row>
    <row r="37" spans="1:116" ht="16" x14ac:dyDescent="0.4">
      <c r="A37" s="18">
        <v>1998</v>
      </c>
      <c r="B37" s="12">
        <v>39721000</v>
      </c>
      <c r="C37" s="8">
        <v>15300398</v>
      </c>
      <c r="D37" s="126"/>
      <c r="E37" s="10">
        <f t="shared" si="38"/>
        <v>588476.84615384613</v>
      </c>
      <c r="F37" s="10">
        <f t="shared" si="39"/>
        <v>294238.42307692306</v>
      </c>
      <c r="G37" s="10">
        <f t="shared" si="41"/>
        <v>441357.63461538462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2">
        <v>529565</v>
      </c>
      <c r="T37" s="31">
        <f t="shared" si="45"/>
        <v>353043.33333333331</v>
      </c>
      <c r="U37" s="34">
        <v>29595669</v>
      </c>
      <c r="V37" s="34">
        <f t="shared" si="40"/>
        <v>55886.75422280551</v>
      </c>
      <c r="W37" s="22"/>
      <c r="X37" s="22"/>
      <c r="Y37" s="33"/>
      <c r="Z37" s="36">
        <f t="shared" si="42"/>
        <v>8.2144287825019813</v>
      </c>
      <c r="AA37" s="33"/>
      <c r="AB37" s="33"/>
      <c r="AC37" s="33"/>
      <c r="AD37" s="33"/>
      <c r="AE37" s="102">
        <v>4.0049166666666665</v>
      </c>
      <c r="AF37" s="112">
        <v>1.1237166666666667</v>
      </c>
      <c r="AG37" s="114">
        <f t="shared" si="19"/>
        <v>67093.75</v>
      </c>
      <c r="AH37" s="114">
        <f t="shared" si="20"/>
        <v>75394.365104166674</v>
      </c>
      <c r="AI37" s="112">
        <v>4.4719610000000003</v>
      </c>
      <c r="AJ37" s="111">
        <f t="shared" si="21"/>
        <v>4.7957601402850543</v>
      </c>
      <c r="AK37" s="105"/>
      <c r="AL37" s="105"/>
      <c r="AM37" s="119">
        <v>264.7141666666667</v>
      </c>
      <c r="AN37" s="119">
        <f t="shared" si="22"/>
        <v>253.45734550159446</v>
      </c>
      <c r="AO37" s="132"/>
      <c r="AP37" s="35"/>
      <c r="AQ37" s="107"/>
      <c r="AR37" s="109"/>
      <c r="AS37" s="109"/>
      <c r="AT37" s="109"/>
      <c r="AU37" s="22"/>
      <c r="AV37" s="22"/>
      <c r="AW37" s="22"/>
      <c r="AX37" s="10">
        <v>408</v>
      </c>
      <c r="AY37" s="27"/>
      <c r="AZ37" s="27"/>
      <c r="BA37" s="6">
        <v>120765</v>
      </c>
      <c r="BB37" s="21">
        <v>79803</v>
      </c>
      <c r="BC37" s="21">
        <v>39195</v>
      </c>
      <c r="BD37" s="21">
        <v>1767</v>
      </c>
      <c r="BE37" s="21">
        <v>136282</v>
      </c>
      <c r="BF37" s="86">
        <v>149.19655531869017</v>
      </c>
      <c r="BG37" s="21">
        <v>7090628000</v>
      </c>
      <c r="BH37" s="71">
        <f t="shared" si="33"/>
        <v>52029.086746598965</v>
      </c>
      <c r="BI37" s="71">
        <f t="shared" si="34"/>
        <v>348.7284718837015</v>
      </c>
      <c r="BJ37" s="21">
        <v>291165</v>
      </c>
      <c r="BK37" s="86">
        <v>104.35321266364991</v>
      </c>
      <c r="BL37" s="21">
        <v>10917020500</v>
      </c>
      <c r="BM37" s="83">
        <f t="shared" si="32"/>
        <v>37494.274723953771</v>
      </c>
      <c r="BN37" s="83">
        <f t="shared" si="35"/>
        <v>359.30158513475664</v>
      </c>
      <c r="BO37" s="91">
        <f t="shared" si="36"/>
        <v>1.8952232136170706</v>
      </c>
      <c r="BP37" s="89">
        <f t="shared" si="37"/>
        <v>-1.2959913921865365</v>
      </c>
      <c r="BQ37" s="83"/>
      <c r="BR37" s="31">
        <v>19653914.349819176</v>
      </c>
      <c r="BS37" s="31">
        <f t="shared" si="14"/>
        <v>419794.78390140459</v>
      </c>
      <c r="BT37" s="10">
        <f t="shared" si="12"/>
        <v>494.79908234483463</v>
      </c>
      <c r="BU37" s="30">
        <f t="shared" si="16"/>
        <v>2.1825526375809119</v>
      </c>
      <c r="BV37" s="30">
        <f t="shared" si="13"/>
        <v>0.35116972361174703</v>
      </c>
      <c r="BW37" s="30">
        <f t="shared" si="15"/>
        <v>1.8313829139691649</v>
      </c>
      <c r="BX37" s="10">
        <v>30990.089999999997</v>
      </c>
      <c r="BY37" s="72"/>
      <c r="BZ37" s="26"/>
      <c r="CA37" s="27"/>
      <c r="CB37" s="27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78"/>
      <c r="CR37" s="10">
        <v>670.9375</v>
      </c>
      <c r="CS37" s="33">
        <v>1.83</v>
      </c>
      <c r="CT37" s="30">
        <f t="shared" si="30"/>
        <v>165.59</v>
      </c>
      <c r="CU37" s="30">
        <f t="shared" si="26"/>
        <v>346.44887499999999</v>
      </c>
      <c r="CV37" s="30">
        <f t="shared" si="23"/>
        <v>324.48862500000001</v>
      </c>
      <c r="CW37" s="30">
        <f t="shared" si="24"/>
        <v>405.17996255812551</v>
      </c>
      <c r="CX37" s="30">
        <f t="shared" si="25"/>
        <v>265.75753744187449</v>
      </c>
      <c r="CY37" s="33">
        <f t="shared" si="17"/>
        <v>-1.1930000000000005</v>
      </c>
      <c r="CZ37" s="33">
        <f t="shared" si="27"/>
        <v>4.4260700389105097</v>
      </c>
      <c r="DA37" s="33">
        <f t="shared" si="31"/>
        <v>2.5960700389105096</v>
      </c>
      <c r="DB37" s="33">
        <f t="shared" si="28"/>
        <v>0.51861735605851322</v>
      </c>
      <c r="DC37" s="33"/>
      <c r="DD37" s="33">
        <v>10.5</v>
      </c>
      <c r="DE37" s="30">
        <v>18.61</v>
      </c>
      <c r="DF37" s="30">
        <f t="shared" si="29"/>
        <v>8.4260700389105097</v>
      </c>
      <c r="DG37" s="30">
        <f t="shared" si="43"/>
        <v>364</v>
      </c>
      <c r="DH37" s="30">
        <f t="shared" si="6"/>
        <v>414</v>
      </c>
      <c r="DI37" s="30">
        <f t="shared" si="7"/>
        <v>314</v>
      </c>
      <c r="DJ37" s="30">
        <f t="shared" si="8"/>
        <v>464</v>
      </c>
      <c r="DK37" s="30">
        <f t="shared" si="9"/>
        <v>264</v>
      </c>
      <c r="DL37" s="30">
        <f t="shared" si="44"/>
        <v>336.875</v>
      </c>
    </row>
    <row r="38" spans="1:116" ht="16" x14ac:dyDescent="0.4">
      <c r="A38" s="18">
        <v>1999</v>
      </c>
      <c r="B38" s="12">
        <v>39927000</v>
      </c>
      <c r="C38" s="8">
        <v>15557958</v>
      </c>
      <c r="D38" s="126">
        <v>32632826</v>
      </c>
      <c r="E38" s="10">
        <f t="shared" si="38"/>
        <v>598383</v>
      </c>
      <c r="F38" s="10">
        <f t="shared" si="39"/>
        <v>299191.5</v>
      </c>
      <c r="G38" s="10">
        <f t="shared" si="41"/>
        <v>448787.25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2">
        <v>585782</v>
      </c>
      <c r="T38" s="31">
        <f t="shared" si="45"/>
        <v>390521.33333333331</v>
      </c>
      <c r="U38" s="34">
        <v>36218444</v>
      </c>
      <c r="V38" s="34">
        <f t="shared" si="40"/>
        <v>61829.21974386376</v>
      </c>
      <c r="W38" s="22"/>
      <c r="X38" s="22"/>
      <c r="Y38" s="33"/>
      <c r="Z38" s="36">
        <f t="shared" si="42"/>
        <v>8.3230482127611811</v>
      </c>
      <c r="AA38" s="33"/>
      <c r="AB38" s="33"/>
      <c r="AC38" s="33"/>
      <c r="AD38" s="33"/>
      <c r="AE38" s="42">
        <v>3.1549166666666664</v>
      </c>
      <c r="AF38" s="112">
        <v>1.0598583333333333</v>
      </c>
      <c r="AG38" s="114">
        <f t="shared" si="19"/>
        <v>72906.25</v>
      </c>
      <c r="AH38" s="114">
        <f t="shared" si="20"/>
        <v>77270.296614583334</v>
      </c>
      <c r="AI38" s="112">
        <v>4.7089470000000002</v>
      </c>
      <c r="AJ38" s="111">
        <f t="shared" si="21"/>
        <v>5.299375374695785</v>
      </c>
      <c r="AK38" s="105"/>
      <c r="AL38" s="105"/>
      <c r="AM38" s="119">
        <v>264.7833333333333</v>
      </c>
      <c r="AN38" s="119">
        <f t="shared" si="22"/>
        <v>275.34304777491036</v>
      </c>
      <c r="AO38" s="133">
        <v>376354000000</v>
      </c>
      <c r="AP38" s="34">
        <f t="shared" ref="AP38:AP61" si="46">AO38/D38</f>
        <v>11532.988286089596</v>
      </c>
      <c r="AQ38" s="119">
        <f>AP38</f>
        <v>11532.988286089596</v>
      </c>
      <c r="AR38" s="119">
        <f>AP38</f>
        <v>11532.988286089596</v>
      </c>
      <c r="AS38" s="119">
        <f t="shared" ref="AS38:AS61" si="47">((AR38+(AQ38-AP38))-AP38)+$AP$38</f>
        <v>11532.988286089596</v>
      </c>
      <c r="AT38" s="119">
        <v>100</v>
      </c>
      <c r="AU38" s="37">
        <f t="shared" ref="AU38:AU61" si="48">V38/AP38</f>
        <v>5.3610753960825992</v>
      </c>
      <c r="AV38" s="34">
        <f t="shared" ref="AV38:AV61" si="49">V38/5</f>
        <v>12365.843948772752</v>
      </c>
      <c r="AW38" s="34">
        <f t="shared" ref="AW38:AW61" si="50">100-((AP38*100)/AV38)</f>
        <v>6.7351299768408666</v>
      </c>
      <c r="AX38" s="10">
        <v>416</v>
      </c>
      <c r="AY38" s="27"/>
      <c r="AZ38" s="27"/>
      <c r="BA38" s="6">
        <v>141338</v>
      </c>
      <c r="BB38" s="21">
        <v>91284</v>
      </c>
      <c r="BC38" s="21">
        <v>47753</v>
      </c>
      <c r="BD38" s="21">
        <v>2301</v>
      </c>
      <c r="BE38" s="21">
        <v>158487</v>
      </c>
      <c r="BF38" s="86">
        <v>146.32930434216055</v>
      </c>
      <c r="BG38" s="21">
        <v>8253696800</v>
      </c>
      <c r="BH38" s="71">
        <f t="shared" si="33"/>
        <v>52078.068232725709</v>
      </c>
      <c r="BI38" s="71">
        <f t="shared" si="34"/>
        <v>355.89636995028701</v>
      </c>
      <c r="BJ38" s="21">
        <v>354324</v>
      </c>
      <c r="BK38" s="86">
        <v>105.76814123949669</v>
      </c>
      <c r="BL38" s="21">
        <v>13636129599.999998</v>
      </c>
      <c r="BM38" s="83">
        <f t="shared" si="32"/>
        <v>38484.91662997708</v>
      </c>
      <c r="BN38" s="83">
        <f t="shared" si="35"/>
        <v>363.86114172918616</v>
      </c>
      <c r="BO38" s="91">
        <f t="shared" si="36"/>
        <v>2.0258558977698327</v>
      </c>
      <c r="BP38" s="89">
        <f t="shared" si="37"/>
        <v>1.6563498321525714</v>
      </c>
      <c r="BQ38" s="83"/>
      <c r="BR38" s="31">
        <v>20122974.800636135</v>
      </c>
      <c r="BS38" s="31">
        <f t="shared" si="14"/>
        <v>469060.45081695914</v>
      </c>
      <c r="BT38" s="10">
        <f t="shared" si="12"/>
        <v>503.99415935672943</v>
      </c>
      <c r="BU38" s="30">
        <f t="shared" si="16"/>
        <v>2.3866006662498478</v>
      </c>
      <c r="BV38" s="30">
        <f t="shared" si="13"/>
        <v>0.51861735605851322</v>
      </c>
      <c r="BW38" s="30">
        <f t="shared" si="15"/>
        <v>1.8679833101913346</v>
      </c>
      <c r="BX38" s="10">
        <v>34626.979999999996</v>
      </c>
      <c r="BY38" s="72"/>
      <c r="BZ38" s="26"/>
      <c r="CA38" s="27"/>
      <c r="CB38" s="27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78"/>
      <c r="CR38" s="10">
        <v>729.0625</v>
      </c>
      <c r="CS38" s="33">
        <v>2.31</v>
      </c>
      <c r="CT38" s="30">
        <f t="shared" si="30"/>
        <v>167.9</v>
      </c>
      <c r="CU38" s="30">
        <f t="shared" si="26"/>
        <v>363.29021875000001</v>
      </c>
      <c r="CV38" s="30">
        <f t="shared" si="23"/>
        <v>365.77228124999999</v>
      </c>
      <c r="CW38" s="30">
        <f t="shared" si="24"/>
        <v>434.22424061941632</v>
      </c>
      <c r="CX38" s="30">
        <f t="shared" si="25"/>
        <v>294.83825938058368</v>
      </c>
      <c r="CY38" s="33">
        <f t="shared" si="17"/>
        <v>-0.85000000000000009</v>
      </c>
      <c r="CZ38" s="33">
        <f t="shared" si="27"/>
        <v>8.6632510479739153</v>
      </c>
      <c r="DA38" s="33">
        <f t="shared" si="31"/>
        <v>6.3532510479739148</v>
      </c>
      <c r="DB38" s="33">
        <f t="shared" si="28"/>
        <v>0.84404037368196327</v>
      </c>
      <c r="DC38" s="33"/>
      <c r="DD38" s="33">
        <v>10.62</v>
      </c>
      <c r="DE38" s="30">
        <v>15.64</v>
      </c>
      <c r="DF38" s="30">
        <f t="shared" si="29"/>
        <v>12.663251047973915</v>
      </c>
      <c r="DG38" s="30">
        <f t="shared" si="43"/>
        <v>368.24</v>
      </c>
      <c r="DH38" s="30">
        <f t="shared" si="6"/>
        <v>418.24</v>
      </c>
      <c r="DI38" s="30">
        <f t="shared" si="7"/>
        <v>318.24</v>
      </c>
      <c r="DJ38" s="30">
        <f t="shared" si="8"/>
        <v>468.24</v>
      </c>
      <c r="DK38" s="30">
        <f t="shared" si="9"/>
        <v>268.24</v>
      </c>
      <c r="DL38" s="30">
        <f t="shared" si="44"/>
        <v>340.6</v>
      </c>
    </row>
    <row r="39" spans="1:116" ht="16" x14ac:dyDescent="0.4">
      <c r="A39" s="18">
        <v>2000</v>
      </c>
      <c r="B39" s="12">
        <v>40264000</v>
      </c>
      <c r="C39" s="8">
        <v>15786797</v>
      </c>
      <c r="D39" s="126">
        <v>32954866</v>
      </c>
      <c r="E39" s="10">
        <f t="shared" si="38"/>
        <v>607184.5</v>
      </c>
      <c r="F39" s="10">
        <f t="shared" si="39"/>
        <v>303592.25</v>
      </c>
      <c r="G39" s="10">
        <f t="shared" si="41"/>
        <v>455388.375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>
        <v>612852</v>
      </c>
      <c r="T39" s="31">
        <f t="shared" si="45"/>
        <v>408568</v>
      </c>
      <c r="U39" s="34">
        <v>42325628</v>
      </c>
      <c r="V39" s="34">
        <f t="shared" si="40"/>
        <v>69063.375823200375</v>
      </c>
      <c r="W39" s="22"/>
      <c r="X39" s="22"/>
      <c r="Y39" s="33"/>
      <c r="Z39" s="36">
        <f t="shared" si="42"/>
        <v>8.2702221753810292</v>
      </c>
      <c r="AA39" s="33"/>
      <c r="AB39" s="33"/>
      <c r="AC39" s="33"/>
      <c r="AD39" s="33"/>
      <c r="AE39" s="42">
        <v>4.773083333333334</v>
      </c>
      <c r="AF39" s="112">
        <v>0.9213583333333335</v>
      </c>
      <c r="AG39" s="114">
        <f t="shared" si="19"/>
        <v>81218.75</v>
      </c>
      <c r="AH39" s="114">
        <f t="shared" si="20"/>
        <v>74831.572135416674</v>
      </c>
      <c r="AI39" s="112">
        <v>4.9103279999999998</v>
      </c>
      <c r="AJ39" s="111">
        <f t="shared" si="21"/>
        <v>4.2765611929800684</v>
      </c>
      <c r="AK39" s="105"/>
      <c r="AL39" s="105"/>
      <c r="AM39" s="119">
        <v>301.12833333333333</v>
      </c>
      <c r="AN39" s="119">
        <f t="shared" si="22"/>
        <v>269.71473956286633</v>
      </c>
      <c r="AO39" s="133">
        <v>410675000000</v>
      </c>
      <c r="AP39" s="34">
        <f t="shared" si="46"/>
        <v>12461.740854901367</v>
      </c>
      <c r="AQ39" s="119">
        <f>AQ38*(1+(CS39/100))</f>
        <v>11928.569784302468</v>
      </c>
      <c r="AR39" s="119">
        <f>AR38*(1+(CZ39/100))</f>
        <v>12847.936800491583</v>
      </c>
      <c r="AS39" s="119">
        <f t="shared" si="47"/>
        <v>11386.013161080913</v>
      </c>
      <c r="AT39" s="119">
        <f>AS39*$AT$38/$AS$38</f>
        <v>98.725611078735284</v>
      </c>
      <c r="AU39" s="37">
        <f t="shared" si="48"/>
        <v>5.5420327406372634</v>
      </c>
      <c r="AV39" s="34">
        <f t="shared" si="49"/>
        <v>13812.675164640075</v>
      </c>
      <c r="AW39" s="34">
        <f t="shared" si="50"/>
        <v>9.7803958584145221</v>
      </c>
      <c r="AX39" s="10">
        <v>424</v>
      </c>
      <c r="AY39" s="22"/>
      <c r="AZ39" s="22"/>
      <c r="BA39" s="22">
        <v>143902</v>
      </c>
      <c r="BB39" s="22">
        <v>89889</v>
      </c>
      <c r="BC39" s="22">
        <v>51570</v>
      </c>
      <c r="BD39" s="22">
        <v>2443</v>
      </c>
      <c r="BE39" s="22">
        <v>165400</v>
      </c>
      <c r="BF39" s="87">
        <v>146.04556760124009</v>
      </c>
      <c r="BG39" s="22">
        <v>8895954999.9999981</v>
      </c>
      <c r="BH39" s="71">
        <f t="shared" si="33"/>
        <v>53784.492140266011</v>
      </c>
      <c r="BI39" s="71">
        <f t="shared" si="34"/>
        <v>368.27199225325427</v>
      </c>
      <c r="BJ39" s="22">
        <v>365833</v>
      </c>
      <c r="BK39" s="87">
        <v>105.29489313462319</v>
      </c>
      <c r="BL39" s="22">
        <v>14670248899.999998</v>
      </c>
      <c r="BM39" s="83">
        <f t="shared" si="32"/>
        <v>40100.944693343677</v>
      </c>
      <c r="BN39" s="83">
        <f t="shared" si="35"/>
        <v>380.84415587062915</v>
      </c>
      <c r="BO39" s="91">
        <f t="shared" si="36"/>
        <v>2.16838871257568</v>
      </c>
      <c r="BP39" s="89">
        <f t="shared" si="37"/>
        <v>4.0789621460018139</v>
      </c>
      <c r="BQ39" s="83"/>
      <c r="BR39" s="31">
        <v>20643668.369846933</v>
      </c>
      <c r="BS39" s="31">
        <f t="shared" si="14"/>
        <v>520693.56921079755</v>
      </c>
      <c r="BT39" s="10">
        <f t="shared" si="12"/>
        <v>512.70783751855083</v>
      </c>
      <c r="BU39" s="30">
        <f t="shared" si="16"/>
        <v>2.5875576268889233</v>
      </c>
      <c r="BV39" s="30">
        <f t="shared" si="13"/>
        <v>0.84404037368196327</v>
      </c>
      <c r="BW39" s="30">
        <f t="shared" si="15"/>
        <v>1.74351725320696</v>
      </c>
      <c r="BX39" s="10">
        <v>38438.639999999999</v>
      </c>
      <c r="BY39" s="73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30"/>
      <c r="CL39" s="30"/>
      <c r="CM39" s="30"/>
      <c r="CN39" s="30"/>
      <c r="CO39" s="30"/>
      <c r="CP39" s="30"/>
      <c r="CQ39" s="78"/>
      <c r="CR39" s="10">
        <v>812.1875</v>
      </c>
      <c r="CS39" s="33">
        <v>3.4299999999999997</v>
      </c>
      <c r="CT39" s="30">
        <f t="shared" si="30"/>
        <v>171.33</v>
      </c>
      <c r="CU39" s="30">
        <f t="shared" si="26"/>
        <v>391.14825000000002</v>
      </c>
      <c r="CV39" s="30">
        <f t="shared" si="23"/>
        <v>421.03924999999998</v>
      </c>
      <c r="CW39" s="30">
        <f t="shared" si="24"/>
        <v>474.04861962294984</v>
      </c>
      <c r="CX39" s="30">
        <f t="shared" si="25"/>
        <v>338.13888037705016</v>
      </c>
      <c r="CY39" s="33">
        <f t="shared" si="17"/>
        <v>1.6181666666666676</v>
      </c>
      <c r="CZ39" s="33">
        <f t="shared" si="27"/>
        <v>11.401628804114878</v>
      </c>
      <c r="DA39" s="33">
        <f t="shared" si="31"/>
        <v>7.9716288041148786</v>
      </c>
      <c r="DB39" s="33">
        <f t="shared" si="28"/>
        <v>0.52652493542618117</v>
      </c>
      <c r="DC39" s="33"/>
      <c r="DD39" s="33">
        <v>4.62</v>
      </c>
      <c r="DE39" s="30">
        <v>13.87</v>
      </c>
      <c r="DF39" s="30">
        <f>CZ39+4</f>
        <v>15.401628804114878</v>
      </c>
      <c r="DG39" s="30">
        <f t="shared" si="43"/>
        <v>372.36</v>
      </c>
      <c r="DH39" s="30">
        <f t="shared" si="6"/>
        <v>422.36</v>
      </c>
      <c r="DI39" s="30">
        <f t="shared" si="7"/>
        <v>322.36</v>
      </c>
      <c r="DJ39" s="30">
        <f t="shared" si="8"/>
        <v>472.36</v>
      </c>
      <c r="DK39" s="30">
        <f t="shared" si="9"/>
        <v>272.36</v>
      </c>
      <c r="DL39" s="30">
        <f t="shared" si="44"/>
        <v>344.27499999999998</v>
      </c>
    </row>
    <row r="40" spans="1:116" ht="16" x14ac:dyDescent="0.4">
      <c r="A40" s="18">
        <v>2001</v>
      </c>
      <c r="B40" s="12">
        <v>40476000</v>
      </c>
      <c r="C40" s="8">
        <v>16049762</v>
      </c>
      <c r="D40" s="126">
        <v>33263433</v>
      </c>
      <c r="E40" s="10">
        <f t="shared" si="38"/>
        <v>617298.5384615385</v>
      </c>
      <c r="F40" s="10">
        <f t="shared" si="39"/>
        <v>308649.26923076925</v>
      </c>
      <c r="G40" s="10">
        <f t="shared" si="41"/>
        <v>462973.90384615387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>
        <v>615703</v>
      </c>
      <c r="T40" s="31">
        <f t="shared" si="45"/>
        <v>410468.66666666669</v>
      </c>
      <c r="U40" s="34">
        <v>46574600</v>
      </c>
      <c r="V40" s="34">
        <f t="shared" si="40"/>
        <v>75644.588381086331</v>
      </c>
      <c r="W40" s="22"/>
      <c r="X40" s="22"/>
      <c r="Y40" s="33"/>
      <c r="Z40" s="36">
        <f t="shared" si="42"/>
        <v>5.9392367038842799</v>
      </c>
      <c r="AA40" s="33"/>
      <c r="AB40" s="33"/>
      <c r="AC40" s="33"/>
      <c r="AD40" s="33"/>
      <c r="AE40" s="42">
        <v>4.0766666666666671</v>
      </c>
      <c r="AF40" s="112">
        <v>0.89243333333333341</v>
      </c>
      <c r="AG40" s="114">
        <f t="shared" si="19"/>
        <v>89250</v>
      </c>
      <c r="AH40" s="114">
        <f t="shared" si="20"/>
        <v>79649.675000000003</v>
      </c>
      <c r="AI40" s="112">
        <v>5.4467369999999997</v>
      </c>
      <c r="AJ40" s="111">
        <f t="shared" si="21"/>
        <v>10.924097127523851</v>
      </c>
      <c r="AK40" s="105"/>
      <c r="AL40" s="105"/>
      <c r="AM40" s="119">
        <v>304.32833333333332</v>
      </c>
      <c r="AN40" s="119">
        <f t="shared" si="22"/>
        <v>293.2687831673029</v>
      </c>
      <c r="AO40" s="133">
        <v>442044000000</v>
      </c>
      <c r="AP40" s="34">
        <f t="shared" si="46"/>
        <v>13289.187559203525</v>
      </c>
      <c r="AQ40" s="119">
        <f t="shared" ref="AQ40:AQ60" si="51">AQ39*(1+(CS40/100))</f>
        <v>12356.805439558928</v>
      </c>
      <c r="AR40" s="119">
        <f t="shared" ref="AR40:AR61" si="52">AR39*(1+(CZ40/100))</f>
        <v>14118.394575684481</v>
      </c>
      <c r="AS40" s="119">
        <f t="shared" si="47"/>
        <v>11429.813182925955</v>
      </c>
      <c r="AT40" s="119">
        <f t="shared" ref="AT40:AT61" si="53">AS40*$AT$38/$AS$38</f>
        <v>99.105391416307214</v>
      </c>
      <c r="AU40" s="37">
        <f t="shared" si="48"/>
        <v>5.692190590590176</v>
      </c>
      <c r="AV40" s="34">
        <f t="shared" si="49"/>
        <v>15128.917676217266</v>
      </c>
      <c r="AW40" s="34">
        <f t="shared" si="50"/>
        <v>12.160355131721076</v>
      </c>
      <c r="AX40" s="10">
        <v>433</v>
      </c>
      <c r="AY40" s="22"/>
      <c r="AZ40" s="22"/>
      <c r="BA40" s="22">
        <v>140616</v>
      </c>
      <c r="BB40" s="22">
        <v>82802</v>
      </c>
      <c r="BC40" s="22">
        <v>55042</v>
      </c>
      <c r="BD40" s="22">
        <v>2772</v>
      </c>
      <c r="BE40" s="22">
        <v>144937</v>
      </c>
      <c r="BF40" s="87">
        <v>150.93763104378507</v>
      </c>
      <c r="BG40" s="22">
        <v>8477207199.999999</v>
      </c>
      <c r="BH40" s="71">
        <f t="shared" si="33"/>
        <v>58488.910354153864</v>
      </c>
      <c r="BI40" s="71">
        <f t="shared" si="34"/>
        <v>387.50383154739575</v>
      </c>
      <c r="BJ40" s="22">
        <v>354248</v>
      </c>
      <c r="BK40" s="87">
        <v>104.14976299989212</v>
      </c>
      <c r="BL40" s="22">
        <v>14853672299.999998</v>
      </c>
      <c r="BM40" s="83">
        <f t="shared" si="32"/>
        <v>41930.15147580226</v>
      </c>
      <c r="BN40" s="83">
        <f t="shared" si="35"/>
        <v>402.59478531742502</v>
      </c>
      <c r="BO40" s="91">
        <f t="shared" si="36"/>
        <v>2.2592116501646764</v>
      </c>
      <c r="BP40" s="89">
        <f t="shared" si="37"/>
        <v>5.4707763066615911</v>
      </c>
      <c r="BQ40" s="83"/>
      <c r="BR40" s="22">
        <v>21033759</v>
      </c>
      <c r="BS40" s="34">
        <f t="shared" si="14"/>
        <v>390090.63015306741</v>
      </c>
      <c r="BT40" s="10">
        <f t="shared" si="12"/>
        <v>519.66002075303891</v>
      </c>
      <c r="BU40" s="30">
        <f t="shared" si="16"/>
        <v>1.8896381358404852</v>
      </c>
      <c r="BV40" s="30">
        <f t="shared" si="13"/>
        <v>0.52652493542618117</v>
      </c>
      <c r="BW40" s="30">
        <f t="shared" si="15"/>
        <v>1.3631132004143041</v>
      </c>
      <c r="BX40" s="10">
        <v>42150.579999999994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30"/>
      <c r="CL40" s="30"/>
      <c r="CM40" s="30"/>
      <c r="CN40" s="30"/>
      <c r="CO40" s="30"/>
      <c r="CP40" s="30"/>
      <c r="CQ40" s="78"/>
      <c r="CR40" s="10">
        <v>892.5</v>
      </c>
      <c r="CS40" s="33">
        <v>3.5900000000000003</v>
      </c>
      <c r="CT40" s="30">
        <f t="shared" si="30"/>
        <v>174.92000000000002</v>
      </c>
      <c r="CU40" s="30">
        <f t="shared" si="26"/>
        <v>423.18900000000002</v>
      </c>
      <c r="CV40" s="30">
        <f t="shared" si="23"/>
        <v>469.31099999999998</v>
      </c>
      <c r="CW40" s="30">
        <f t="shared" si="24"/>
        <v>510.23324948547906</v>
      </c>
      <c r="CX40" s="30">
        <f t="shared" si="25"/>
        <v>382.26675051452094</v>
      </c>
      <c r="CY40" s="33">
        <f t="shared" si="17"/>
        <v>-0.69641666666666691</v>
      </c>
      <c r="CZ40" s="33">
        <f t="shared" si="27"/>
        <v>9.8884186225471353</v>
      </c>
      <c r="DA40" s="33">
        <f t="shared" si="31"/>
        <v>6.2984186225471355</v>
      </c>
      <c r="DB40" s="33">
        <f t="shared" si="28"/>
        <v>1.3810653226603478</v>
      </c>
      <c r="DC40" s="33"/>
      <c r="DD40" s="33">
        <v>0.47</v>
      </c>
      <c r="DE40" s="30">
        <v>10.55</v>
      </c>
      <c r="DF40" s="30">
        <f t="shared" si="29"/>
        <v>13.888418622547135</v>
      </c>
      <c r="DG40" s="30">
        <f t="shared" si="43"/>
        <v>376.36</v>
      </c>
      <c r="DH40" s="30">
        <f t="shared" si="6"/>
        <v>426.36</v>
      </c>
      <c r="DI40" s="30">
        <f t="shared" si="7"/>
        <v>326.36</v>
      </c>
      <c r="DJ40" s="30">
        <f t="shared" si="8"/>
        <v>476.36</v>
      </c>
      <c r="DK40" s="30">
        <f t="shared" si="9"/>
        <v>276.36</v>
      </c>
      <c r="DL40" s="30">
        <f t="shared" si="44"/>
        <v>347.9</v>
      </c>
    </row>
    <row r="41" spans="1:116" ht="16" x14ac:dyDescent="0.4">
      <c r="A41" s="18">
        <v>2002</v>
      </c>
      <c r="B41" s="12">
        <v>41035000</v>
      </c>
      <c r="C41" s="8">
        <v>16417960</v>
      </c>
      <c r="D41" s="126">
        <v>33673695.183534995</v>
      </c>
      <c r="E41" s="10">
        <f t="shared" si="38"/>
        <v>631460</v>
      </c>
      <c r="F41" s="10">
        <f t="shared" si="39"/>
        <v>315730</v>
      </c>
      <c r="G41" s="10">
        <f t="shared" si="41"/>
        <v>473595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>
        <v>690230</v>
      </c>
      <c r="T41" s="31">
        <f t="shared" si="45"/>
        <v>460153.33333333331</v>
      </c>
      <c r="U41" s="34">
        <v>58985647</v>
      </c>
      <c r="V41" s="34">
        <f>U41*1000/S41</f>
        <v>85457.958941222489</v>
      </c>
      <c r="W41" s="22"/>
      <c r="X41" s="22"/>
      <c r="Y41" s="33"/>
      <c r="Z41" s="36">
        <f t="shared" si="42"/>
        <v>9.9029975007568751</v>
      </c>
      <c r="AA41" s="33"/>
      <c r="AB41" s="33"/>
      <c r="AC41" s="33"/>
      <c r="AD41" s="33"/>
      <c r="AE41" s="33">
        <v>3.4943</v>
      </c>
      <c r="AF41" s="112">
        <v>0.95054166666666662</v>
      </c>
      <c r="AG41" s="114">
        <f t="shared" si="19"/>
        <v>100875</v>
      </c>
      <c r="AH41" s="114">
        <f t="shared" si="20"/>
        <v>95885.890625</v>
      </c>
      <c r="AI41" s="112">
        <v>5.8078250000000002</v>
      </c>
      <c r="AJ41" s="111">
        <f t="shared" si="21"/>
        <v>6.629437037257361</v>
      </c>
      <c r="AK41" s="105"/>
      <c r="AL41" s="105"/>
      <c r="AM41" s="119">
        <v>329.95666666666665</v>
      </c>
      <c r="AN41" s="119">
        <f t="shared" si="22"/>
        <v>305.7219634901553</v>
      </c>
      <c r="AO41" s="133">
        <v>467021000000</v>
      </c>
      <c r="AP41" s="34">
        <f t="shared" si="46"/>
        <v>13869.015486852581</v>
      </c>
      <c r="AQ41" s="119">
        <f t="shared" si="51"/>
        <v>12736.159366553386</v>
      </c>
      <c r="AR41" s="119">
        <f t="shared" si="52"/>
        <v>15957.345129660191</v>
      </c>
      <c r="AS41" s="119">
        <f t="shared" si="47"/>
        <v>12488.461808598011</v>
      </c>
      <c r="AT41" s="119">
        <f t="shared" si="53"/>
        <v>108.28470036391913</v>
      </c>
      <c r="AU41" s="37">
        <f t="shared" si="48"/>
        <v>6.1617898561173376</v>
      </c>
      <c r="AV41" s="34">
        <f t="shared" si="49"/>
        <v>17091.591788244499</v>
      </c>
      <c r="AW41" s="34">
        <f t="shared" si="50"/>
        <v>18.854746481883495</v>
      </c>
      <c r="AX41" s="10">
        <v>442</v>
      </c>
      <c r="AY41" s="22"/>
      <c r="AZ41" s="22"/>
      <c r="BA41" s="22">
        <v>136544</v>
      </c>
      <c r="BB41" s="22">
        <v>82569</v>
      </c>
      <c r="BC41" s="22">
        <v>50771</v>
      </c>
      <c r="BD41" s="22">
        <v>3204</v>
      </c>
      <c r="BE41" s="22">
        <v>145368</v>
      </c>
      <c r="BF41" s="87">
        <v>154.80400172476095</v>
      </c>
      <c r="BG41" s="22">
        <v>9087576399.9999981</v>
      </c>
      <c r="BH41" s="71">
        <f t="shared" si="33"/>
        <v>62514.283748830538</v>
      </c>
      <c r="BI41" s="71">
        <f t="shared" si="34"/>
        <v>403.82860295808075</v>
      </c>
      <c r="BJ41" s="22">
        <v>375292</v>
      </c>
      <c r="BK41" s="87">
        <v>103.38487494805224</v>
      </c>
      <c r="BL41" s="22">
        <v>16380710700</v>
      </c>
      <c r="BM41" s="83">
        <f t="shared" si="32"/>
        <v>43647.908028948128</v>
      </c>
      <c r="BN41" s="83">
        <f t="shared" si="35"/>
        <v>422.1885266184234</v>
      </c>
      <c r="BO41" s="91">
        <f t="shared" si="36"/>
        <v>2.4424432953761679</v>
      </c>
      <c r="BP41" s="89">
        <f t="shared" si="37"/>
        <v>4.5460796848640541</v>
      </c>
      <c r="BQ41" s="83"/>
      <c r="BR41" s="10">
        <v>21487307</v>
      </c>
      <c r="BS41" s="34">
        <f t="shared" si="14"/>
        <v>453548</v>
      </c>
      <c r="BT41" s="10">
        <f t="shared" si="12"/>
        <v>523.63365419763613</v>
      </c>
      <c r="BU41" s="30">
        <f t="shared" si="16"/>
        <v>2.1562859971914605</v>
      </c>
      <c r="BV41" s="30">
        <f t="shared" si="13"/>
        <v>1.3810653226603478</v>
      </c>
      <c r="BW41" s="30">
        <f>BU41-BV41</f>
        <v>0.77522067453111276</v>
      </c>
      <c r="BX41" s="10">
        <v>44119.82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30"/>
      <c r="CL41" s="30"/>
      <c r="CM41" s="30"/>
      <c r="CN41" s="30"/>
      <c r="CO41" s="30"/>
      <c r="CP41" s="30"/>
      <c r="CQ41" s="78"/>
      <c r="CR41" s="10">
        <v>1008.75</v>
      </c>
      <c r="CS41" s="33">
        <v>3.0700000000000003</v>
      </c>
      <c r="CT41" s="30">
        <f t="shared" si="30"/>
        <v>177.99</v>
      </c>
      <c r="CU41" s="30">
        <f t="shared" si="26"/>
        <v>454.15762500000005</v>
      </c>
      <c r="CV41" s="30">
        <f t="shared" si="23"/>
        <v>554.59237499999995</v>
      </c>
      <c r="CW41" s="30">
        <f t="shared" si="24"/>
        <v>566.74532277094215</v>
      </c>
      <c r="CX41" s="30">
        <f t="shared" si="25"/>
        <v>442.00467722905785</v>
      </c>
      <c r="CY41" s="33">
        <f t="shared" si="17"/>
        <v>-0.58236666666666714</v>
      </c>
      <c r="CZ41" s="33">
        <f t="shared" si="27"/>
        <v>13.025210084033617</v>
      </c>
      <c r="DA41" s="33">
        <f t="shared" si="31"/>
        <v>9.9552100840336166</v>
      </c>
      <c r="DB41" s="33">
        <f t="shared" si="28"/>
        <v>1.9300597051297643</v>
      </c>
      <c r="DC41" s="33"/>
      <c r="DD41" s="33">
        <v>12.1</v>
      </c>
      <c r="DE41" s="30">
        <v>11.45</v>
      </c>
      <c r="DF41" s="30">
        <f t="shared" si="29"/>
        <v>17.025210084033617</v>
      </c>
      <c r="DG41" s="30">
        <f t="shared" si="43"/>
        <v>380.24</v>
      </c>
      <c r="DH41" s="30">
        <f t="shared" si="6"/>
        <v>430.24</v>
      </c>
      <c r="DI41" s="30">
        <f t="shared" si="7"/>
        <v>330.24</v>
      </c>
      <c r="DJ41" s="30">
        <f t="shared" si="8"/>
        <v>480.24</v>
      </c>
      <c r="DK41" s="30">
        <f t="shared" si="9"/>
        <v>280.24</v>
      </c>
      <c r="DL41" s="30">
        <f t="shared" si="44"/>
        <v>351.47500000000002</v>
      </c>
    </row>
    <row r="42" spans="1:116" ht="16" x14ac:dyDescent="0.4">
      <c r="A42" s="18">
        <v>2003</v>
      </c>
      <c r="B42" s="12">
        <v>41827000</v>
      </c>
      <c r="C42" s="10">
        <v>16984055</v>
      </c>
      <c r="D42" s="127">
        <v>34394751.119045995</v>
      </c>
      <c r="E42" s="10">
        <f>C42/26</f>
        <v>653232.88461538462</v>
      </c>
      <c r="F42" s="10">
        <f t="shared" ref="F42:F105" si="54">E42/2</f>
        <v>326616.44230769231</v>
      </c>
      <c r="G42" s="10">
        <f t="shared" si="41"/>
        <v>489924.6634615385</v>
      </c>
      <c r="H42" s="10">
        <v>718536</v>
      </c>
      <c r="I42" s="10">
        <f t="shared" ref="I42:I105" si="55">H42/2</f>
        <v>359268</v>
      </c>
      <c r="J42" s="10">
        <v>643990</v>
      </c>
      <c r="K42" s="10">
        <f t="shared" ref="K42:K105" si="56">J42/2</f>
        <v>321995</v>
      </c>
      <c r="L42" s="10">
        <v>519454</v>
      </c>
      <c r="M42" s="10">
        <f t="shared" ref="M42:M105" si="57">L42/2</f>
        <v>259727</v>
      </c>
      <c r="N42" s="31">
        <f>(N43*((S42*100/S43)/100))</f>
        <v>619193.03303763864</v>
      </c>
      <c r="O42" s="31">
        <f t="shared" ref="O42:O44" si="58">O43*0.97</f>
        <v>116138.90786547</v>
      </c>
      <c r="P42" s="35"/>
      <c r="Q42" s="35"/>
      <c r="R42" s="35"/>
      <c r="S42" s="22">
        <v>989439</v>
      </c>
      <c r="T42" s="31">
        <f>S42/2</f>
        <v>494719.5</v>
      </c>
      <c r="U42" s="10">
        <v>96175561</v>
      </c>
      <c r="V42" s="10">
        <f>U42*1000/S42</f>
        <v>97202.112510220439</v>
      </c>
      <c r="W42" s="22"/>
      <c r="X42" s="22"/>
      <c r="Y42" s="33">
        <f t="shared" ref="Y42:Y60" si="59">S42/N42</f>
        <v>1.5979491809622079</v>
      </c>
      <c r="Z42" s="36">
        <f t="shared" si="42"/>
        <v>10.70260948248896</v>
      </c>
      <c r="AA42" s="36">
        <v>4.3099999999999996</v>
      </c>
      <c r="AB42" s="36">
        <v>2.9</v>
      </c>
      <c r="AC42" s="36">
        <v>97.1</v>
      </c>
      <c r="AD42" s="94">
        <v>23</v>
      </c>
      <c r="AE42" s="36">
        <v>2.3030454545454542</v>
      </c>
      <c r="AF42" s="113">
        <v>1.1417416666666667</v>
      </c>
      <c r="AG42" s="114">
        <f t="shared" si="19"/>
        <v>116656.25</v>
      </c>
      <c r="AH42" s="114">
        <f t="shared" si="20"/>
        <v>133191.30130208333</v>
      </c>
      <c r="AI42" s="112">
        <v>6.1809219999999998</v>
      </c>
      <c r="AJ42" s="111">
        <f t="shared" si="21"/>
        <v>6.4240399805434691</v>
      </c>
      <c r="AK42" s="106"/>
      <c r="AL42" s="106"/>
      <c r="AM42" s="118">
        <v>322.245</v>
      </c>
      <c r="AN42" s="119">
        <f t="shared" si="22"/>
        <v>362.01104749491844</v>
      </c>
      <c r="AO42" s="133">
        <v>500247000000</v>
      </c>
      <c r="AP42" s="34">
        <f t="shared" si="46"/>
        <v>14544.283174736789</v>
      </c>
      <c r="AQ42" s="119">
        <f t="shared" si="51"/>
        <v>13123.338611296609</v>
      </c>
      <c r="AR42" s="119">
        <f t="shared" si="52"/>
        <v>18453.769940836894</v>
      </c>
      <c r="AS42" s="119">
        <f t="shared" si="47"/>
        <v>14021.530488749522</v>
      </c>
      <c r="AT42" s="119">
        <f t="shared" si="53"/>
        <v>121.5776010599218</v>
      </c>
      <c r="AU42" s="37">
        <f t="shared" si="48"/>
        <v>6.6831834434480148</v>
      </c>
      <c r="AV42" s="34">
        <f t="shared" si="49"/>
        <v>19440.422502044086</v>
      </c>
      <c r="AW42" s="34">
        <f t="shared" si="50"/>
        <v>25.185354519905559</v>
      </c>
      <c r="AX42" s="10">
        <v>451</v>
      </c>
      <c r="AY42" s="22"/>
      <c r="AZ42" s="22"/>
      <c r="BA42" s="22">
        <v>152785</v>
      </c>
      <c r="BB42" s="22">
        <v>94476</v>
      </c>
      <c r="BC42" s="22">
        <v>54505</v>
      </c>
      <c r="BD42" s="22">
        <v>3804</v>
      </c>
      <c r="BE42" s="22">
        <v>183411</v>
      </c>
      <c r="BF42" s="87">
        <v>151.72747698417351</v>
      </c>
      <c r="BG42" s="22">
        <v>11731425600</v>
      </c>
      <c r="BH42" s="71">
        <f t="shared" si="33"/>
        <v>63962.497342035102</v>
      </c>
      <c r="BI42" s="71">
        <f t="shared" si="34"/>
        <v>421.56172773311812</v>
      </c>
      <c r="BJ42" s="22">
        <v>448260</v>
      </c>
      <c r="BK42" s="87">
        <v>101.16659898776612</v>
      </c>
      <c r="BL42" s="22">
        <v>20112128800</v>
      </c>
      <c r="BM42" s="83">
        <f t="shared" si="32"/>
        <v>44867.105697586223</v>
      </c>
      <c r="BN42" s="83">
        <f t="shared" si="35"/>
        <v>443.49722286316961</v>
      </c>
      <c r="BO42" s="91">
        <f t="shared" si="36"/>
        <v>2.6970705272649567</v>
      </c>
      <c r="BP42" s="89">
        <f t="shared" si="37"/>
        <v>4.7265146958635285</v>
      </c>
      <c r="BQ42" s="83"/>
      <c r="BR42" s="10">
        <v>21926409</v>
      </c>
      <c r="BS42" s="34">
        <f t="shared" si="14"/>
        <v>439102</v>
      </c>
      <c r="BT42" s="10">
        <f t="shared" ref="BT42:BT61" si="60">(BR42/(B42))*1000</f>
        <v>524.21663040619694</v>
      </c>
      <c r="BU42" s="30">
        <f t="shared" si="16"/>
        <v>2.0435413334951704</v>
      </c>
      <c r="BV42" s="30">
        <f t="shared" ref="BV42:BV61" si="61">(B42*100/B41)-100</f>
        <v>1.9300597051297643</v>
      </c>
      <c r="BW42" s="30">
        <f t="shared" si="15"/>
        <v>0.1134816283654061</v>
      </c>
      <c r="BX42" s="10">
        <v>46223.24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30"/>
      <c r="CL42" s="30"/>
      <c r="CM42" s="30"/>
      <c r="CN42" s="30"/>
      <c r="CO42" s="30"/>
      <c r="CP42" s="30"/>
      <c r="CQ42" s="78"/>
      <c r="CR42" s="10">
        <v>1166.5625</v>
      </c>
      <c r="CS42" s="33">
        <v>3.04</v>
      </c>
      <c r="CT42" s="30">
        <f t="shared" si="30"/>
        <v>181.03</v>
      </c>
      <c r="CU42" s="30">
        <f t="shared" si="26"/>
        <v>489.62112500000006</v>
      </c>
      <c r="CV42" s="30">
        <f t="shared" si="23"/>
        <v>676.94137499999988</v>
      </c>
      <c r="CW42" s="30">
        <f t="shared" si="24"/>
        <v>644.40286140418721</v>
      </c>
      <c r="CX42" s="30">
        <f t="shared" si="25"/>
        <v>522.15963859581279</v>
      </c>
      <c r="CY42" s="33">
        <f t="shared" si="17"/>
        <v>-1.1912545454545458</v>
      </c>
      <c r="CZ42" s="33">
        <f t="shared" si="27"/>
        <v>15.644361833952914</v>
      </c>
      <c r="DA42" s="33">
        <f t="shared" si="31"/>
        <v>12.604361833952915</v>
      </c>
      <c r="DB42" s="33">
        <f t="shared" si="28"/>
        <v>1.7213761445955953</v>
      </c>
      <c r="DC42" s="33"/>
      <c r="DD42" s="33">
        <v>14.45</v>
      </c>
      <c r="DE42" s="30">
        <v>11.49</v>
      </c>
      <c r="DF42" s="30">
        <f t="shared" si="29"/>
        <v>19.644361833952914</v>
      </c>
      <c r="DG42" s="30">
        <f t="shared" si="43"/>
        <v>384</v>
      </c>
      <c r="DH42" s="30">
        <f t="shared" si="6"/>
        <v>434</v>
      </c>
      <c r="DI42" s="30">
        <f t="shared" si="7"/>
        <v>334</v>
      </c>
      <c r="DJ42" s="30">
        <f t="shared" si="8"/>
        <v>484</v>
      </c>
      <c r="DK42" s="30">
        <f t="shared" si="9"/>
        <v>284</v>
      </c>
      <c r="DL42" s="30">
        <f t="shared" si="44"/>
        <v>355</v>
      </c>
    </row>
    <row r="43" spans="1:116" ht="16" x14ac:dyDescent="0.4">
      <c r="A43" s="18">
        <v>2004</v>
      </c>
      <c r="B43" s="12">
        <v>42547000</v>
      </c>
      <c r="C43" s="10">
        <v>17468532</v>
      </c>
      <c r="D43" s="127">
        <v>35021216.215986006</v>
      </c>
      <c r="E43" s="10">
        <f t="shared" ref="E43:E105" si="62">C43/26</f>
        <v>671866.61538461538</v>
      </c>
      <c r="F43" s="10">
        <f t="shared" si="54"/>
        <v>335933.30769230769</v>
      </c>
      <c r="G43" s="10">
        <f t="shared" si="41"/>
        <v>503899.9615384615</v>
      </c>
      <c r="H43" s="10">
        <v>736869</v>
      </c>
      <c r="I43" s="10">
        <f t="shared" si="55"/>
        <v>368434.5</v>
      </c>
      <c r="J43" s="10">
        <v>674206</v>
      </c>
      <c r="K43" s="10">
        <f t="shared" si="56"/>
        <v>337103</v>
      </c>
      <c r="L43" s="10">
        <v>523975</v>
      </c>
      <c r="M43" s="10">
        <f t="shared" si="57"/>
        <v>261987.5</v>
      </c>
      <c r="N43" s="31">
        <f>(N44*((S43*100/S44)/100))</f>
        <v>693178.48977713939</v>
      </c>
      <c r="O43" s="31">
        <f t="shared" si="58"/>
        <v>119730.832851</v>
      </c>
      <c r="P43" s="35"/>
      <c r="Q43" s="35"/>
      <c r="R43" s="35"/>
      <c r="S43" s="22">
        <v>1107664</v>
      </c>
      <c r="T43" s="31">
        <f>S43/2</f>
        <v>553832</v>
      </c>
      <c r="U43" s="10">
        <v>122147451</v>
      </c>
      <c r="V43" s="10">
        <f>U43*1000/S43</f>
        <v>110274.82250935302</v>
      </c>
      <c r="W43" s="22"/>
      <c r="X43" s="22"/>
      <c r="Y43" s="33">
        <f t="shared" si="59"/>
        <v>1.5979491809622077</v>
      </c>
      <c r="Z43" s="36">
        <f t="shared" si="42"/>
        <v>10.408997826830181</v>
      </c>
      <c r="AA43" s="36">
        <v>3.61</v>
      </c>
      <c r="AB43" s="36">
        <v>2.9</v>
      </c>
      <c r="AC43" s="36">
        <v>97.1</v>
      </c>
      <c r="AD43" s="94">
        <v>24</v>
      </c>
      <c r="AE43" s="36">
        <v>2.2788909090909093</v>
      </c>
      <c r="AF43" s="113">
        <v>1.2492083333333335</v>
      </c>
      <c r="AG43" s="114">
        <f t="shared" si="19"/>
        <v>135531.25</v>
      </c>
      <c r="AH43" s="114">
        <f t="shared" si="20"/>
        <v>169306.76692708334</v>
      </c>
      <c r="AI43" s="112">
        <v>6.5681760000000002</v>
      </c>
      <c r="AJ43" s="111">
        <f t="shared" si="21"/>
        <v>6.2653112270305229</v>
      </c>
      <c r="AK43" s="106"/>
      <c r="AL43" s="106"/>
      <c r="AM43" s="118">
        <v>328.96749999999997</v>
      </c>
      <c r="AN43" s="119">
        <f t="shared" si="22"/>
        <v>411.98978622508304</v>
      </c>
      <c r="AO43" s="133">
        <v>527648000000</v>
      </c>
      <c r="AP43" s="34">
        <f t="shared" si="46"/>
        <v>15066.52415341151</v>
      </c>
      <c r="AQ43" s="119">
        <f t="shared" si="51"/>
        <v>13522.288105080026</v>
      </c>
      <c r="AR43" s="119">
        <f t="shared" si="52"/>
        <v>21439.592883313584</v>
      </c>
      <c r="AS43" s="119">
        <f t="shared" si="47"/>
        <v>16361.820967660185</v>
      </c>
      <c r="AT43" s="119">
        <f t="shared" si="53"/>
        <v>141.86974409221278</v>
      </c>
      <c r="AU43" s="37">
        <f t="shared" si="48"/>
        <v>7.3191946189117223</v>
      </c>
      <c r="AV43" s="34">
        <f t="shared" si="49"/>
        <v>22054.964501870603</v>
      </c>
      <c r="AW43" s="34">
        <f t="shared" si="50"/>
        <v>31.68647289305936</v>
      </c>
      <c r="AX43" s="10">
        <v>460</v>
      </c>
      <c r="AY43" s="10">
        <v>227</v>
      </c>
      <c r="AZ43" s="22">
        <v>86898</v>
      </c>
      <c r="BA43" s="22">
        <v>166437</v>
      </c>
      <c r="BB43" s="22">
        <v>102121</v>
      </c>
      <c r="BC43" s="22">
        <v>59594</v>
      </c>
      <c r="BD43" s="22">
        <v>4722</v>
      </c>
      <c r="BE43" s="22">
        <v>186728</v>
      </c>
      <c r="BF43" s="87">
        <v>158.916614292796</v>
      </c>
      <c r="BG43" s="22">
        <v>13060840900</v>
      </c>
      <c r="BH43" s="71">
        <f t="shared" si="33"/>
        <v>69945.808341544922</v>
      </c>
      <c r="BI43" s="71">
        <f t="shared" si="34"/>
        <v>440.14157143238168</v>
      </c>
      <c r="BJ43" s="22">
        <v>498250</v>
      </c>
      <c r="BK43" s="87">
        <v>102.45204288804246</v>
      </c>
      <c r="BL43" s="22">
        <v>23448077600</v>
      </c>
      <c r="BM43" s="83">
        <f t="shared" si="32"/>
        <v>47060.868238835923</v>
      </c>
      <c r="BN43" s="83">
        <f t="shared" si="35"/>
        <v>459.34533770364249</v>
      </c>
      <c r="BO43" s="91">
        <f t="shared" si="36"/>
        <v>3.0135235682347075</v>
      </c>
      <c r="BP43" s="89">
        <f t="shared" si="37"/>
        <v>3.9798395838809739</v>
      </c>
      <c r="BQ43" s="83"/>
      <c r="BR43" s="10">
        <v>22417950</v>
      </c>
      <c r="BS43" s="34">
        <f t="shared" ref="BS43:BS58" si="63">BR43-BR42</f>
        <v>491541</v>
      </c>
      <c r="BT43" s="10">
        <f t="shared" si="60"/>
        <v>526.89848873011022</v>
      </c>
      <c r="BU43" s="30">
        <f t="shared" ref="BU43:BU59" si="64">(BR43*100/BR42)-100</f>
        <v>2.241776115733316</v>
      </c>
      <c r="BV43" s="30">
        <f t="shared" si="61"/>
        <v>1.7213761445955953</v>
      </c>
      <c r="BW43" s="30">
        <f t="shared" ref="BW43:BW59" si="65">BU43-BV43</f>
        <v>0.52039997113772074</v>
      </c>
      <c r="BX43" s="10">
        <v>48003.11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30"/>
      <c r="CL43" s="30"/>
      <c r="CM43" s="30"/>
      <c r="CN43" s="30"/>
      <c r="CO43" s="30"/>
      <c r="CP43" s="30"/>
      <c r="CQ43" s="78"/>
      <c r="CR43" s="10">
        <v>1355.3125</v>
      </c>
      <c r="CS43" s="33">
        <v>3.04</v>
      </c>
      <c r="CT43" s="30">
        <f t="shared" si="30"/>
        <v>184.07</v>
      </c>
      <c r="CU43" s="30">
        <f t="shared" si="26"/>
        <v>530.82262500000002</v>
      </c>
      <c r="CV43" s="30">
        <f t="shared" si="23"/>
        <v>824.48987499999998</v>
      </c>
      <c r="CW43" s="30">
        <f t="shared" si="24"/>
        <v>736.30276525234967</v>
      </c>
      <c r="CX43" s="30">
        <f t="shared" si="25"/>
        <v>619.00973474765033</v>
      </c>
      <c r="CY43" s="33">
        <f t="shared" si="17"/>
        <v>-2.4154545454544873E-2</v>
      </c>
      <c r="CZ43" s="33">
        <f t="shared" si="27"/>
        <v>16.180016072863651</v>
      </c>
      <c r="DA43" s="33">
        <f t="shared" si="31"/>
        <v>13.140016072863652</v>
      </c>
      <c r="DB43" s="33">
        <f t="shared" si="28"/>
        <v>1.7604061390932344</v>
      </c>
      <c r="DC43" s="33">
        <f t="shared" ref="DC43:DC61" si="66">(N43*100/N42)-100</f>
        <v>11.94869011631846</v>
      </c>
      <c r="DD43" s="33">
        <f t="shared" ref="DD43:DD61" si="67">(S43*100/S42)-100</f>
        <v>11.948690116318446</v>
      </c>
      <c r="DE43" s="37">
        <v>10.97</v>
      </c>
      <c r="DF43" s="30">
        <f t="shared" si="29"/>
        <v>20.180016072863651</v>
      </c>
      <c r="DG43" s="30">
        <f t="shared" si="43"/>
        <v>387.64</v>
      </c>
      <c r="DH43" s="30">
        <f t="shared" si="6"/>
        <v>437.64</v>
      </c>
      <c r="DI43" s="30">
        <f t="shared" si="7"/>
        <v>337.64</v>
      </c>
      <c r="DJ43" s="30">
        <f t="shared" si="8"/>
        <v>487.64</v>
      </c>
      <c r="DK43" s="30">
        <f t="shared" si="9"/>
        <v>287.64</v>
      </c>
      <c r="DL43" s="30">
        <f t="shared" si="44"/>
        <v>358.47500000000002</v>
      </c>
    </row>
    <row r="44" spans="1:116" ht="16" x14ac:dyDescent="0.4">
      <c r="A44" s="18">
        <v>2005</v>
      </c>
      <c r="B44" s="12">
        <v>43296000</v>
      </c>
      <c r="C44" s="10">
        <v>17953604</v>
      </c>
      <c r="D44" s="127">
        <v>35680161.197958998</v>
      </c>
      <c r="E44" s="10">
        <f t="shared" si="62"/>
        <v>690523.23076923075</v>
      </c>
      <c r="F44" s="10">
        <f t="shared" si="54"/>
        <v>345261.61538461538</v>
      </c>
      <c r="G44" s="10">
        <f t="shared" si="41"/>
        <v>517892.42307692306</v>
      </c>
      <c r="H44" s="10">
        <v>771189</v>
      </c>
      <c r="I44" s="10">
        <f t="shared" si="55"/>
        <v>385594.5</v>
      </c>
      <c r="J44" s="10">
        <v>716343</v>
      </c>
      <c r="K44" s="10">
        <f t="shared" si="56"/>
        <v>358171.5</v>
      </c>
      <c r="L44" s="10">
        <v>526025</v>
      </c>
      <c r="M44" s="10">
        <f t="shared" si="57"/>
        <v>263012.5</v>
      </c>
      <c r="N44" s="31">
        <f>(N45*((S44*100/S45)/100))</f>
        <v>787016.8932673604</v>
      </c>
      <c r="O44" s="31">
        <f t="shared" si="58"/>
        <v>123433.8483</v>
      </c>
      <c r="P44" s="35"/>
      <c r="Q44" s="35"/>
      <c r="R44" s="35"/>
      <c r="S44" s="22">
        <v>1257613</v>
      </c>
      <c r="T44" s="31">
        <f>S44/2</f>
        <v>628806.5</v>
      </c>
      <c r="U44" s="10">
        <v>156946440</v>
      </c>
      <c r="V44" s="10">
        <f t="shared" ref="V44:V61" si="68">U44*1000/S44</f>
        <v>124797.08781636322</v>
      </c>
      <c r="W44" s="22"/>
      <c r="X44" s="22"/>
      <c r="Y44" s="33">
        <f t="shared" si="59"/>
        <v>1.5979491809622079</v>
      </c>
      <c r="Z44" s="36">
        <f t="shared" si="42"/>
        <v>9.7991577248092945</v>
      </c>
      <c r="AA44" s="36">
        <v>3.35</v>
      </c>
      <c r="AB44" s="36">
        <v>3</v>
      </c>
      <c r="AC44" s="36">
        <v>97</v>
      </c>
      <c r="AD44" s="94">
        <v>25</v>
      </c>
      <c r="AE44" s="36">
        <v>2.3361545454545456</v>
      </c>
      <c r="AF44" s="113">
        <v>1.2386916666666667</v>
      </c>
      <c r="AG44" s="114">
        <f t="shared" si="19"/>
        <v>153312.5</v>
      </c>
      <c r="AH44" s="114">
        <f t="shared" si="20"/>
        <v>189906.91614583335</v>
      </c>
      <c r="AI44" s="112">
        <v>7.1306700000000003</v>
      </c>
      <c r="AJ44" s="111">
        <f t="shared" si="21"/>
        <v>8.5639300773913476</v>
      </c>
      <c r="AK44" s="106"/>
      <c r="AL44" s="106"/>
      <c r="AM44" s="118">
        <v>363.45</v>
      </c>
      <c r="AN44" s="119">
        <f t="shared" si="22"/>
        <v>421.82556059980743</v>
      </c>
      <c r="AO44" s="133">
        <v>563143000000</v>
      </c>
      <c r="AP44" s="34">
        <f t="shared" si="46"/>
        <v>15783.084523514241</v>
      </c>
      <c r="AQ44" s="119">
        <f t="shared" si="51"/>
        <v>13977.989214221223</v>
      </c>
      <c r="AR44" s="119">
        <f t="shared" si="52"/>
        <v>24252.396284421589</v>
      </c>
      <c r="AS44" s="119">
        <f t="shared" si="47"/>
        <v>18197.204737703927</v>
      </c>
      <c r="AT44" s="119">
        <f t="shared" si="53"/>
        <v>157.78395231400964</v>
      </c>
      <c r="AU44" s="37">
        <f t="shared" si="48"/>
        <v>7.9070151104136688</v>
      </c>
      <c r="AV44" s="34">
        <f t="shared" si="49"/>
        <v>24959.417563272644</v>
      </c>
      <c r="AW44" s="34">
        <f t="shared" si="50"/>
        <v>36.765012711118786</v>
      </c>
      <c r="AX44" s="10">
        <v>490</v>
      </c>
      <c r="AY44" s="10">
        <v>261</v>
      </c>
      <c r="AZ44" s="22">
        <v>75538</v>
      </c>
      <c r="BA44" s="22">
        <v>179257</v>
      </c>
      <c r="BB44" s="22">
        <v>107577</v>
      </c>
      <c r="BC44" s="22">
        <v>65368</v>
      </c>
      <c r="BD44" s="22">
        <v>6312</v>
      </c>
      <c r="BE44" s="22">
        <v>193468</v>
      </c>
      <c r="BF44" s="87">
        <v>159.93556798953756</v>
      </c>
      <c r="BG44" s="22">
        <v>14401052899.999998</v>
      </c>
      <c r="BH44" s="71">
        <f t="shared" si="33"/>
        <v>74436.355883143449</v>
      </c>
      <c r="BI44" s="71">
        <f t="shared" si="34"/>
        <v>465.41464677833778</v>
      </c>
      <c r="BJ44" s="22">
        <v>534859</v>
      </c>
      <c r="BK44" s="87">
        <v>99.557311813912108</v>
      </c>
      <c r="BL44" s="22">
        <v>25597812799.999992</v>
      </c>
      <c r="BM44" s="83">
        <f t="shared" si="32"/>
        <v>47858.992369951695</v>
      </c>
      <c r="BN44" s="83">
        <f t="shared" si="35"/>
        <v>480.718005518344</v>
      </c>
      <c r="BO44" s="91">
        <f t="shared" si="36"/>
        <v>3.240824627029685</v>
      </c>
      <c r="BP44" s="89">
        <f t="shared" si="37"/>
        <v>5.1858167903145755</v>
      </c>
      <c r="BQ44" s="84">
        <v>82.324366364621127</v>
      </c>
      <c r="BR44" s="10">
        <v>22927382</v>
      </c>
      <c r="BS44" s="34">
        <f t="shared" si="63"/>
        <v>509432</v>
      </c>
      <c r="BT44" s="10">
        <f t="shared" si="60"/>
        <v>529.54965816703623</v>
      </c>
      <c r="BU44" s="30">
        <f t="shared" si="64"/>
        <v>2.2724290133575948</v>
      </c>
      <c r="BV44" s="30">
        <f t="shared" si="61"/>
        <v>1.7604061390932344</v>
      </c>
      <c r="BW44" s="30">
        <f t="shared" si="65"/>
        <v>0.51202287426436044</v>
      </c>
      <c r="BX44" s="10">
        <v>51509.639999999992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30"/>
      <c r="CL44" s="30"/>
      <c r="CM44" s="30"/>
      <c r="CN44" s="30"/>
      <c r="CO44" s="30"/>
      <c r="CP44" s="30"/>
      <c r="CQ44" s="30"/>
      <c r="CR44" s="10">
        <v>1533.125</v>
      </c>
      <c r="CS44" s="33">
        <v>3.37</v>
      </c>
      <c r="CT44" s="30">
        <f t="shared" si="30"/>
        <v>187.44</v>
      </c>
      <c r="CU44" s="30">
        <f t="shared" si="26"/>
        <v>582.48893750000002</v>
      </c>
      <c r="CV44" s="30">
        <f t="shared" si="23"/>
        <v>950.63606249999998</v>
      </c>
      <c r="CW44" s="30">
        <f t="shared" si="24"/>
        <v>817.92840375586854</v>
      </c>
      <c r="CX44" s="30">
        <f t="shared" si="25"/>
        <v>715.19659624413146</v>
      </c>
      <c r="CY44" s="33">
        <f t="shared" si="17"/>
        <v>5.7263636363636294E-2</v>
      </c>
      <c r="CZ44" s="33">
        <f t="shared" si="27"/>
        <v>13.119667973253399</v>
      </c>
      <c r="DA44" s="33">
        <f t="shared" si="31"/>
        <v>9.7496679732533984</v>
      </c>
      <c r="DB44" s="33">
        <f t="shared" si="28"/>
        <v>1.6468033998521747</v>
      </c>
      <c r="DC44" s="33">
        <f t="shared" si="66"/>
        <v>13.537408455993855</v>
      </c>
      <c r="DD44" s="33">
        <f t="shared" si="67"/>
        <v>13.537408455993869</v>
      </c>
      <c r="DE44" s="37">
        <v>9.15</v>
      </c>
      <c r="DF44" s="30">
        <f t="shared" si="29"/>
        <v>17.119667973253399</v>
      </c>
      <c r="DG44" s="30">
        <f t="shared" si="43"/>
        <v>391.16</v>
      </c>
      <c r="DH44" s="30">
        <f t="shared" si="6"/>
        <v>441.16</v>
      </c>
      <c r="DI44" s="30">
        <f t="shared" si="7"/>
        <v>341.16</v>
      </c>
      <c r="DJ44" s="30">
        <f t="shared" si="8"/>
        <v>491.16</v>
      </c>
      <c r="DK44" s="30">
        <f t="shared" si="9"/>
        <v>291.16000000000003</v>
      </c>
      <c r="DL44" s="30">
        <f t="shared" si="44"/>
        <v>361.9</v>
      </c>
    </row>
    <row r="45" spans="1:116" ht="16" x14ac:dyDescent="0.4">
      <c r="A45" s="18">
        <v>2006</v>
      </c>
      <c r="B45" s="12">
        <v>44009000</v>
      </c>
      <c r="C45" s="10">
        <v>18401584</v>
      </c>
      <c r="D45" s="127">
        <v>36280525.295378998</v>
      </c>
      <c r="E45" s="10">
        <f t="shared" si="62"/>
        <v>707753.23076923075</v>
      </c>
      <c r="F45" s="10">
        <f t="shared" si="54"/>
        <v>353876.61538461538</v>
      </c>
      <c r="G45" s="10">
        <f t="shared" si="41"/>
        <v>530814.92307692301</v>
      </c>
      <c r="H45" s="10">
        <v>792819</v>
      </c>
      <c r="I45" s="10">
        <f t="shared" si="55"/>
        <v>396409.5</v>
      </c>
      <c r="J45" s="10">
        <v>714420</v>
      </c>
      <c r="K45" s="10">
        <f t="shared" si="56"/>
        <v>357210</v>
      </c>
      <c r="L45" s="10">
        <v>554330</v>
      </c>
      <c r="M45" s="10">
        <f t="shared" si="57"/>
        <v>277165</v>
      </c>
      <c r="N45" s="31">
        <f>(N46*((S45*100/S46)/100))</f>
        <v>839933.46971886128</v>
      </c>
      <c r="O45" s="31">
        <f>O46*0.97</f>
        <v>127251.39</v>
      </c>
      <c r="P45" s="35"/>
      <c r="Q45" s="35"/>
      <c r="R45" s="35"/>
      <c r="S45" s="22">
        <v>1342171</v>
      </c>
      <c r="T45" s="22">
        <v>650836</v>
      </c>
      <c r="U45" s="10">
        <v>188339112</v>
      </c>
      <c r="V45" s="10">
        <f t="shared" si="68"/>
        <v>140324.22992301278</v>
      </c>
      <c r="W45" s="22">
        <v>44335</v>
      </c>
      <c r="X45" s="22">
        <v>17733</v>
      </c>
      <c r="Y45" s="33">
        <f t="shared" si="59"/>
        <v>1.5979491809622082</v>
      </c>
      <c r="Z45" s="36">
        <f t="shared" si="42"/>
        <v>8.9219106073192158</v>
      </c>
      <c r="AA45" s="36">
        <v>3.76</v>
      </c>
      <c r="AB45" s="36">
        <v>2.2999999999999998</v>
      </c>
      <c r="AC45" s="36">
        <v>97.7</v>
      </c>
      <c r="AD45" s="94">
        <v>27</v>
      </c>
      <c r="AE45" s="36">
        <v>3.491090909090909</v>
      </c>
      <c r="AF45" s="113">
        <v>1.2656499999999999</v>
      </c>
      <c r="AG45" s="114">
        <f t="shared" si="19"/>
        <v>169937.5</v>
      </c>
      <c r="AH45" s="114">
        <f t="shared" si="20"/>
        <v>215081.39687499998</v>
      </c>
      <c r="AI45" s="112">
        <v>7.8016750000000004</v>
      </c>
      <c r="AJ45" s="111">
        <f t="shared" si="21"/>
        <v>9.4101255562240311</v>
      </c>
      <c r="AK45" s="106"/>
      <c r="AL45" s="106"/>
      <c r="AM45" s="118">
        <v>484.25500000000005</v>
      </c>
      <c r="AN45" s="119">
        <f t="shared" si="22"/>
        <v>350.92564867683348</v>
      </c>
      <c r="AO45" s="133">
        <v>594787000000</v>
      </c>
      <c r="AP45" s="34">
        <f t="shared" si="46"/>
        <v>16394.112134747873</v>
      </c>
      <c r="AQ45" s="119">
        <f t="shared" si="51"/>
        <v>14470.014434561808</v>
      </c>
      <c r="AR45" s="119">
        <f t="shared" si="52"/>
        <v>26882.29331322556</v>
      </c>
      <c r="AS45" s="119">
        <f t="shared" si="47"/>
        <v>20097.07176438122</v>
      </c>
      <c r="AT45" s="119">
        <f t="shared" si="53"/>
        <v>174.25728064443726</v>
      </c>
      <c r="AU45" s="37">
        <f t="shared" si="48"/>
        <v>8.5594284563657972</v>
      </c>
      <c r="AV45" s="34">
        <f t="shared" si="49"/>
        <v>28064.845984602558</v>
      </c>
      <c r="AW45" s="34">
        <f t="shared" si="50"/>
        <v>41.584884721112289</v>
      </c>
      <c r="AX45" s="10">
        <v>513</v>
      </c>
      <c r="AY45" s="10">
        <v>269</v>
      </c>
      <c r="AZ45" s="22">
        <v>58479</v>
      </c>
      <c r="BA45" s="22">
        <v>181702</v>
      </c>
      <c r="BB45" s="22">
        <v>113041</v>
      </c>
      <c r="BC45" s="22">
        <v>60548</v>
      </c>
      <c r="BD45" s="22">
        <v>8113</v>
      </c>
      <c r="BE45" s="22">
        <v>165988</v>
      </c>
      <c r="BF45" s="87">
        <v>166.23240380210862</v>
      </c>
      <c r="BG45" s="22">
        <v>14037838399.999998</v>
      </c>
      <c r="BH45" s="71">
        <f t="shared" si="33"/>
        <v>84571.405161818911</v>
      </c>
      <c r="BI45" s="71">
        <f t="shared" si="34"/>
        <v>508.75402886248912</v>
      </c>
      <c r="BJ45" s="22">
        <v>699162</v>
      </c>
      <c r="BK45" s="87">
        <v>99.186175801707236</v>
      </c>
      <c r="BL45" s="22">
        <v>35593133099.999992</v>
      </c>
      <c r="BM45" s="83">
        <f t="shared" si="32"/>
        <v>50908.277480755525</v>
      </c>
      <c r="BN45" s="83">
        <f t="shared" si="35"/>
        <v>513.2598073196333</v>
      </c>
      <c r="BO45" s="91">
        <f t="shared" si="36"/>
        <v>3.3255420618340281</v>
      </c>
      <c r="BP45" s="89">
        <f t="shared" si="37"/>
        <v>8.0201421757555522</v>
      </c>
      <c r="BQ45" s="84">
        <v>85.808933073493904</v>
      </c>
      <c r="BR45" s="10">
        <v>23493772</v>
      </c>
      <c r="BS45" s="34">
        <f t="shared" si="63"/>
        <v>566390</v>
      </c>
      <c r="BT45" s="10">
        <f t="shared" si="60"/>
        <v>533.84016905632939</v>
      </c>
      <c r="BU45" s="30">
        <f t="shared" si="64"/>
        <v>2.4703649112663584</v>
      </c>
      <c r="BV45" s="30">
        <f t="shared" si="61"/>
        <v>1.6468033998521747</v>
      </c>
      <c r="BW45" s="30">
        <f t="shared" si="65"/>
        <v>0.82356151141418366</v>
      </c>
      <c r="BX45" s="10">
        <v>55896.39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30">
        <v>9.15</v>
      </c>
      <c r="CL45" s="30"/>
      <c r="CM45" s="30"/>
      <c r="CN45" s="30"/>
      <c r="CO45" s="30"/>
      <c r="CP45" s="30"/>
      <c r="CQ45" s="30"/>
      <c r="CR45" s="10">
        <v>1699.375</v>
      </c>
      <c r="CS45" s="33">
        <v>3.52</v>
      </c>
      <c r="CT45" s="30">
        <f t="shared" si="30"/>
        <v>190.96</v>
      </c>
      <c r="CU45" s="30">
        <f t="shared" si="26"/>
        <v>642.3069375</v>
      </c>
      <c r="CV45" s="30">
        <f t="shared" si="23"/>
        <v>1057.0680625</v>
      </c>
      <c r="CW45" s="30">
        <f t="shared" si="24"/>
        <v>889.91149979053205</v>
      </c>
      <c r="CX45" s="30">
        <f t="shared" si="25"/>
        <v>809.46350020946795</v>
      </c>
      <c r="CY45" s="33">
        <f t="shared" si="17"/>
        <v>1.1549363636363634</v>
      </c>
      <c r="CZ45" s="33">
        <f t="shared" si="27"/>
        <v>10.843864655523845</v>
      </c>
      <c r="DA45" s="33">
        <f t="shared" si="31"/>
        <v>7.3238646555238454</v>
      </c>
      <c r="DB45" s="33">
        <f t="shared" si="28"/>
        <v>1.7610034311163645</v>
      </c>
      <c r="DC45" s="33">
        <f t="shared" si="66"/>
        <v>6.7236900381913927</v>
      </c>
      <c r="DD45" s="33">
        <f t="shared" si="67"/>
        <v>6.7236900381913927</v>
      </c>
      <c r="DE45" s="38">
        <v>8.4499999999999993</v>
      </c>
      <c r="DF45" s="30">
        <f t="shared" si="29"/>
        <v>14.843864655523845</v>
      </c>
      <c r="DG45" s="30">
        <f t="shared" si="43"/>
        <v>394.56</v>
      </c>
      <c r="DH45" s="30">
        <f t="shared" si="6"/>
        <v>444.56</v>
      </c>
      <c r="DI45" s="30">
        <f t="shared" si="7"/>
        <v>344.56</v>
      </c>
      <c r="DJ45" s="30">
        <f t="shared" si="8"/>
        <v>494.56</v>
      </c>
      <c r="DK45" s="30">
        <f t="shared" si="9"/>
        <v>294.56</v>
      </c>
      <c r="DL45" s="30">
        <f t="shared" si="44"/>
        <v>365.27499999999998</v>
      </c>
    </row>
    <row r="46" spans="1:116" ht="16" x14ac:dyDescent="0.4">
      <c r="A46" s="18">
        <v>2007</v>
      </c>
      <c r="B46" s="12">
        <v>44784000</v>
      </c>
      <c r="C46" s="10">
        <v>18807430</v>
      </c>
      <c r="D46" s="127">
        <v>36913702.206436016</v>
      </c>
      <c r="E46" s="10">
        <f>C46/26</f>
        <v>723362.69230769225</v>
      </c>
      <c r="F46" s="10">
        <f t="shared" si="54"/>
        <v>361681.34615384613</v>
      </c>
      <c r="G46" s="10">
        <f t="shared" si="41"/>
        <v>542522.01923076925</v>
      </c>
      <c r="H46" s="10">
        <v>813429</v>
      </c>
      <c r="I46" s="10">
        <f t="shared" si="55"/>
        <v>406714.5</v>
      </c>
      <c r="J46" s="10">
        <v>742545</v>
      </c>
      <c r="K46" s="10">
        <f t="shared" si="56"/>
        <v>371272.5</v>
      </c>
      <c r="L46" s="10">
        <v>574966</v>
      </c>
      <c r="M46" s="10">
        <f t="shared" si="57"/>
        <v>287483</v>
      </c>
      <c r="N46" s="22">
        <v>775300</v>
      </c>
      <c r="O46" s="22">
        <v>131187</v>
      </c>
      <c r="P46" s="22">
        <v>19567</v>
      </c>
      <c r="Q46" s="22">
        <v>11231</v>
      </c>
      <c r="R46" s="22">
        <v>244856</v>
      </c>
      <c r="S46" s="22">
        <v>1238890</v>
      </c>
      <c r="T46" s="22">
        <v>640693</v>
      </c>
      <c r="U46" s="10">
        <v>184427159</v>
      </c>
      <c r="V46" s="10">
        <f t="shared" si="68"/>
        <v>148864.83787906918</v>
      </c>
      <c r="W46" s="22">
        <v>55159</v>
      </c>
      <c r="X46" s="22">
        <v>23084</v>
      </c>
      <c r="Y46" s="33">
        <f t="shared" si="59"/>
        <v>1.5979491809622082</v>
      </c>
      <c r="Z46" s="36">
        <f t="shared" si="42"/>
        <v>3.2963387319083131</v>
      </c>
      <c r="AA46" s="36">
        <v>4.6399999999999997</v>
      </c>
      <c r="AB46" s="36">
        <v>1.9</v>
      </c>
      <c r="AC46" s="36">
        <v>98.1</v>
      </c>
      <c r="AD46" s="94">
        <v>28</v>
      </c>
      <c r="AE46" s="36">
        <v>4.4847090909090914</v>
      </c>
      <c r="AF46" s="113">
        <v>1.3795583333333337</v>
      </c>
      <c r="AG46" s="114">
        <f t="shared" si="19"/>
        <v>179035.58333333334</v>
      </c>
      <c r="AH46" s="114">
        <f t="shared" si="20"/>
        <v>246990.03095069452</v>
      </c>
      <c r="AI46" s="112">
        <v>8.6914390000000008</v>
      </c>
      <c r="AJ46" s="111">
        <f t="shared" si="21"/>
        <v>11.404781665475682</v>
      </c>
      <c r="AK46" s="106"/>
      <c r="AL46" s="106"/>
      <c r="AM46" s="118">
        <v>509.94750000000005</v>
      </c>
      <c r="AN46" s="119">
        <f t="shared" si="22"/>
        <v>351.08630463593471</v>
      </c>
      <c r="AO46" s="133">
        <v>625389000000</v>
      </c>
      <c r="AP46" s="34">
        <f t="shared" si="46"/>
        <v>16941.920279428421</v>
      </c>
      <c r="AQ46" s="119">
        <f t="shared" si="51"/>
        <v>14873.727837286084</v>
      </c>
      <c r="AR46" s="119">
        <f t="shared" si="52"/>
        <v>28321.512701264313</v>
      </c>
      <c r="AS46" s="119">
        <f t="shared" si="47"/>
        <v>20844.388265783149</v>
      </c>
      <c r="AT46" s="119">
        <f t="shared" si="53"/>
        <v>180.73709734817305</v>
      </c>
      <c r="AU46" s="37">
        <f t="shared" si="48"/>
        <v>8.7867747825390854</v>
      </c>
      <c r="AV46" s="34">
        <f t="shared" si="49"/>
        <v>29772.967575813836</v>
      </c>
      <c r="AW46" s="34">
        <f t="shared" si="50"/>
        <v>43.096299566754496</v>
      </c>
      <c r="AX46" s="10">
        <v>540</v>
      </c>
      <c r="AY46" s="10">
        <v>279</v>
      </c>
      <c r="AZ46" s="22">
        <v>46437</v>
      </c>
      <c r="BA46" s="22">
        <v>151730</v>
      </c>
      <c r="BB46" s="22">
        <v>86357</v>
      </c>
      <c r="BC46" s="22">
        <v>58193</v>
      </c>
      <c r="BD46" s="22">
        <v>7180</v>
      </c>
      <c r="BE46" s="22">
        <v>101152</v>
      </c>
      <c r="BF46" s="87">
        <v>167.6163251138089</v>
      </c>
      <c r="BG46" s="22">
        <v>9562511100</v>
      </c>
      <c r="BH46" s="71">
        <f t="shared" si="33"/>
        <v>94536.055639038284</v>
      </c>
      <c r="BI46" s="71">
        <f t="shared" si="34"/>
        <v>564.00267441044161</v>
      </c>
      <c r="BJ46" s="22">
        <v>550093</v>
      </c>
      <c r="BK46" s="87">
        <v>98.261833760132035</v>
      </c>
      <c r="BL46" s="22">
        <v>29850899100</v>
      </c>
      <c r="BM46" s="83">
        <f t="shared" si="32"/>
        <v>54265.186250324943</v>
      </c>
      <c r="BN46" s="83">
        <f t="shared" si="35"/>
        <v>552.25090122775691</v>
      </c>
      <c r="BO46" s="91">
        <f t="shared" si="36"/>
        <v>3.2077941292322016</v>
      </c>
      <c r="BP46" s="89">
        <f t="shared" si="37"/>
        <v>9.2209846990058395</v>
      </c>
      <c r="BQ46" s="84">
        <v>90.622368038503751</v>
      </c>
      <c r="BR46" s="10">
        <v>24034966</v>
      </c>
      <c r="BS46" s="34">
        <f t="shared" si="63"/>
        <v>541194</v>
      </c>
      <c r="BT46" s="10">
        <f t="shared" si="60"/>
        <v>536.68645051804219</v>
      </c>
      <c r="BU46" s="30">
        <f t="shared" si="64"/>
        <v>2.3035636848778438</v>
      </c>
      <c r="BV46" s="30">
        <f t="shared" si="61"/>
        <v>1.7610034311163645</v>
      </c>
      <c r="BW46" s="30">
        <f t="shared" si="65"/>
        <v>0.54256025376147932</v>
      </c>
      <c r="BX46" s="10">
        <v>55997.069999999992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30">
        <v>8.4499999999999993</v>
      </c>
      <c r="CL46" s="30">
        <f t="shared" ref="CL46:CL59" si="69">((CK46*100)/CK45)-100</f>
        <v>-7.6502732240437297</v>
      </c>
      <c r="CM46" s="30">
        <f>CQ46/(CK46*12)</f>
        <v>19.970414201183434</v>
      </c>
      <c r="CN46" s="30">
        <f>100/CM46</f>
        <v>5.0074074074074071</v>
      </c>
      <c r="CO46" s="30">
        <f>CQ46/((CK46*12)*0.75)</f>
        <v>26.627218934911244</v>
      </c>
      <c r="CP46" s="30">
        <f>100/CO46</f>
        <v>3.7555555555555551</v>
      </c>
      <c r="CQ46" s="10">
        <f>AVERAGE(Quarterly!D2:D5)</f>
        <v>2025</v>
      </c>
      <c r="CR46" s="10">
        <v>1790.3558333333333</v>
      </c>
      <c r="CS46" s="33">
        <v>2.79</v>
      </c>
      <c r="CT46" s="30">
        <f t="shared" si="30"/>
        <v>193.75</v>
      </c>
      <c r="CU46" s="30">
        <f t="shared" si="26"/>
        <v>692.25786525000001</v>
      </c>
      <c r="CV46" s="30">
        <f t="shared" si="23"/>
        <v>1098.0979680833334</v>
      </c>
      <c r="CW46" s="30">
        <f t="shared" si="24"/>
        <v>924.05462365591404</v>
      </c>
      <c r="CX46" s="30">
        <f t="shared" si="25"/>
        <v>866.30120967741925</v>
      </c>
      <c r="CY46" s="33">
        <f t="shared" si="17"/>
        <v>0.9936181818181824</v>
      </c>
      <c r="CZ46" s="33">
        <f t="shared" si="27"/>
        <v>5.3537820277062735</v>
      </c>
      <c r="DA46" s="33">
        <f t="shared" si="31"/>
        <v>2.5637820277062735</v>
      </c>
      <c r="DB46" s="33">
        <f t="shared" si="28"/>
        <v>1.9739192568774513</v>
      </c>
      <c r="DC46" s="33">
        <f t="shared" si="66"/>
        <v>-7.6950701512698458</v>
      </c>
      <c r="DD46" s="33">
        <f t="shared" si="67"/>
        <v>-7.6950701512698458</v>
      </c>
      <c r="DE46" s="38">
        <v>8.23</v>
      </c>
      <c r="DF46" s="30">
        <f t="shared" ref="DF46:DF61" si="70">(CP46+CZ46)</f>
        <v>9.1093375832618282</v>
      </c>
      <c r="DG46" s="30">
        <f t="shared" si="43"/>
        <v>397.84000000000003</v>
      </c>
      <c r="DH46" s="30">
        <f t="shared" si="6"/>
        <v>447.84000000000003</v>
      </c>
      <c r="DI46" s="30">
        <f t="shared" si="7"/>
        <v>347.84000000000003</v>
      </c>
      <c r="DJ46" s="30">
        <f t="shared" si="8"/>
        <v>497.84000000000003</v>
      </c>
      <c r="DK46" s="30">
        <f t="shared" si="9"/>
        <v>297.84000000000003</v>
      </c>
      <c r="DL46" s="30">
        <f t="shared" si="44"/>
        <v>368.6</v>
      </c>
    </row>
    <row r="47" spans="1:116" ht="16" x14ac:dyDescent="0.4">
      <c r="A47" s="18">
        <v>2008</v>
      </c>
      <c r="B47" s="12">
        <v>45668000</v>
      </c>
      <c r="C47" s="10">
        <v>19246126</v>
      </c>
      <c r="D47" s="127">
        <v>37631693.419524007</v>
      </c>
      <c r="E47" s="10">
        <f>C47/26</f>
        <v>740235.61538461538</v>
      </c>
      <c r="F47" s="10">
        <f t="shared" si="54"/>
        <v>370117.80769230769</v>
      </c>
      <c r="G47" s="10">
        <f t="shared" si="41"/>
        <v>555176.7115384615</v>
      </c>
      <c r="H47" s="10">
        <v>817295</v>
      </c>
      <c r="I47" s="10">
        <f t="shared" si="55"/>
        <v>408647.5</v>
      </c>
      <c r="J47" s="10">
        <v>760332</v>
      </c>
      <c r="K47" s="10">
        <f t="shared" si="56"/>
        <v>380166</v>
      </c>
      <c r="L47" s="10">
        <v>620629</v>
      </c>
      <c r="M47" s="10">
        <f t="shared" si="57"/>
        <v>310314.5</v>
      </c>
      <c r="N47" s="22">
        <v>552080</v>
      </c>
      <c r="O47" s="22">
        <v>130481</v>
      </c>
      <c r="P47" s="22">
        <v>23507</v>
      </c>
      <c r="Q47" s="22">
        <v>10653</v>
      </c>
      <c r="R47" s="22">
        <v>208499</v>
      </c>
      <c r="S47" s="22">
        <v>836419</v>
      </c>
      <c r="T47" s="22">
        <v>481028</v>
      </c>
      <c r="U47" s="10">
        <v>116809939</v>
      </c>
      <c r="V47" s="10">
        <f t="shared" si="68"/>
        <v>139654.81295857698</v>
      </c>
      <c r="W47" s="22">
        <v>59375</v>
      </c>
      <c r="X47" s="22">
        <v>43992</v>
      </c>
      <c r="Y47" s="33">
        <f t="shared" si="59"/>
        <v>1.5150322417041009</v>
      </c>
      <c r="Z47" s="36">
        <f t="shared" si="42"/>
        <v>-10.266837033990514</v>
      </c>
      <c r="AA47" s="36">
        <v>5.12</v>
      </c>
      <c r="AB47" s="36">
        <v>2.1</v>
      </c>
      <c r="AC47" s="36">
        <v>97.9</v>
      </c>
      <c r="AD47" s="94">
        <v>27</v>
      </c>
      <c r="AE47" s="36">
        <v>4.8421636363636358</v>
      </c>
      <c r="AF47" s="113">
        <v>1.47115</v>
      </c>
      <c r="AG47" s="114">
        <f t="shared" si="19"/>
        <v>176600</v>
      </c>
      <c r="AH47" s="114">
        <f t="shared" si="20"/>
        <v>259805.09</v>
      </c>
      <c r="AI47" s="112">
        <v>9.4237800000000007</v>
      </c>
      <c r="AJ47" s="111">
        <f t="shared" si="21"/>
        <v>8.4260040253403332</v>
      </c>
      <c r="AK47" s="106"/>
      <c r="AL47" s="106"/>
      <c r="AM47" s="118">
        <v>600.01666666666665</v>
      </c>
      <c r="AN47" s="119">
        <f t="shared" si="22"/>
        <v>294.32515763451016</v>
      </c>
      <c r="AO47" s="133">
        <v>659028000000</v>
      </c>
      <c r="AP47" s="34">
        <f t="shared" si="46"/>
        <v>17512.578896013336</v>
      </c>
      <c r="AQ47" s="119">
        <f t="shared" si="51"/>
        <v>15480.575933047356</v>
      </c>
      <c r="AR47" s="119">
        <f t="shared" si="52"/>
        <v>27936.22949093422</v>
      </c>
      <c r="AS47" s="119">
        <f t="shared" si="47"/>
        <v>19924.6359180445</v>
      </c>
      <c r="AT47" s="119">
        <f t="shared" si="53"/>
        <v>172.76212741910444</v>
      </c>
      <c r="AU47" s="37">
        <f t="shared" si="48"/>
        <v>7.9745429721015446</v>
      </c>
      <c r="AV47" s="34">
        <f t="shared" si="49"/>
        <v>27930.962591715397</v>
      </c>
      <c r="AW47" s="34">
        <f t="shared" si="50"/>
        <v>37.300482077879614</v>
      </c>
      <c r="AX47" s="10">
        <v>570</v>
      </c>
      <c r="AY47" s="10">
        <v>254.63333333333335</v>
      </c>
      <c r="AZ47" s="22">
        <v>31479</v>
      </c>
      <c r="BA47" s="22">
        <v>108332</v>
      </c>
      <c r="BB47" s="22">
        <v>50959</v>
      </c>
      <c r="BC47" s="22">
        <v>53623</v>
      </c>
      <c r="BD47" s="22">
        <v>3750</v>
      </c>
      <c r="BE47" s="22">
        <v>53031</v>
      </c>
      <c r="BF47" s="87">
        <v>172.45045712159359</v>
      </c>
      <c r="BG47" s="22">
        <v>5718860600.000001</v>
      </c>
      <c r="BH47" s="71">
        <f t="shared" si="33"/>
        <v>107839.95398917617</v>
      </c>
      <c r="BI47" s="71">
        <f t="shared" si="34"/>
        <v>625.33875403495733</v>
      </c>
      <c r="BJ47" s="22">
        <v>211758</v>
      </c>
      <c r="BK47" s="87">
        <v>97.004441921524517</v>
      </c>
      <c r="BL47" s="22">
        <v>12685046799.999998</v>
      </c>
      <c r="BM47" s="83">
        <f t="shared" si="32"/>
        <v>59903.506833271931</v>
      </c>
      <c r="BN47" s="83">
        <f t="shared" si="35"/>
        <v>617.53364739455105</v>
      </c>
      <c r="BO47" s="91">
        <f t="shared" si="36"/>
        <v>2.8418041915949028</v>
      </c>
      <c r="BP47" s="89">
        <f t="shared" si="37"/>
        <v>11.343195538604917</v>
      </c>
      <c r="BQ47" s="84">
        <v>95.253208100834399</v>
      </c>
      <c r="BR47" s="10">
        <v>24569715</v>
      </c>
      <c r="BS47" s="34">
        <f t="shared" si="63"/>
        <v>534749</v>
      </c>
      <c r="BT47" s="10">
        <f t="shared" si="60"/>
        <v>538.00724796356315</v>
      </c>
      <c r="BU47" s="30">
        <f t="shared" si="64"/>
        <v>2.2248793694985949</v>
      </c>
      <c r="BV47" s="30">
        <f t="shared" si="61"/>
        <v>1.9739192568774513</v>
      </c>
      <c r="BW47" s="30">
        <f t="shared" si="65"/>
        <v>0.25096011262114359</v>
      </c>
      <c r="BX47" s="10">
        <v>42695.54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30">
        <v>8</v>
      </c>
      <c r="CL47" s="30">
        <f t="shared" si="69"/>
        <v>-5.325443786982234</v>
      </c>
      <c r="CM47" s="30">
        <f t="shared" ref="CM47:CM59" si="71">CQ47/(CK47*12)</f>
        <v>20.627604166666668</v>
      </c>
      <c r="CN47" s="30">
        <f t="shared" ref="CN47:CN59" si="72">100/CM47</f>
        <v>4.8478727433404867</v>
      </c>
      <c r="CO47" s="30">
        <f t="shared" ref="CO47:CO60" si="73">CQ47/((CK47*12)*0.75)</f>
        <v>27.503472222222221</v>
      </c>
      <c r="CP47" s="30">
        <f t="shared" ref="CP47:CP59" si="74">100/CO47</f>
        <v>3.6359045575053655</v>
      </c>
      <c r="CQ47" s="10">
        <f>AVERAGE(Quarterly!D6:D9)</f>
        <v>1980.25</v>
      </c>
      <c r="CR47" s="34">
        <v>1766</v>
      </c>
      <c r="CS47" s="33">
        <v>4.08</v>
      </c>
      <c r="CT47" s="30">
        <f t="shared" si="30"/>
        <v>197.83</v>
      </c>
      <c r="CU47" s="30">
        <f t="shared" si="26"/>
        <v>764.31066525000006</v>
      </c>
      <c r="CV47" s="30">
        <f t="shared" si="23"/>
        <v>1001.6893347499999</v>
      </c>
      <c r="CW47" s="30">
        <f t="shared" si="24"/>
        <v>892.68563918515883</v>
      </c>
      <c r="CX47" s="30">
        <f t="shared" si="25"/>
        <v>873.31436081484117</v>
      </c>
      <c r="CY47" s="33">
        <f t="shared" si="17"/>
        <v>0.35745454545454436</v>
      </c>
      <c r="CZ47" s="33">
        <f t="shared" si="27"/>
        <v>-1.3603906486001165</v>
      </c>
      <c r="DA47" s="33">
        <f t="shared" si="31"/>
        <v>-5.4403906486001166</v>
      </c>
      <c r="DB47" s="33">
        <f t="shared" si="28"/>
        <v>1.2503284575632847</v>
      </c>
      <c r="DC47" s="33">
        <f t="shared" si="66"/>
        <v>-28.791435573326453</v>
      </c>
      <c r="DD47" s="33">
        <f t="shared" si="67"/>
        <v>-32.486419294691217</v>
      </c>
      <c r="DE47" s="38">
        <v>11.25</v>
      </c>
      <c r="DF47" s="30">
        <f t="shared" si="70"/>
        <v>2.275513908905249</v>
      </c>
      <c r="DG47" s="30">
        <f t="shared" si="43"/>
        <v>401</v>
      </c>
      <c r="DH47" s="30">
        <f t="shared" si="6"/>
        <v>451</v>
      </c>
      <c r="DI47" s="30">
        <f t="shared" si="7"/>
        <v>351</v>
      </c>
      <c r="DJ47" s="30">
        <f t="shared" si="8"/>
        <v>501</v>
      </c>
      <c r="DK47" s="30">
        <f t="shared" si="9"/>
        <v>301</v>
      </c>
      <c r="DL47" s="30">
        <f t="shared" si="44"/>
        <v>371.875</v>
      </c>
    </row>
    <row r="48" spans="1:116" ht="16" x14ac:dyDescent="0.4">
      <c r="A48" s="18">
        <v>2009</v>
      </c>
      <c r="B48" s="12">
        <v>46239000</v>
      </c>
      <c r="C48" s="10">
        <v>19428733</v>
      </c>
      <c r="D48" s="127">
        <v>38051704.392753989</v>
      </c>
      <c r="E48" s="10">
        <f t="shared" si="62"/>
        <v>747258.9615384615</v>
      </c>
      <c r="F48" s="10">
        <f t="shared" si="54"/>
        <v>373629.48076923075</v>
      </c>
      <c r="G48" s="10">
        <f t="shared" si="41"/>
        <v>560444.22115384613</v>
      </c>
      <c r="H48" s="10">
        <v>816375</v>
      </c>
      <c r="I48" s="10">
        <f t="shared" si="55"/>
        <v>408187.5</v>
      </c>
      <c r="J48" s="10">
        <v>764551</v>
      </c>
      <c r="K48" s="10">
        <f t="shared" si="56"/>
        <v>382275.5</v>
      </c>
      <c r="L48" s="10">
        <v>638318</v>
      </c>
      <c r="M48" s="10">
        <f t="shared" si="57"/>
        <v>319159</v>
      </c>
      <c r="N48" s="22">
        <v>413393</v>
      </c>
      <c r="O48" s="22">
        <v>122546</v>
      </c>
      <c r="P48" s="22">
        <v>22765</v>
      </c>
      <c r="Q48" s="22">
        <v>7512</v>
      </c>
      <c r="R48" s="22">
        <v>200749</v>
      </c>
      <c r="S48" s="22">
        <v>650889</v>
      </c>
      <c r="T48" s="22">
        <v>360397</v>
      </c>
      <c r="U48" s="10">
        <v>76677074</v>
      </c>
      <c r="V48" s="10">
        <f t="shared" si="68"/>
        <v>117803.61013936324</v>
      </c>
      <c r="W48" s="22">
        <v>70471</v>
      </c>
      <c r="X48" s="22">
        <v>27640</v>
      </c>
      <c r="Y48" s="33">
        <f t="shared" si="59"/>
        <v>1.5745041643182154</v>
      </c>
      <c r="Z48" s="36">
        <f t="shared" si="42"/>
        <v>-15.356580562672782</v>
      </c>
      <c r="AA48" s="36">
        <v>4.34</v>
      </c>
      <c r="AB48" s="36">
        <v>3.1</v>
      </c>
      <c r="AC48" s="36">
        <v>96.9</v>
      </c>
      <c r="AD48" s="94">
        <v>24</v>
      </c>
      <c r="AE48" s="36">
        <v>1.5266454545454544</v>
      </c>
      <c r="AF48" s="113">
        <v>1.3948333333333334</v>
      </c>
      <c r="AG48" s="114">
        <f t="shared" si="19"/>
        <v>169200</v>
      </c>
      <c r="AH48" s="114">
        <f t="shared" si="20"/>
        <v>236005.80000000002</v>
      </c>
      <c r="AI48" s="112">
        <v>9.3822489999999998</v>
      </c>
      <c r="AJ48" s="111">
        <f t="shared" si="21"/>
        <v>-0.4407042609229137</v>
      </c>
      <c r="AK48" s="106"/>
      <c r="AL48" s="106"/>
      <c r="AM48" s="118">
        <v>702.89249999999993</v>
      </c>
      <c r="AN48" s="119">
        <f t="shared" si="22"/>
        <v>240.71959794705452</v>
      </c>
      <c r="AO48" s="133">
        <v>655007000000</v>
      </c>
      <c r="AP48" s="34">
        <f t="shared" si="46"/>
        <v>17213.604763647065</v>
      </c>
      <c r="AQ48" s="119">
        <f t="shared" si="51"/>
        <v>15435.682262841518</v>
      </c>
      <c r="AR48" s="119">
        <f t="shared" si="52"/>
        <v>26765.628708188393</v>
      </c>
      <c r="AS48" s="119">
        <f t="shared" si="47"/>
        <v>19307.089729825377</v>
      </c>
      <c r="AT48" s="119">
        <f t="shared" si="53"/>
        <v>167.40752050457243</v>
      </c>
      <c r="AU48" s="37">
        <f t="shared" si="48"/>
        <v>6.8436339602817782</v>
      </c>
      <c r="AV48" s="34">
        <f t="shared" si="49"/>
        <v>23560.722027872649</v>
      </c>
      <c r="AW48" s="34">
        <f t="shared" si="50"/>
        <v>26.939400484912397</v>
      </c>
      <c r="AX48" s="10">
        <v>600</v>
      </c>
      <c r="AY48" s="10">
        <v>239.02499999999998</v>
      </c>
      <c r="AZ48" s="22">
        <v>22656</v>
      </c>
      <c r="BA48" s="22">
        <v>89108</v>
      </c>
      <c r="BB48" s="22">
        <v>31595</v>
      </c>
      <c r="BC48" s="22">
        <v>55012</v>
      </c>
      <c r="BD48" s="22">
        <v>2501</v>
      </c>
      <c r="BE48" s="22">
        <v>27072</v>
      </c>
      <c r="BF48" s="87">
        <v>183.24247835965181</v>
      </c>
      <c r="BG48" s="22">
        <v>3199472400.0000005</v>
      </c>
      <c r="BH48" s="71">
        <f t="shared" si="33"/>
        <v>118183.82092198584</v>
      </c>
      <c r="BI48" s="71">
        <f t="shared" si="34"/>
        <v>644.95864703393329</v>
      </c>
      <c r="BJ48" s="22">
        <v>83750</v>
      </c>
      <c r="BK48" s="87">
        <v>99.153449626823587</v>
      </c>
      <c r="BL48" s="22">
        <v>5318232000</v>
      </c>
      <c r="BM48" s="83">
        <f t="shared" si="32"/>
        <v>63501.277611940299</v>
      </c>
      <c r="BN48" s="83">
        <f t="shared" si="35"/>
        <v>640.43437571698519</v>
      </c>
      <c r="BO48" s="91">
        <f t="shared" si="36"/>
        <v>2.6326578253535038</v>
      </c>
      <c r="BP48" s="89">
        <f t="shared" si="37"/>
        <v>3.4211574150736936</v>
      </c>
      <c r="BQ48" s="84">
        <v>96.384006819595854</v>
      </c>
      <c r="BR48" s="10">
        <v>24908126</v>
      </c>
      <c r="BS48" s="34">
        <f t="shared" si="63"/>
        <v>338411</v>
      </c>
      <c r="BT48" s="10">
        <f t="shared" si="60"/>
        <v>538.68219468414111</v>
      </c>
      <c r="BU48" s="30">
        <f t="shared" si="64"/>
        <v>1.3773501239228807</v>
      </c>
      <c r="BV48" s="30">
        <f t="shared" si="61"/>
        <v>1.2503284575632847</v>
      </c>
      <c r="BW48" s="30">
        <f t="shared" si="65"/>
        <v>0.127021666359596</v>
      </c>
      <c r="BX48" s="10">
        <v>28911.140000000003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30">
        <v>7.65</v>
      </c>
      <c r="CL48" s="30">
        <f t="shared" si="69"/>
        <v>-4.375</v>
      </c>
      <c r="CM48" s="30">
        <f t="shared" si="71"/>
        <v>20.687182280319533</v>
      </c>
      <c r="CN48" s="30">
        <f t="shared" si="72"/>
        <v>4.8339110974593007</v>
      </c>
      <c r="CO48" s="30">
        <f t="shared" si="73"/>
        <v>27.582909707092714</v>
      </c>
      <c r="CP48" s="30">
        <f t="shared" si="74"/>
        <v>3.6254333230944753</v>
      </c>
      <c r="CQ48" s="10">
        <f>AVERAGE(Quarterly!D10:D13)</f>
        <v>1899.0833333333335</v>
      </c>
      <c r="CR48" s="34">
        <v>1692</v>
      </c>
      <c r="CS48" s="33">
        <v>-0.28999999999999998</v>
      </c>
      <c r="CT48" s="30">
        <f t="shared" si="30"/>
        <v>197.54000000000002</v>
      </c>
      <c r="CU48" s="30">
        <f t="shared" si="26"/>
        <v>759.40386525000008</v>
      </c>
      <c r="CV48" s="30">
        <f t="shared" si="23"/>
        <v>932.59613474999992</v>
      </c>
      <c r="CW48" s="30">
        <f t="shared" si="24"/>
        <v>856.5353852384327</v>
      </c>
      <c r="CX48" s="30">
        <f t="shared" si="25"/>
        <v>835.4646147615673</v>
      </c>
      <c r="CY48" s="33">
        <f t="shared" si="17"/>
        <v>-3.3155181818181814</v>
      </c>
      <c r="CZ48" s="33">
        <f t="shared" si="27"/>
        <v>-4.1902604756511863</v>
      </c>
      <c r="DA48" s="33">
        <f t="shared" si="31"/>
        <v>-3.9002604756511863</v>
      </c>
      <c r="DB48" s="33">
        <f t="shared" si="28"/>
        <v>0.53418110253250006</v>
      </c>
      <c r="DC48" s="33">
        <f t="shared" si="66"/>
        <v>-25.120815823793649</v>
      </c>
      <c r="DD48" s="33">
        <f t="shared" si="67"/>
        <v>-22.181466465969805</v>
      </c>
      <c r="DE48" s="38">
        <v>17.86</v>
      </c>
      <c r="DF48" s="30">
        <f t="shared" si="70"/>
        <v>-0.56482715255671101</v>
      </c>
      <c r="DG48" s="30">
        <f t="shared" si="43"/>
        <v>404.04</v>
      </c>
      <c r="DH48" s="30">
        <f t="shared" si="6"/>
        <v>454.04</v>
      </c>
      <c r="DI48" s="30">
        <f t="shared" si="7"/>
        <v>354.04</v>
      </c>
      <c r="DJ48" s="30">
        <f t="shared" si="8"/>
        <v>504.04</v>
      </c>
      <c r="DK48" s="30">
        <f t="shared" si="9"/>
        <v>304.04000000000002</v>
      </c>
      <c r="DL48" s="30">
        <f t="shared" si="44"/>
        <v>375.1</v>
      </c>
    </row>
    <row r="49" spans="1:116" ht="16" x14ac:dyDescent="0.4">
      <c r="A49" s="18">
        <v>2010</v>
      </c>
      <c r="B49" s="12">
        <v>46486000</v>
      </c>
      <c r="C49" s="10">
        <v>19403020</v>
      </c>
      <c r="D49" s="127">
        <v>38223381.611099005</v>
      </c>
      <c r="E49" s="10">
        <f t="shared" si="62"/>
        <v>746270</v>
      </c>
      <c r="F49" s="10">
        <f t="shared" si="54"/>
        <v>373135</v>
      </c>
      <c r="G49" s="10">
        <f t="shared" si="41"/>
        <v>559702.5</v>
      </c>
      <c r="H49" s="10">
        <v>779876</v>
      </c>
      <c r="I49" s="10">
        <f t="shared" si="55"/>
        <v>389938</v>
      </c>
      <c r="J49" s="10">
        <v>771872</v>
      </c>
      <c r="K49" s="10">
        <f t="shared" si="56"/>
        <v>385936</v>
      </c>
      <c r="L49" s="10">
        <v>652384</v>
      </c>
      <c r="M49" s="10">
        <f t="shared" si="57"/>
        <v>326192</v>
      </c>
      <c r="N49" s="22">
        <v>439591</v>
      </c>
      <c r="O49" s="22">
        <v>132407</v>
      </c>
      <c r="P49" s="22">
        <v>21986</v>
      </c>
      <c r="Q49" s="22">
        <v>5885</v>
      </c>
      <c r="R49" s="22">
        <v>194221</v>
      </c>
      <c r="S49" s="22">
        <v>607535</v>
      </c>
      <c r="T49" s="22">
        <v>370543</v>
      </c>
      <c r="U49" s="10">
        <v>71041231</v>
      </c>
      <c r="V49" s="10">
        <f t="shared" si="68"/>
        <v>116933.56102940571</v>
      </c>
      <c r="W49" s="22">
        <v>57697</v>
      </c>
      <c r="X49" s="22">
        <v>23852</v>
      </c>
      <c r="Y49" s="33">
        <f t="shared" si="59"/>
        <v>1.3820460382491908</v>
      </c>
      <c r="Z49" s="36">
        <f t="shared" si="42"/>
        <v>-2.5385589532682813</v>
      </c>
      <c r="AA49" s="36">
        <v>3.59</v>
      </c>
      <c r="AB49" s="36">
        <v>2.7</v>
      </c>
      <c r="AC49" s="36">
        <v>97.3</v>
      </c>
      <c r="AD49" s="94">
        <v>24</v>
      </c>
      <c r="AE49" s="36">
        <v>1.361181818181818</v>
      </c>
      <c r="AF49" s="113">
        <v>1.3209833333333336</v>
      </c>
      <c r="AG49" s="114">
        <f t="shared" si="19"/>
        <v>166200</v>
      </c>
      <c r="AH49" s="114">
        <f t="shared" si="20"/>
        <v>219547.43000000005</v>
      </c>
      <c r="AI49" s="112">
        <v>9.3207719999999998</v>
      </c>
      <c r="AJ49" s="111">
        <f t="shared" si="21"/>
        <v>-0.65524801143095601</v>
      </c>
      <c r="AK49" s="117">
        <v>8.1666666666666679E-2</v>
      </c>
      <c r="AL49" s="106">
        <f t="shared" ref="AL49:AL61" si="75">CR49*100/AK49</f>
        <v>2035102.0408163262</v>
      </c>
      <c r="AM49" s="118">
        <v>934.45249999999987</v>
      </c>
      <c r="AN49" s="119">
        <f t="shared" si="22"/>
        <v>177.85815758425392</v>
      </c>
      <c r="AO49" s="133">
        <v>657840000000</v>
      </c>
      <c r="AP49" s="34">
        <f t="shared" si="46"/>
        <v>17210.408191853479</v>
      </c>
      <c r="AQ49" s="119">
        <f t="shared" si="51"/>
        <v>15713.524543572665</v>
      </c>
      <c r="AR49" s="119">
        <f t="shared" si="52"/>
        <v>26291.060823291435</v>
      </c>
      <c r="AS49" s="119">
        <f t="shared" si="47"/>
        <v>19116.757269246737</v>
      </c>
      <c r="AT49" s="119">
        <f t="shared" si="53"/>
        <v>165.75718968087597</v>
      </c>
      <c r="AU49" s="37">
        <f t="shared" si="48"/>
        <v>6.7943514021216558</v>
      </c>
      <c r="AV49" s="34">
        <f t="shared" si="49"/>
        <v>23386.712205881144</v>
      </c>
      <c r="AW49" s="34">
        <f t="shared" si="50"/>
        <v>26.409458326829224</v>
      </c>
      <c r="AX49" s="10">
        <v>624</v>
      </c>
      <c r="AY49" s="10">
        <v>208.47500000000002</v>
      </c>
      <c r="AZ49" s="22">
        <v>21220</v>
      </c>
      <c r="BA49" s="22">
        <v>89788</v>
      </c>
      <c r="BB49" s="22">
        <v>29715</v>
      </c>
      <c r="BC49" s="22">
        <v>56957</v>
      </c>
      <c r="BD49" s="22">
        <v>3116</v>
      </c>
      <c r="BE49" s="22">
        <v>24633</v>
      </c>
      <c r="BF49" s="87">
        <v>188.56656918891656</v>
      </c>
      <c r="BG49" s="22">
        <v>3009437099.999999</v>
      </c>
      <c r="BH49" s="71">
        <f t="shared" si="33"/>
        <v>122170.95359883079</v>
      </c>
      <c r="BI49" s="71">
        <f t="shared" si="34"/>
        <v>647.89296493183303</v>
      </c>
      <c r="BJ49" s="22">
        <v>66994</v>
      </c>
      <c r="BK49" s="87">
        <v>100.52870557289202</v>
      </c>
      <c r="BL49" s="22">
        <v>4380167900</v>
      </c>
      <c r="BM49" s="83">
        <f t="shared" si="32"/>
        <v>65381.495357793232</v>
      </c>
      <c r="BN49" s="83">
        <f t="shared" si="35"/>
        <v>650.37637742570939</v>
      </c>
      <c r="BO49" s="91">
        <f t="shared" si="36"/>
        <v>2.5603315826313127</v>
      </c>
      <c r="BP49" s="89">
        <f t="shared" si="37"/>
        <v>1.0017418313868518</v>
      </c>
      <c r="BQ49" s="84">
        <v>96.803079050758882</v>
      </c>
      <c r="BR49" s="10">
        <v>25106251</v>
      </c>
      <c r="BS49" s="34">
        <f t="shared" si="63"/>
        <v>198125</v>
      </c>
      <c r="BT49" s="10">
        <f t="shared" si="60"/>
        <v>540.08198167190119</v>
      </c>
      <c r="BU49" s="30">
        <f t="shared" si="64"/>
        <v>0.79542314825290816</v>
      </c>
      <c r="BV49" s="30">
        <f t="shared" si="61"/>
        <v>0.53418110253250006</v>
      </c>
      <c r="BW49" s="30">
        <f t="shared" si="65"/>
        <v>0.2612420457204081</v>
      </c>
      <c r="BX49" s="10">
        <v>24456.010000000002</v>
      </c>
      <c r="BY49" s="22"/>
      <c r="BZ49" s="33"/>
      <c r="CA49" s="33"/>
      <c r="CB49" s="22"/>
      <c r="CC49" s="22"/>
      <c r="CD49" s="22"/>
      <c r="CE49" s="22"/>
      <c r="CF49" s="22"/>
      <c r="CG49" s="22"/>
      <c r="CH49" s="22"/>
      <c r="CI49" s="22"/>
      <c r="CJ49" s="22"/>
      <c r="CK49" s="30">
        <v>7.65</v>
      </c>
      <c r="CL49" s="30">
        <f t="shared" si="69"/>
        <v>0</v>
      </c>
      <c r="CM49" s="30">
        <f t="shared" si="71"/>
        <v>20.875998547567171</v>
      </c>
      <c r="CN49" s="30">
        <f t="shared" si="72"/>
        <v>4.7901900247858427</v>
      </c>
      <c r="CO49" s="30">
        <f t="shared" si="73"/>
        <v>27.83466473008956</v>
      </c>
      <c r="CP49" s="30">
        <f t="shared" si="74"/>
        <v>3.5926425185893822</v>
      </c>
      <c r="CQ49" s="10">
        <f>AVERAGE(Quarterly!D14:D17)</f>
        <v>1916.4166666666665</v>
      </c>
      <c r="CR49" s="34">
        <v>1662</v>
      </c>
      <c r="CS49" s="33">
        <v>1.7999999999999998</v>
      </c>
      <c r="CT49" s="30">
        <f t="shared" si="30"/>
        <v>199.34000000000003</v>
      </c>
      <c r="CU49" s="30">
        <f t="shared" si="26"/>
        <v>789.31986525000013</v>
      </c>
      <c r="CV49" s="30">
        <f t="shared" si="23"/>
        <v>872.68013474999987</v>
      </c>
      <c r="CW49" s="30">
        <f t="shared" si="24"/>
        <v>833.7513795525233</v>
      </c>
      <c r="CX49" s="30">
        <f t="shared" si="25"/>
        <v>828.2486204474767</v>
      </c>
      <c r="CY49" s="33">
        <f t="shared" si="17"/>
        <v>-0.16546363636363637</v>
      </c>
      <c r="CZ49" s="33">
        <f t="shared" si="27"/>
        <v>-1.7730496453900741</v>
      </c>
      <c r="DA49" s="33">
        <f t="shared" si="31"/>
        <v>-3.573049645390074</v>
      </c>
      <c r="DB49" s="33">
        <f t="shared" si="28"/>
        <v>0.38936453986146091</v>
      </c>
      <c r="DC49" s="33">
        <f t="shared" si="66"/>
        <v>6.3373109849465266</v>
      </c>
      <c r="DD49" s="33">
        <f t="shared" si="67"/>
        <v>-6.6607363160231614</v>
      </c>
      <c r="DE49" s="38">
        <v>19.86</v>
      </c>
      <c r="DF49" s="30">
        <f t="shared" si="70"/>
        <v>1.8195928731993081</v>
      </c>
      <c r="DG49" s="30">
        <f t="shared" si="43"/>
        <v>406.96000000000004</v>
      </c>
      <c r="DH49" s="30">
        <f t="shared" si="6"/>
        <v>456.96000000000004</v>
      </c>
      <c r="DI49" s="30">
        <f t="shared" si="7"/>
        <v>356.96000000000004</v>
      </c>
      <c r="DJ49" s="30">
        <f t="shared" si="8"/>
        <v>506.96000000000004</v>
      </c>
      <c r="DK49" s="30">
        <f t="shared" si="9"/>
        <v>306.96000000000004</v>
      </c>
      <c r="DL49" s="30">
        <f t="shared" si="44"/>
        <v>378.27499999999998</v>
      </c>
    </row>
    <row r="50" spans="1:116" ht="16" x14ac:dyDescent="0.4">
      <c r="A50" s="18">
        <v>2011</v>
      </c>
      <c r="B50" s="12">
        <v>46667000</v>
      </c>
      <c r="C50" s="10">
        <v>19304501</v>
      </c>
      <c r="D50" s="127">
        <v>38356621.864022002</v>
      </c>
      <c r="E50" s="10">
        <f t="shared" si="62"/>
        <v>742480.80769230775</v>
      </c>
      <c r="F50" s="10">
        <f t="shared" si="54"/>
        <v>371240.40384615387</v>
      </c>
      <c r="G50" s="10">
        <f t="shared" si="41"/>
        <v>556860.60576923075</v>
      </c>
      <c r="H50" s="10">
        <v>754073</v>
      </c>
      <c r="I50" s="10">
        <f t="shared" si="55"/>
        <v>377036.5</v>
      </c>
      <c r="J50" s="10">
        <v>780597</v>
      </c>
      <c r="K50" s="10">
        <f t="shared" si="56"/>
        <v>390298.5</v>
      </c>
      <c r="L50" s="10">
        <v>670579</v>
      </c>
      <c r="M50" s="10">
        <f t="shared" si="57"/>
        <v>335289.5</v>
      </c>
      <c r="N50" s="22">
        <v>359824</v>
      </c>
      <c r="O50" s="22">
        <v>134536</v>
      </c>
      <c r="P50" s="22">
        <v>18875</v>
      </c>
      <c r="Q50" s="22">
        <v>4310</v>
      </c>
      <c r="R50" s="22">
        <v>191539</v>
      </c>
      <c r="S50" s="22">
        <v>408461</v>
      </c>
      <c r="T50" s="22">
        <v>320866</v>
      </c>
      <c r="U50" s="10">
        <v>45715937</v>
      </c>
      <c r="V50" s="10">
        <f t="shared" si="68"/>
        <v>111922.40385250979</v>
      </c>
      <c r="W50" s="22">
        <v>38155</v>
      </c>
      <c r="X50" s="22">
        <v>16266</v>
      </c>
      <c r="Y50" s="33">
        <f t="shared" si="59"/>
        <v>1.1351688603317178</v>
      </c>
      <c r="Z50" s="36">
        <f t="shared" si="42"/>
        <v>-7.4854738475259071</v>
      </c>
      <c r="AA50" s="36">
        <v>3.75</v>
      </c>
      <c r="AB50" s="36">
        <v>3.4</v>
      </c>
      <c r="AC50" s="36">
        <v>96.6</v>
      </c>
      <c r="AD50" s="94">
        <v>24</v>
      </c>
      <c r="AE50" s="36">
        <v>2.0471727272727271</v>
      </c>
      <c r="AF50" s="113">
        <v>1.3978999999999999</v>
      </c>
      <c r="AG50" s="114">
        <f t="shared" si="19"/>
        <v>153800</v>
      </c>
      <c r="AH50" s="114">
        <f t="shared" si="20"/>
        <v>214997.02</v>
      </c>
      <c r="AI50" s="112">
        <v>9.5350470000000005</v>
      </c>
      <c r="AJ50" s="111">
        <f t="shared" si="21"/>
        <v>2.2988975591292302</v>
      </c>
      <c r="AK50" s="117">
        <v>3.5887000000000002</v>
      </c>
      <c r="AL50" s="106">
        <f t="shared" si="75"/>
        <v>42856.744782233116</v>
      </c>
      <c r="AM50" s="118">
        <v>1121.4075</v>
      </c>
      <c r="AN50" s="119">
        <f t="shared" si="22"/>
        <v>137.14907382017688</v>
      </c>
      <c r="AO50" s="133">
        <v>663220000000</v>
      </c>
      <c r="AP50" s="34">
        <f t="shared" si="46"/>
        <v>17290.886625813404</v>
      </c>
      <c r="AQ50" s="119">
        <f t="shared" si="51"/>
        <v>16216.357328966991</v>
      </c>
      <c r="AR50" s="119">
        <f t="shared" si="52"/>
        <v>24329.513565717345</v>
      </c>
      <c r="AS50" s="119">
        <f t="shared" si="47"/>
        <v>17497.085929147124</v>
      </c>
      <c r="AT50" s="119">
        <f t="shared" si="53"/>
        <v>151.71337640437099</v>
      </c>
      <c r="AU50" s="37">
        <f t="shared" si="48"/>
        <v>6.4729129439448103</v>
      </c>
      <c r="AV50" s="34">
        <f t="shared" si="49"/>
        <v>22384.480770501956</v>
      </c>
      <c r="AW50" s="34">
        <f t="shared" si="50"/>
        <v>22.755024773238603</v>
      </c>
      <c r="AX50" s="10">
        <v>633</v>
      </c>
      <c r="AY50" s="10">
        <v>194.6</v>
      </c>
      <c r="AZ50" s="22">
        <v>16796</v>
      </c>
      <c r="BA50" s="22">
        <v>76339</v>
      </c>
      <c r="BB50" s="22">
        <v>24285</v>
      </c>
      <c r="BC50" s="22">
        <v>49199</v>
      </c>
      <c r="BD50" s="22">
        <v>2855</v>
      </c>
      <c r="BE50" s="22">
        <v>19914</v>
      </c>
      <c r="BF50" s="87">
        <v>189.77535706948277</v>
      </c>
      <c r="BG50" s="22">
        <v>2440981800.0000005</v>
      </c>
      <c r="BH50" s="71">
        <f t="shared" si="33"/>
        <v>122576.16752033748</v>
      </c>
      <c r="BI50" s="71">
        <f t="shared" si="34"/>
        <v>645.90139316907448</v>
      </c>
      <c r="BJ50" s="22">
        <v>58346</v>
      </c>
      <c r="BK50" s="87">
        <v>104.08889406620307</v>
      </c>
      <c r="BL50" s="22">
        <v>3923135000</v>
      </c>
      <c r="BM50" s="83">
        <f t="shared" si="32"/>
        <v>67239.142357659483</v>
      </c>
      <c r="BN50" s="83">
        <f t="shared" si="35"/>
        <v>645.9780648153851</v>
      </c>
      <c r="BO50" s="91">
        <f t="shared" si="36"/>
        <v>2.3810271004688444</v>
      </c>
      <c r="BP50" s="89">
        <f t="shared" si="37"/>
        <v>-0.49218480053448843</v>
      </c>
      <c r="BQ50" s="84">
        <v>100.27227714631812</v>
      </c>
      <c r="BR50" s="22">
        <v>25249053</v>
      </c>
      <c r="BS50" s="34">
        <f t="shared" si="63"/>
        <v>142802</v>
      </c>
      <c r="BT50" s="10">
        <f t="shared" si="60"/>
        <v>541.04727109092073</v>
      </c>
      <c r="BU50" s="30">
        <f t="shared" si="64"/>
        <v>0.5687906171255861</v>
      </c>
      <c r="BV50" s="30">
        <f t="shared" si="61"/>
        <v>0.38936453986146091</v>
      </c>
      <c r="BW50" s="30">
        <f t="shared" si="65"/>
        <v>0.17942607726412518</v>
      </c>
      <c r="BX50" s="10">
        <v>20441.07</v>
      </c>
      <c r="BY50" s="22">
        <v>12.77</v>
      </c>
      <c r="BZ50" s="33">
        <f t="shared" ref="BZ50:BZ60" si="76">100-(BY50+CA50)</f>
        <v>81.961308000000002</v>
      </c>
      <c r="CA50" s="33">
        <f t="shared" ref="CA50:CA60" si="77">(CB50*(100-BY50))/100</f>
        <v>5.2686919999999997</v>
      </c>
      <c r="CB50" s="22">
        <v>6.04</v>
      </c>
      <c r="CC50" s="22"/>
      <c r="CD50" s="22"/>
      <c r="CE50" s="22"/>
      <c r="CF50" s="22"/>
      <c r="CG50" s="22"/>
      <c r="CH50" s="22"/>
      <c r="CI50" s="22"/>
      <c r="CJ50" s="22"/>
      <c r="CK50" s="30">
        <v>7.9</v>
      </c>
      <c r="CL50" s="30">
        <f t="shared" si="69"/>
        <v>3.2679738562091387</v>
      </c>
      <c r="CM50" s="30">
        <f t="shared" si="71"/>
        <v>20.683895921237688</v>
      </c>
      <c r="CN50" s="30">
        <f t="shared" si="72"/>
        <v>4.8346791330216758</v>
      </c>
      <c r="CO50" s="30">
        <f t="shared" si="73"/>
        <v>27.578527894983587</v>
      </c>
      <c r="CP50" s="30">
        <f t="shared" si="74"/>
        <v>3.6260093497662562</v>
      </c>
      <c r="CQ50" s="10">
        <f>AVERAGE(Quarterly!D18:D21)</f>
        <v>1960.8333333333333</v>
      </c>
      <c r="CR50" s="34">
        <v>1538</v>
      </c>
      <c r="CS50" s="33">
        <v>3.2</v>
      </c>
      <c r="CT50" s="30">
        <f t="shared" si="30"/>
        <v>202.54000000000002</v>
      </c>
      <c r="CU50" s="30">
        <f t="shared" si="26"/>
        <v>838.53586525000014</v>
      </c>
      <c r="CV50" s="30">
        <f t="shared" si="23"/>
        <v>699.46413474999986</v>
      </c>
      <c r="CW50" s="30">
        <f t="shared" si="24"/>
        <v>759.35617655771694</v>
      </c>
      <c r="CX50" s="30">
        <f t="shared" si="25"/>
        <v>778.64382344228306</v>
      </c>
      <c r="CY50" s="33">
        <f t="shared" si="17"/>
        <v>0.6859909090909091</v>
      </c>
      <c r="CZ50" s="33">
        <f t="shared" si="27"/>
        <v>-7.4608904933814699</v>
      </c>
      <c r="DA50" s="33">
        <f t="shared" si="31"/>
        <v>-10.660890493381469</v>
      </c>
      <c r="DB50" s="33">
        <f t="shared" si="28"/>
        <v>0.32356911736344784</v>
      </c>
      <c r="DC50" s="33">
        <f t="shared" si="66"/>
        <v>-18.145730918057922</v>
      </c>
      <c r="DD50" s="33">
        <f t="shared" si="67"/>
        <v>-32.76749487683837</v>
      </c>
      <c r="DE50" s="38">
        <v>21.39</v>
      </c>
      <c r="DF50" s="30">
        <f t="shared" si="70"/>
        <v>-3.8348811436152137</v>
      </c>
      <c r="DG50" s="30">
        <f t="shared" si="43"/>
        <v>409.76</v>
      </c>
      <c r="DH50" s="30">
        <f t="shared" si="6"/>
        <v>459.76</v>
      </c>
      <c r="DI50" s="30">
        <f t="shared" si="7"/>
        <v>359.76</v>
      </c>
      <c r="DJ50" s="30">
        <f t="shared" si="8"/>
        <v>509.76</v>
      </c>
      <c r="DK50" s="30">
        <f t="shared" si="9"/>
        <v>309.76</v>
      </c>
      <c r="DL50" s="30">
        <f t="shared" si="44"/>
        <v>381.4</v>
      </c>
    </row>
    <row r="51" spans="1:116" ht="16" x14ac:dyDescent="0.4">
      <c r="A51" s="18">
        <v>2012</v>
      </c>
      <c r="B51" s="12">
        <v>46818000</v>
      </c>
      <c r="C51" s="10">
        <v>19150018</v>
      </c>
      <c r="D51" s="127">
        <v>38460725.691791013</v>
      </c>
      <c r="E51" s="10">
        <f>C51/26</f>
        <v>736539.15384615387</v>
      </c>
      <c r="F51" s="10">
        <f>E51/2</f>
        <v>368269.57692307694</v>
      </c>
      <c r="G51" s="10">
        <f t="shared" si="41"/>
        <v>552404.36538461538</v>
      </c>
      <c r="H51" s="10">
        <v>712602</v>
      </c>
      <c r="I51" s="10">
        <f t="shared" si="55"/>
        <v>356301</v>
      </c>
      <c r="J51" s="10">
        <v>789026</v>
      </c>
      <c r="K51" s="10">
        <f t="shared" si="56"/>
        <v>394513</v>
      </c>
      <c r="L51" s="10">
        <v>666360</v>
      </c>
      <c r="M51" s="10">
        <f t="shared" si="57"/>
        <v>333180</v>
      </c>
      <c r="N51" s="22">
        <v>318534</v>
      </c>
      <c r="O51" s="22">
        <v>136922</v>
      </c>
      <c r="P51" s="22">
        <v>19901</v>
      </c>
      <c r="Q51" s="22">
        <v>2890</v>
      </c>
      <c r="R51" s="22">
        <v>201009</v>
      </c>
      <c r="S51" s="22">
        <v>273873</v>
      </c>
      <c r="T51" s="22">
        <v>294261</v>
      </c>
      <c r="U51" s="10">
        <v>28328881</v>
      </c>
      <c r="V51" s="10">
        <f t="shared" si="68"/>
        <v>103438.02054236818</v>
      </c>
      <c r="W51" s="22">
        <v>37108</v>
      </c>
      <c r="X51" s="22">
        <v>17271</v>
      </c>
      <c r="Y51" s="33">
        <f t="shared" si="59"/>
        <v>0.85979204731676995</v>
      </c>
      <c r="Z51" s="36">
        <f t="shared" si="42"/>
        <v>-10.030594249317797</v>
      </c>
      <c r="AA51" s="36">
        <v>4.13</v>
      </c>
      <c r="AB51" s="36">
        <v>4.7</v>
      </c>
      <c r="AC51" s="36">
        <v>95.3</v>
      </c>
      <c r="AD51" s="94">
        <v>24</v>
      </c>
      <c r="AE51" s="36">
        <v>1.0449181818181819</v>
      </c>
      <c r="AF51" s="113">
        <v>1.2905916666666666</v>
      </c>
      <c r="AG51" s="114">
        <f t="shared" si="19"/>
        <v>136400</v>
      </c>
      <c r="AH51" s="114">
        <f t="shared" si="20"/>
        <v>176036.70333333331</v>
      </c>
      <c r="AI51" s="112">
        <v>9.8079680000000007</v>
      </c>
      <c r="AJ51" s="111">
        <f t="shared" si="21"/>
        <v>2.8622931800965432</v>
      </c>
      <c r="AK51" s="117">
        <v>5.5066416666666678</v>
      </c>
      <c r="AL51" s="106">
        <f t="shared" si="75"/>
        <v>24770.088241926034</v>
      </c>
      <c r="AM51" s="118">
        <v>1298.9416666666666</v>
      </c>
      <c r="AN51" s="119">
        <f t="shared" si="22"/>
        <v>105.0085646648233</v>
      </c>
      <c r="AO51" s="133">
        <v>629440000000</v>
      </c>
      <c r="AP51" s="34">
        <f t="shared" si="46"/>
        <v>16365.785842006266</v>
      </c>
      <c r="AQ51" s="119">
        <f t="shared" si="51"/>
        <v>16613.658083526683</v>
      </c>
      <c r="AR51" s="119">
        <f t="shared" si="52"/>
        <v>21577.019833314993</v>
      </c>
      <c r="AS51" s="119">
        <f t="shared" si="47"/>
        <v>16992.094518918741</v>
      </c>
      <c r="AT51" s="119">
        <f t="shared" si="53"/>
        <v>147.33470716703661</v>
      </c>
      <c r="AU51" s="37">
        <f t="shared" si="48"/>
        <v>6.3203821399686486</v>
      </c>
      <c r="AV51" s="34">
        <f t="shared" si="49"/>
        <v>20687.604108473635</v>
      </c>
      <c r="AW51" s="34">
        <f t="shared" si="50"/>
        <v>20.89085929818792</v>
      </c>
      <c r="AX51" s="10">
        <v>641</v>
      </c>
      <c r="AY51" s="10">
        <v>182.22499999999999</v>
      </c>
      <c r="AZ51" s="22">
        <v>14908</v>
      </c>
      <c r="BA51" s="22">
        <v>60670</v>
      </c>
      <c r="BB51" s="22">
        <v>18289</v>
      </c>
      <c r="BC51" s="22">
        <v>40094</v>
      </c>
      <c r="BD51" s="22">
        <v>2287</v>
      </c>
      <c r="BE51" s="22">
        <v>14515</v>
      </c>
      <c r="BF51" s="87">
        <v>196.6635838317799</v>
      </c>
      <c r="BG51" s="22">
        <v>1816255299.9999998</v>
      </c>
      <c r="BH51" s="71">
        <f t="shared" si="33"/>
        <v>125129.54185325524</v>
      </c>
      <c r="BI51" s="71">
        <f t="shared" si="34"/>
        <v>636.26188140803572</v>
      </c>
      <c r="BJ51" s="22">
        <v>29611</v>
      </c>
      <c r="BK51" s="87">
        <v>108.01988521501141</v>
      </c>
      <c r="BL51" s="22">
        <v>2082608800.0000002</v>
      </c>
      <c r="BM51" s="83">
        <f t="shared" si="32"/>
        <v>70332.268413765167</v>
      </c>
      <c r="BN51" s="83">
        <f t="shared" si="35"/>
        <v>651.10482457716182</v>
      </c>
      <c r="BO51" s="91">
        <f t="shared" si="36"/>
        <v>2.1190543357359184</v>
      </c>
      <c r="BP51" s="89">
        <f t="shared" si="37"/>
        <v>-0.34931680129837162</v>
      </c>
      <c r="BQ51" s="84">
        <v>101.29567221861966</v>
      </c>
      <c r="BR51" s="10">
        <v>25382415</v>
      </c>
      <c r="BS51" s="34">
        <f t="shared" si="63"/>
        <v>133362</v>
      </c>
      <c r="BT51" s="10">
        <f t="shared" si="60"/>
        <v>542.15077534281681</v>
      </c>
      <c r="BU51" s="30">
        <f>(BR51*100/BR50)-100</f>
        <v>0.52818614622893278</v>
      </c>
      <c r="BV51" s="30">
        <f t="shared" si="61"/>
        <v>0.32356911736344784</v>
      </c>
      <c r="BW51" s="30">
        <f t="shared" si="65"/>
        <v>0.20461702886548494</v>
      </c>
      <c r="BX51" s="10">
        <v>13581.800000000001</v>
      </c>
      <c r="BY51" s="22">
        <v>18.649999999999999</v>
      </c>
      <c r="BZ51" s="33">
        <f t="shared" si="76"/>
        <v>74.744380000000007</v>
      </c>
      <c r="CA51" s="33">
        <f t="shared" si="77"/>
        <v>6.6056199999999992</v>
      </c>
      <c r="CB51" s="22">
        <v>8.1199999999999992</v>
      </c>
      <c r="CC51" s="22"/>
      <c r="CD51" s="22"/>
      <c r="CE51" s="22"/>
      <c r="CF51" s="22"/>
      <c r="CG51" s="22"/>
      <c r="CH51" s="22"/>
      <c r="CI51" s="22"/>
      <c r="CJ51" s="22"/>
      <c r="CK51" s="30">
        <v>7.75</v>
      </c>
      <c r="CL51" s="30">
        <f t="shared" si="69"/>
        <v>-1.8987341772151893</v>
      </c>
      <c r="CM51" s="30">
        <f t="shared" si="71"/>
        <v>19.378136200716845</v>
      </c>
      <c r="CN51" s="30">
        <f t="shared" si="72"/>
        <v>5.1604550078609082</v>
      </c>
      <c r="CO51" s="30">
        <f t="shared" si="73"/>
        <v>25.837514934289125</v>
      </c>
      <c r="CP51" s="30">
        <f t="shared" si="74"/>
        <v>3.8703412558956818</v>
      </c>
      <c r="CQ51" s="10">
        <f>AVERAGE(Quarterly!D22:D25)</f>
        <v>1802.1666666666665</v>
      </c>
      <c r="CR51" s="34">
        <v>1364</v>
      </c>
      <c r="CS51" s="33">
        <v>2.4500000000000002</v>
      </c>
      <c r="CT51" s="30">
        <f t="shared" si="30"/>
        <v>204.99</v>
      </c>
      <c r="CU51" s="30">
        <f t="shared" si="26"/>
        <v>871.95386525000015</v>
      </c>
      <c r="CV51" s="30">
        <f t="shared" si="23"/>
        <v>492.04613474999985</v>
      </c>
      <c r="CW51" s="30">
        <f t="shared" si="24"/>
        <v>665.39831211278602</v>
      </c>
      <c r="CX51" s="30">
        <f t="shared" si="25"/>
        <v>698.60168788721398</v>
      </c>
      <c r="CY51" s="33">
        <f t="shared" si="17"/>
        <v>-1.0022545454545453</v>
      </c>
      <c r="CZ51" s="33">
        <f t="shared" si="27"/>
        <v>-11.313394018205457</v>
      </c>
      <c r="DA51" s="33">
        <f t="shared" si="31"/>
        <v>-13.763394018205457</v>
      </c>
      <c r="DB51" s="33">
        <f t="shared" si="28"/>
        <v>-0.19223375624760308</v>
      </c>
      <c r="DC51" s="33">
        <f t="shared" si="66"/>
        <v>-11.475054471074742</v>
      </c>
      <c r="DD51" s="33">
        <f t="shared" si="67"/>
        <v>-32.950024604552212</v>
      </c>
      <c r="DE51" s="38">
        <v>24.79</v>
      </c>
      <c r="DF51" s="30">
        <f t="shared" si="70"/>
        <v>-7.443052762309776</v>
      </c>
      <c r="DG51" s="30">
        <f t="shared" si="43"/>
        <v>412.44</v>
      </c>
      <c r="DH51" s="30">
        <f t="shared" si="6"/>
        <v>462.44</v>
      </c>
      <c r="DI51" s="30">
        <f t="shared" si="7"/>
        <v>362.44</v>
      </c>
      <c r="DJ51" s="30">
        <f t="shared" si="8"/>
        <v>512.44000000000005</v>
      </c>
      <c r="DK51" s="30">
        <f t="shared" si="9"/>
        <v>312.44</v>
      </c>
      <c r="DL51" s="30">
        <f t="shared" si="44"/>
        <v>384.47500000000002</v>
      </c>
    </row>
    <row r="52" spans="1:116" ht="16" x14ac:dyDescent="0.4">
      <c r="A52" s="18">
        <v>2013</v>
      </c>
      <c r="B52" s="12">
        <v>46728000</v>
      </c>
      <c r="C52" s="10">
        <v>18863926</v>
      </c>
      <c r="D52" s="127">
        <v>38356537.256903015</v>
      </c>
      <c r="E52" s="10">
        <f t="shared" si="62"/>
        <v>725535.61538461538</v>
      </c>
      <c r="F52" s="10">
        <f t="shared" si="54"/>
        <v>362767.80769230769</v>
      </c>
      <c r="G52" s="10">
        <f t="shared" si="41"/>
        <v>544151.7115384615</v>
      </c>
      <c r="H52" s="10">
        <v>671705</v>
      </c>
      <c r="I52" s="10">
        <f t="shared" si="55"/>
        <v>335852.5</v>
      </c>
      <c r="J52" s="10">
        <v>790313</v>
      </c>
      <c r="K52" s="10">
        <f t="shared" si="56"/>
        <v>395156.5</v>
      </c>
      <c r="L52" s="10">
        <v>679546</v>
      </c>
      <c r="M52" s="10">
        <f t="shared" si="57"/>
        <v>339773</v>
      </c>
      <c r="N52" s="22">
        <v>312593</v>
      </c>
      <c r="O52" s="22">
        <v>132980</v>
      </c>
      <c r="P52" s="22">
        <v>15898</v>
      </c>
      <c r="Q52" s="22">
        <v>2351</v>
      </c>
      <c r="R52" s="22">
        <v>231836</v>
      </c>
      <c r="S52" s="22">
        <v>199703</v>
      </c>
      <c r="T52" s="22">
        <v>283488</v>
      </c>
      <c r="U52" s="10">
        <v>19972573</v>
      </c>
      <c r="V52" s="10">
        <f t="shared" si="68"/>
        <v>100011.38190212466</v>
      </c>
      <c r="W52" s="22">
        <v>36877</v>
      </c>
      <c r="X52" s="22">
        <v>11325</v>
      </c>
      <c r="Y52" s="33">
        <f t="shared" si="59"/>
        <v>0.63885947542011501</v>
      </c>
      <c r="Z52" s="36">
        <f t="shared" si="42"/>
        <v>-4.7227457604817324</v>
      </c>
      <c r="AA52" s="36">
        <v>4.21</v>
      </c>
      <c r="AB52" s="36">
        <v>5.9</v>
      </c>
      <c r="AC52" s="36">
        <v>94.1</v>
      </c>
      <c r="AD52" s="94">
        <v>23</v>
      </c>
      <c r="AE52" s="36">
        <v>0.53268181818181815</v>
      </c>
      <c r="AF52" s="113">
        <v>1.3298416666666666</v>
      </c>
      <c r="AG52" s="114">
        <f t="shared" si="19"/>
        <v>125000</v>
      </c>
      <c r="AH52" s="114">
        <f t="shared" si="20"/>
        <v>166230.20833333331</v>
      </c>
      <c r="AI52" s="112">
        <v>9.8494729999999997</v>
      </c>
      <c r="AJ52" s="111">
        <f t="shared" si="21"/>
        <v>0.42317633989016201</v>
      </c>
      <c r="AK52" s="106">
        <v>117.12691666666665</v>
      </c>
      <c r="AL52" s="106">
        <f t="shared" si="75"/>
        <v>1067.2183948608456</v>
      </c>
      <c r="AM52" s="118">
        <v>1049.1100000000001</v>
      </c>
      <c r="AN52" s="119">
        <f t="shared" si="22"/>
        <v>119.14861168037669</v>
      </c>
      <c r="AO52" s="133">
        <v>629150000000</v>
      </c>
      <c r="AP52" s="34">
        <f t="shared" si="46"/>
        <v>16402.679829675501</v>
      </c>
      <c r="AQ52" s="119">
        <f t="shared" si="51"/>
        <v>16847.910662504408</v>
      </c>
      <c r="AR52" s="119">
        <f t="shared" si="52"/>
        <v>19773.661870706554</v>
      </c>
      <c r="AS52" s="119">
        <f t="shared" si="47"/>
        <v>15349.201159949556</v>
      </c>
      <c r="AT52" s="119">
        <f t="shared" si="53"/>
        <v>133.08954088215671</v>
      </c>
      <c r="AU52" s="37">
        <f t="shared" si="48"/>
        <v>6.0972586760600826</v>
      </c>
      <c r="AV52" s="34">
        <f t="shared" si="49"/>
        <v>20002.276380424933</v>
      </c>
      <c r="AW52" s="34">
        <f t="shared" si="50"/>
        <v>17.995934474098902</v>
      </c>
      <c r="AX52" s="10">
        <v>641</v>
      </c>
      <c r="AY52" s="10">
        <v>153.52500000000001</v>
      </c>
      <c r="AZ52" s="22">
        <v>14555</v>
      </c>
      <c r="BA52" s="22">
        <v>56436</v>
      </c>
      <c r="BB52" s="22">
        <v>15025</v>
      </c>
      <c r="BC52" s="22">
        <v>38894</v>
      </c>
      <c r="BD52" s="22">
        <v>2517</v>
      </c>
      <c r="BE52" s="22">
        <v>11311</v>
      </c>
      <c r="BF52" s="87">
        <v>197.77760310692932</v>
      </c>
      <c r="BG52" s="22">
        <v>1487085500.0000002</v>
      </c>
      <c r="BH52" s="71">
        <f t="shared" si="33"/>
        <v>131472.50464149946</v>
      </c>
      <c r="BI52" s="71">
        <f t="shared" si="34"/>
        <v>664.74920605857619</v>
      </c>
      <c r="BJ52" s="22">
        <v>22961</v>
      </c>
      <c r="BK52" s="87">
        <v>106.78645446722538</v>
      </c>
      <c r="BL52" s="22">
        <v>1620894999.9999998</v>
      </c>
      <c r="BM52" s="83">
        <f t="shared" si="32"/>
        <v>70593.397500108869</v>
      </c>
      <c r="BN52" s="83">
        <f t="shared" si="35"/>
        <v>661.0707121264636</v>
      </c>
      <c r="BO52" s="91">
        <f t="shared" si="36"/>
        <v>1.8856256160507345</v>
      </c>
      <c r="BP52" s="89">
        <f t="shared" si="37"/>
        <v>2.9869664968859553</v>
      </c>
      <c r="BQ52" s="84">
        <v>101.1237404705056</v>
      </c>
      <c r="BR52" s="10">
        <v>25441306</v>
      </c>
      <c r="BS52" s="34">
        <f t="shared" si="63"/>
        <v>58891</v>
      </c>
      <c r="BT52" s="10">
        <f t="shared" si="60"/>
        <v>544.45527306967983</v>
      </c>
      <c r="BU52" s="30">
        <f t="shared" si="64"/>
        <v>0.23201495996342203</v>
      </c>
      <c r="BV52" s="30">
        <f t="shared" si="61"/>
        <v>-0.19223375624760308</v>
      </c>
      <c r="BW52" s="30">
        <f t="shared" si="65"/>
        <v>0.42424871621102511</v>
      </c>
      <c r="BX52" s="10">
        <v>10742.990000000002</v>
      </c>
      <c r="BY52" s="22">
        <v>21.93</v>
      </c>
      <c r="BZ52" s="33">
        <f t="shared" si="76"/>
        <v>69.365195</v>
      </c>
      <c r="CA52" s="33">
        <f t="shared" si="77"/>
        <v>8.7048050000000003</v>
      </c>
      <c r="CB52" s="22">
        <v>11.15</v>
      </c>
      <c r="CC52" s="22">
        <v>8893100</v>
      </c>
      <c r="CD52" s="22">
        <v>5485900</v>
      </c>
      <c r="CE52" s="22">
        <v>2939400</v>
      </c>
      <c r="CF52" s="22">
        <v>898900</v>
      </c>
      <c r="CG52" s="30">
        <f>((CC52*100)/SUM($CC$52:$CF$52))</f>
        <v>48.816784045934362</v>
      </c>
      <c r="CH52" s="30">
        <f>((CD52*100)/SUM($CC$52:$CF$52))</f>
        <v>30.113683147337969</v>
      </c>
      <c r="CI52" s="30">
        <f>((CE52*100)/SUM($CC$52:$CF$52))</f>
        <v>16.135212133521431</v>
      </c>
      <c r="CJ52" s="30">
        <f>((CF52*100)/SUM($CC$52:$CF$52))</f>
        <v>4.9343206732062379</v>
      </c>
      <c r="CK52" s="30">
        <v>7.3</v>
      </c>
      <c r="CL52" s="30">
        <f t="shared" si="69"/>
        <v>-5.8064516129032313</v>
      </c>
      <c r="CM52" s="30">
        <f>CQ52/(CK52*12)</f>
        <v>18.774733637747335</v>
      </c>
      <c r="CN52" s="30">
        <f>100/CM52</f>
        <v>5.3263072557762472</v>
      </c>
      <c r="CO52" s="30">
        <f t="shared" si="73"/>
        <v>25.032978183663118</v>
      </c>
      <c r="CP52" s="30">
        <f t="shared" si="74"/>
        <v>3.9947304418321843</v>
      </c>
      <c r="CQ52" s="10">
        <f>AVERAGE(Quarterly!D26:D29)</f>
        <v>1644.6666666666665</v>
      </c>
      <c r="CR52" s="34">
        <v>1250</v>
      </c>
      <c r="CS52" s="33">
        <v>1.41</v>
      </c>
      <c r="CT52" s="30">
        <f t="shared" si="30"/>
        <v>206.4</v>
      </c>
      <c r="CU52" s="30">
        <f t="shared" si="26"/>
        <v>889.57886525000015</v>
      </c>
      <c r="CV52" s="30">
        <f t="shared" si="23"/>
        <v>360.42113474999985</v>
      </c>
      <c r="CW52" s="30">
        <f t="shared" si="24"/>
        <v>605.62015503875966</v>
      </c>
      <c r="CX52" s="30">
        <f t="shared" si="25"/>
        <v>644.37984496124034</v>
      </c>
      <c r="CY52" s="33">
        <f t="shared" si="17"/>
        <v>-0.51223636363636371</v>
      </c>
      <c r="CZ52" s="33">
        <f t="shared" si="27"/>
        <v>-8.3577712609970689</v>
      </c>
      <c r="DA52" s="33">
        <f t="shared" si="31"/>
        <v>-9.767771260997069</v>
      </c>
      <c r="DB52" s="33">
        <f t="shared" si="28"/>
        <v>-0.47080979284369562</v>
      </c>
      <c r="DC52" s="33">
        <f t="shared" si="66"/>
        <v>-1.8651070215424426</v>
      </c>
      <c r="DD52" s="33">
        <f t="shared" si="67"/>
        <v>-27.081895623153798</v>
      </c>
      <c r="DE52" s="38">
        <v>26.09</v>
      </c>
      <c r="DF52" s="30">
        <f t="shared" si="70"/>
        <v>-4.3630408191648851</v>
      </c>
      <c r="DG52" s="30">
        <f t="shared" si="43"/>
        <v>415</v>
      </c>
      <c r="DH52" s="30">
        <f t="shared" si="6"/>
        <v>465</v>
      </c>
      <c r="DI52" s="30">
        <f t="shared" si="7"/>
        <v>365</v>
      </c>
      <c r="DJ52" s="30">
        <f t="shared" si="8"/>
        <v>515</v>
      </c>
      <c r="DK52" s="30">
        <f t="shared" si="9"/>
        <v>315</v>
      </c>
      <c r="DL52" s="30">
        <f t="shared" si="44"/>
        <v>387.5</v>
      </c>
    </row>
    <row r="53" spans="1:116" ht="16" x14ac:dyDescent="0.4">
      <c r="A53" s="18">
        <v>2014</v>
      </c>
      <c r="B53" s="12">
        <v>46508000</v>
      </c>
      <c r="C53" s="10">
        <v>18485411</v>
      </c>
      <c r="D53" s="127">
        <v>38162986.049431995</v>
      </c>
      <c r="E53" s="10">
        <f t="shared" si="62"/>
        <v>710977.34615384613</v>
      </c>
      <c r="F53" s="10">
        <f t="shared" si="54"/>
        <v>355488.67307692306</v>
      </c>
      <c r="G53" s="10">
        <f t="shared" si="41"/>
        <v>533233.00961538462</v>
      </c>
      <c r="H53" s="10">
        <v>619820</v>
      </c>
      <c r="I53" s="10">
        <f t="shared" si="55"/>
        <v>309910</v>
      </c>
      <c r="J53" s="10">
        <v>795232</v>
      </c>
      <c r="K53" s="10">
        <f t="shared" si="56"/>
        <v>397616</v>
      </c>
      <c r="L53" s="10">
        <v>698441</v>
      </c>
      <c r="M53" s="10">
        <f t="shared" si="57"/>
        <v>349220.5</v>
      </c>
      <c r="N53" s="22">
        <v>318830</v>
      </c>
      <c r="O53" s="22">
        <v>137594</v>
      </c>
      <c r="P53" s="22">
        <v>14306</v>
      </c>
      <c r="Q53" s="22">
        <v>1827</v>
      </c>
      <c r="R53" s="22">
        <v>196646</v>
      </c>
      <c r="S53" s="22">
        <v>204302</v>
      </c>
      <c r="T53" s="22">
        <v>282360</v>
      </c>
      <c r="U53" s="10">
        <v>20890540</v>
      </c>
      <c r="V53" s="10">
        <f t="shared" si="68"/>
        <v>102253.23295905082</v>
      </c>
      <c r="W53" s="22">
        <v>33601</v>
      </c>
      <c r="X53" s="22">
        <v>9547</v>
      </c>
      <c r="Y53" s="33">
        <f t="shared" si="59"/>
        <v>0.64078662610168424</v>
      </c>
      <c r="Z53" s="36">
        <f t="shared" si="42"/>
        <v>2.391595920672438</v>
      </c>
      <c r="AA53" s="36">
        <v>3.83</v>
      </c>
      <c r="AB53" s="36">
        <v>5.4</v>
      </c>
      <c r="AC53" s="36">
        <v>94.6</v>
      </c>
      <c r="AD53" s="94">
        <v>23</v>
      </c>
      <c r="AE53" s="36">
        <v>0.46862727272727284</v>
      </c>
      <c r="AF53" s="113">
        <v>1.3205499999999999</v>
      </c>
      <c r="AG53" s="114">
        <f t="shared" si="19"/>
        <v>125300</v>
      </c>
      <c r="AH53" s="114">
        <f t="shared" si="20"/>
        <v>165464.91499999998</v>
      </c>
      <c r="AI53" s="112">
        <v>10.328136000000001</v>
      </c>
      <c r="AJ53" s="111">
        <f t="shared" si="21"/>
        <v>4.8597828533567196</v>
      </c>
      <c r="AK53" s="106">
        <v>374.17320000000001</v>
      </c>
      <c r="AL53" s="106">
        <f t="shared" si="75"/>
        <v>334.87165836569801</v>
      </c>
      <c r="AM53" s="118">
        <v>950.48333333333323</v>
      </c>
      <c r="AN53" s="119">
        <f t="shared" si="22"/>
        <v>131.82766662575182</v>
      </c>
      <c r="AO53" s="133">
        <v>628963000000</v>
      </c>
      <c r="AP53" s="34">
        <f t="shared" si="46"/>
        <v>16480.969261297134</v>
      </c>
      <c r="AQ53" s="119">
        <f t="shared" si="51"/>
        <v>16822.638796510651</v>
      </c>
      <c r="AR53" s="119">
        <f t="shared" si="52"/>
        <v>19821.118659196247</v>
      </c>
      <c r="AS53" s="119">
        <f t="shared" si="47"/>
        <v>15214.807219202226</v>
      </c>
      <c r="AT53" s="119">
        <f t="shared" si="53"/>
        <v>131.92424063721128</v>
      </c>
      <c r="AU53" s="37">
        <f t="shared" si="48"/>
        <v>6.2043215625173112</v>
      </c>
      <c r="AV53" s="34">
        <f t="shared" si="49"/>
        <v>20450.646591810164</v>
      </c>
      <c r="AW53" s="34">
        <f t="shared" si="50"/>
        <v>19.411011347204834</v>
      </c>
      <c r="AX53" s="10">
        <v>645</v>
      </c>
      <c r="AY53" s="10">
        <v>146.52500000000001</v>
      </c>
      <c r="AZ53" s="22">
        <v>15899</v>
      </c>
      <c r="BA53" s="22">
        <v>56606</v>
      </c>
      <c r="BB53" s="22">
        <v>14934</v>
      </c>
      <c r="BC53" s="22">
        <v>39293</v>
      </c>
      <c r="BD53" s="22">
        <v>2379</v>
      </c>
      <c r="BE53" s="22">
        <v>11550</v>
      </c>
      <c r="BF53" s="87">
        <v>198.73922895243689</v>
      </c>
      <c r="BG53" s="22">
        <v>1527021399.9999998</v>
      </c>
      <c r="BH53" s="71">
        <f t="shared" si="33"/>
        <v>132209.645021645</v>
      </c>
      <c r="BI53" s="71">
        <f t="shared" si="34"/>
        <v>665.24181319675927</v>
      </c>
      <c r="BJ53" s="22">
        <v>23301</v>
      </c>
      <c r="BK53" s="87">
        <v>112.14759479853062</v>
      </c>
      <c r="BL53" s="22">
        <v>1719056499.9999998</v>
      </c>
      <c r="BM53" s="83">
        <f t="shared" si="32"/>
        <v>73776.082571563442</v>
      </c>
      <c r="BN53" s="83">
        <f t="shared" si="35"/>
        <v>657.84810368960382</v>
      </c>
      <c r="BO53" s="91">
        <f t="shared" si="36"/>
        <v>1.8940511661500588</v>
      </c>
      <c r="BP53" s="89">
        <f t="shared" si="37"/>
        <v>-0.2059104152254605</v>
      </c>
      <c r="BQ53" s="84">
        <v>101.11235098230269</v>
      </c>
      <c r="BR53" s="10">
        <v>25492335</v>
      </c>
      <c r="BS53" s="34">
        <f t="shared" si="63"/>
        <v>51029</v>
      </c>
      <c r="BT53" s="10">
        <f t="shared" si="60"/>
        <v>548.12795648060558</v>
      </c>
      <c r="BU53" s="30">
        <f t="shared" si="64"/>
        <v>0.20057539498955634</v>
      </c>
      <c r="BV53" s="30">
        <f t="shared" si="61"/>
        <v>-0.47080979284369562</v>
      </c>
      <c r="BW53" s="30">
        <f t="shared" si="65"/>
        <v>0.67138518783325196</v>
      </c>
      <c r="BX53" s="10">
        <v>10833.2</v>
      </c>
      <c r="BY53" s="22">
        <v>15.28</v>
      </c>
      <c r="BZ53" s="33">
        <f t="shared" si="76"/>
        <v>73.69792799999999</v>
      </c>
      <c r="CA53" s="33">
        <f t="shared" si="77"/>
        <v>11.022072000000001</v>
      </c>
      <c r="CB53" s="22">
        <v>13.01</v>
      </c>
      <c r="CC53" s="22">
        <v>8885000</v>
      </c>
      <c r="CD53" s="22">
        <v>5396300</v>
      </c>
      <c r="CE53" s="22">
        <v>3044500</v>
      </c>
      <c r="CF53" s="22">
        <v>977300</v>
      </c>
      <c r="CG53" s="30">
        <f>((CC53*100)/SUM($CC$53:$CF$53))</f>
        <v>48.543689320388353</v>
      </c>
      <c r="CH53" s="30">
        <f>((CD53*100)/SUM($CC$53:$CF$53))</f>
        <v>29.482983756849933</v>
      </c>
      <c r="CI53" s="30">
        <f>((CE53*100)/SUM($CC$53:$CF$53))</f>
        <v>16.6337942752867</v>
      </c>
      <c r="CJ53" s="30">
        <f>((CF53*100)/SUM($CC$53:$CF$53))</f>
        <v>5.3395326474750178</v>
      </c>
      <c r="CK53" s="30">
        <v>7.25</v>
      </c>
      <c r="CL53" s="30">
        <f t="shared" si="69"/>
        <v>-0.68493150684930981</v>
      </c>
      <c r="CM53" s="30">
        <f t="shared" si="71"/>
        <v>17.995210727969351</v>
      </c>
      <c r="CN53" s="30">
        <f t="shared" si="72"/>
        <v>5.557034119337839</v>
      </c>
      <c r="CO53" s="30">
        <f t="shared" si="73"/>
        <v>23.993614303959134</v>
      </c>
      <c r="CP53" s="30">
        <f t="shared" si="74"/>
        <v>4.1677755895033792</v>
      </c>
      <c r="CQ53" s="10">
        <f>AVERAGE(Quarterly!D30:D33)</f>
        <v>1565.5833333333335</v>
      </c>
      <c r="CR53" s="34">
        <v>1253</v>
      </c>
      <c r="CS53" s="33">
        <v>-0.15</v>
      </c>
      <c r="CT53" s="30">
        <f t="shared" si="30"/>
        <v>206.25</v>
      </c>
      <c r="CU53" s="30">
        <f t="shared" si="26"/>
        <v>887.69936525000014</v>
      </c>
      <c r="CV53" s="30">
        <f t="shared" si="23"/>
        <v>365.30063474999986</v>
      </c>
      <c r="CW53" s="30">
        <f t="shared" si="24"/>
        <v>607.5151515151515</v>
      </c>
      <c r="CX53" s="30">
        <f t="shared" si="25"/>
        <v>645.4848484848485</v>
      </c>
      <c r="CY53" s="33">
        <f t="shared" si="17"/>
        <v>-6.4054545454545309E-2</v>
      </c>
      <c r="CZ53" s="33">
        <f t="shared" si="27"/>
        <v>0.23999999999999488</v>
      </c>
      <c r="DA53" s="33">
        <f t="shared" si="31"/>
        <v>0.38999999999999491</v>
      </c>
      <c r="DB53" s="33">
        <f t="shared" si="28"/>
        <v>-0.12685989507181716</v>
      </c>
      <c r="DC53" s="33">
        <f t="shared" si="66"/>
        <v>1.9952462147264924</v>
      </c>
      <c r="DD53" s="33">
        <f t="shared" si="67"/>
        <v>2.302919835956402</v>
      </c>
      <c r="DE53" s="38">
        <v>24.44</v>
      </c>
      <c r="DF53" s="30">
        <f t="shared" si="70"/>
        <v>4.4077755895033741</v>
      </c>
      <c r="DG53" s="30">
        <f t="shared" si="43"/>
        <v>417.44</v>
      </c>
      <c r="DH53" s="30">
        <f t="shared" si="6"/>
        <v>467.44</v>
      </c>
      <c r="DI53" s="30">
        <f t="shared" si="7"/>
        <v>367.44</v>
      </c>
      <c r="DJ53" s="30">
        <f t="shared" si="8"/>
        <v>517.44000000000005</v>
      </c>
      <c r="DK53" s="30">
        <f t="shared" si="9"/>
        <v>317.44</v>
      </c>
      <c r="DL53" s="30">
        <f t="shared" si="44"/>
        <v>390.47500000000002</v>
      </c>
    </row>
    <row r="54" spans="1:116" ht="16" x14ac:dyDescent="0.4">
      <c r="A54" s="18">
        <v>2015</v>
      </c>
      <c r="B54" s="12">
        <v>46449000</v>
      </c>
      <c r="C54" s="10">
        <v>18171401</v>
      </c>
      <c r="D54" s="127">
        <v>38102545.920077994</v>
      </c>
      <c r="E54" s="10">
        <f t="shared" si="62"/>
        <v>698900.0384615385</v>
      </c>
      <c r="F54" s="10">
        <f t="shared" si="54"/>
        <v>349450.01923076925</v>
      </c>
      <c r="G54" s="10">
        <f t="shared" si="41"/>
        <v>524175.02884615387</v>
      </c>
      <c r="H54" s="10">
        <v>591237</v>
      </c>
      <c r="I54" s="10">
        <f t="shared" si="55"/>
        <v>295618.5</v>
      </c>
      <c r="J54" s="10">
        <v>803340</v>
      </c>
      <c r="K54" s="10">
        <f t="shared" si="56"/>
        <v>401670</v>
      </c>
      <c r="L54" s="10">
        <v>730731</v>
      </c>
      <c r="M54" s="10">
        <f t="shared" si="57"/>
        <v>365365.5</v>
      </c>
      <c r="N54" s="22">
        <v>355556</v>
      </c>
      <c r="O54" s="22">
        <v>151206</v>
      </c>
      <c r="P54" s="22">
        <v>14992</v>
      </c>
      <c r="Q54" s="22">
        <v>1720</v>
      </c>
      <c r="R54" s="22">
        <v>196668</v>
      </c>
      <c r="S54" s="22">
        <v>246767</v>
      </c>
      <c r="T54" s="22">
        <v>302418</v>
      </c>
      <c r="U54" s="10">
        <v>26338940</v>
      </c>
      <c r="V54" s="10">
        <f t="shared" si="68"/>
        <v>106736.07086847107</v>
      </c>
      <c r="W54" s="22">
        <v>29029</v>
      </c>
      <c r="X54" s="22">
        <v>7055</v>
      </c>
      <c r="Y54" s="33">
        <f t="shared" si="59"/>
        <v>0.6940313199608501</v>
      </c>
      <c r="Z54" s="36">
        <f t="shared" si="42"/>
        <v>4.8840549386008121</v>
      </c>
      <c r="AA54" s="36">
        <v>3.31</v>
      </c>
      <c r="AB54" s="36">
        <v>7.4</v>
      </c>
      <c r="AC54" s="36">
        <v>92.6</v>
      </c>
      <c r="AD54" s="94">
        <v>23</v>
      </c>
      <c r="AE54" s="36">
        <v>0.15673636363636365</v>
      </c>
      <c r="AF54" s="113">
        <v>1.1029583333333333</v>
      </c>
      <c r="AG54" s="114">
        <f t="shared" si="19"/>
        <v>127800</v>
      </c>
      <c r="AH54" s="114">
        <f t="shared" si="20"/>
        <v>140958.07499999998</v>
      </c>
      <c r="AI54" s="112">
        <v>10.837680000000001</v>
      </c>
      <c r="AJ54" s="111">
        <f t="shared" si="21"/>
        <v>4.9335523854449548</v>
      </c>
      <c r="AK54" s="106">
        <v>251.56777449999996</v>
      </c>
      <c r="AL54" s="106">
        <f t="shared" si="75"/>
        <v>508.01419320899555</v>
      </c>
      <c r="AM54" s="118">
        <v>1042.9791666666667</v>
      </c>
      <c r="AN54" s="119">
        <f t="shared" si="22"/>
        <v>122.53360765435551</v>
      </c>
      <c r="AO54" s="133">
        <v>653814000000</v>
      </c>
      <c r="AP54" s="34">
        <f t="shared" si="46"/>
        <v>17159.325819629157</v>
      </c>
      <c r="AQ54" s="119">
        <f t="shared" si="51"/>
        <v>16738.525602528098</v>
      </c>
      <c r="AR54" s="119">
        <f t="shared" si="52"/>
        <v>20216.591896610378</v>
      </c>
      <c r="AS54" s="119">
        <f t="shared" si="47"/>
        <v>14169.454145969758</v>
      </c>
      <c r="AT54" s="119">
        <f t="shared" si="53"/>
        <v>122.86021449497274</v>
      </c>
      <c r="AU54" s="37">
        <f t="shared" si="48"/>
        <v>6.2202951322465081</v>
      </c>
      <c r="AV54" s="34">
        <f t="shared" si="49"/>
        <v>21347.214173694214</v>
      </c>
      <c r="AW54" s="34">
        <f t="shared" si="50"/>
        <v>19.617961950396861</v>
      </c>
      <c r="AX54" s="10">
        <v>645</v>
      </c>
      <c r="AY54" s="10">
        <v>152.875</v>
      </c>
      <c r="AZ54" s="22">
        <v>15718</v>
      </c>
      <c r="BA54" s="22">
        <v>64156</v>
      </c>
      <c r="BB54" s="22">
        <v>17915</v>
      </c>
      <c r="BC54" s="22">
        <v>43700</v>
      </c>
      <c r="BD54" s="22">
        <v>2541</v>
      </c>
      <c r="BE54" s="22">
        <v>14651</v>
      </c>
      <c r="BF54" s="87">
        <v>201.52778170772271</v>
      </c>
      <c r="BG54" s="22">
        <v>2013348599.9999998</v>
      </c>
      <c r="BH54" s="71">
        <f t="shared" si="33"/>
        <v>137420.55832366389</v>
      </c>
      <c r="BI54" s="71">
        <f t="shared" si="34"/>
        <v>681.89386673727188</v>
      </c>
      <c r="BJ54" s="22">
        <v>35025</v>
      </c>
      <c r="BK54" s="87">
        <v>113.62321060148459</v>
      </c>
      <c r="BL54" s="22">
        <v>2698152700</v>
      </c>
      <c r="BM54" s="83">
        <f t="shared" si="32"/>
        <v>77035.052105638824</v>
      </c>
      <c r="BN54" s="83">
        <f t="shared" si="35"/>
        <v>677.98693328449474</v>
      </c>
      <c r="BO54" s="91">
        <f t="shared" si="36"/>
        <v>1.879576504028212</v>
      </c>
      <c r="BP54" s="89">
        <f t="shared" si="37"/>
        <v>2.7806789747127567</v>
      </c>
      <c r="BQ54" s="84">
        <v>100.00061646188163</v>
      </c>
      <c r="BR54" s="10">
        <v>25541915</v>
      </c>
      <c r="BS54" s="34">
        <f t="shared" si="63"/>
        <v>49580</v>
      </c>
      <c r="BT54" s="10">
        <f t="shared" si="60"/>
        <v>549.89160154147567</v>
      </c>
      <c r="BU54" s="30">
        <f t="shared" si="64"/>
        <v>0.19448983390498142</v>
      </c>
      <c r="BV54" s="30">
        <f t="shared" si="61"/>
        <v>-0.12685989507181716</v>
      </c>
      <c r="BW54" s="30">
        <f t="shared" si="65"/>
        <v>0.32134972897679859</v>
      </c>
      <c r="BX54" s="10">
        <v>11491.999999999998</v>
      </c>
      <c r="BY54" s="22">
        <v>12.71</v>
      </c>
      <c r="BZ54" s="33">
        <f t="shared" si="76"/>
        <v>75.785178000000002</v>
      </c>
      <c r="CA54" s="33">
        <f t="shared" si="77"/>
        <v>11.504821999999999</v>
      </c>
      <c r="CB54" s="22">
        <v>13.18</v>
      </c>
      <c r="CC54" s="22">
        <v>8975000</v>
      </c>
      <c r="CD54" s="22">
        <v>5199800</v>
      </c>
      <c r="CE54" s="22">
        <v>3203500</v>
      </c>
      <c r="CF54" s="22">
        <v>967900</v>
      </c>
      <c r="CG54" s="30">
        <f>((CC54*100)/SUM($CC$54:$CF$54))</f>
        <v>48.920212360052766</v>
      </c>
      <c r="CH54" s="30">
        <f>((CD54*100)/SUM($CC$54:$CF$54))</f>
        <v>28.342654064601934</v>
      </c>
      <c r="CI54" s="30">
        <f>((CE54*100)/SUM($CC$54:$CF$54))</f>
        <v>17.461381648515768</v>
      </c>
      <c r="CJ54" s="30">
        <f>((CF54*100)/SUM($CC$54:$CF$54))</f>
        <v>5.2757519268295345</v>
      </c>
      <c r="CK54" s="30">
        <v>7.4</v>
      </c>
      <c r="CL54" s="30">
        <f t="shared" si="69"/>
        <v>2.0689655172413808</v>
      </c>
      <c r="CM54" s="30">
        <f t="shared" si="71"/>
        <v>17.334834834834833</v>
      </c>
      <c r="CN54" s="30">
        <f t="shared" si="72"/>
        <v>5.7687310524036386</v>
      </c>
      <c r="CO54" s="30">
        <f t="shared" si="73"/>
        <v>23.113113113113108</v>
      </c>
      <c r="CP54" s="30">
        <f t="shared" si="74"/>
        <v>4.3265482893027292</v>
      </c>
      <c r="CQ54" s="10">
        <f>AVERAGE(Quarterly!D34:D37)</f>
        <v>1539.3333333333333</v>
      </c>
      <c r="CR54" s="34">
        <v>1278</v>
      </c>
      <c r="CS54" s="33">
        <v>-0.5</v>
      </c>
      <c r="CT54" s="30">
        <f t="shared" si="30"/>
        <v>205.75</v>
      </c>
      <c r="CU54" s="30">
        <f t="shared" si="26"/>
        <v>881.30936525000016</v>
      </c>
      <c r="CV54" s="30">
        <f t="shared" si="23"/>
        <v>396.69063474999984</v>
      </c>
      <c r="CW54" s="30">
        <f t="shared" si="24"/>
        <v>621.14216281895506</v>
      </c>
      <c r="CX54" s="30">
        <f t="shared" si="25"/>
        <v>656.85783718104494</v>
      </c>
      <c r="CY54" s="33">
        <f t="shared" si="17"/>
        <v>-0.31189090909090922</v>
      </c>
      <c r="CZ54" s="33">
        <f t="shared" si="27"/>
        <v>1.9952114924181927</v>
      </c>
      <c r="DA54" s="33">
        <f t="shared" si="31"/>
        <v>2.4952114924181927</v>
      </c>
      <c r="DB54" s="33">
        <f t="shared" si="28"/>
        <v>-1.9376089905051685E-2</v>
      </c>
      <c r="DC54" s="33">
        <f t="shared" si="66"/>
        <v>11.518991311984436</v>
      </c>
      <c r="DD54" s="33">
        <f t="shared" si="67"/>
        <v>20.785405918688994</v>
      </c>
      <c r="DE54" s="38">
        <v>22.06</v>
      </c>
      <c r="DF54" s="30">
        <f t="shared" si="70"/>
        <v>6.3217597817209219</v>
      </c>
      <c r="DG54" s="30">
        <f t="shared" si="43"/>
        <v>419.76</v>
      </c>
      <c r="DH54" s="30">
        <f t="shared" si="6"/>
        <v>469.76</v>
      </c>
      <c r="DI54" s="30">
        <f t="shared" si="7"/>
        <v>369.76</v>
      </c>
      <c r="DJ54" s="30">
        <f t="shared" si="8"/>
        <v>519.76</v>
      </c>
      <c r="DK54" s="30">
        <f t="shared" si="9"/>
        <v>319.76</v>
      </c>
      <c r="DL54" s="30">
        <f t="shared" si="44"/>
        <v>393.4</v>
      </c>
    </row>
    <row r="55" spans="1:116" ht="16" x14ac:dyDescent="0.4">
      <c r="A55" s="18">
        <v>2016</v>
      </c>
      <c r="B55" s="12">
        <v>46440000</v>
      </c>
      <c r="C55" s="10">
        <v>17870984</v>
      </c>
      <c r="D55" s="127">
        <v>38103799.890201993</v>
      </c>
      <c r="E55" s="10">
        <f t="shared" si="62"/>
        <v>687345.5384615385</v>
      </c>
      <c r="F55" s="10">
        <f t="shared" si="54"/>
        <v>343672.76923076925</v>
      </c>
      <c r="G55" s="10">
        <f t="shared" si="41"/>
        <v>515509.15384615387</v>
      </c>
      <c r="H55" s="10">
        <v>563692</v>
      </c>
      <c r="I55" s="10">
        <f t="shared" si="55"/>
        <v>281846</v>
      </c>
      <c r="J55" s="10">
        <v>805801</v>
      </c>
      <c r="K55" s="10">
        <f t="shared" si="56"/>
        <v>402900.5</v>
      </c>
      <c r="L55" s="10">
        <v>719688</v>
      </c>
      <c r="M55" s="10">
        <f t="shared" si="57"/>
        <v>359844</v>
      </c>
      <c r="N55" s="22">
        <v>405385</v>
      </c>
      <c r="O55" s="22">
        <v>159988</v>
      </c>
      <c r="P55" s="22">
        <v>16148</v>
      </c>
      <c r="Q55" s="22">
        <v>1313</v>
      </c>
      <c r="R55" s="22">
        <v>187238</v>
      </c>
      <c r="S55" s="22">
        <v>282707</v>
      </c>
      <c r="T55" s="22">
        <v>309357</v>
      </c>
      <c r="U55" s="10">
        <v>31036970</v>
      </c>
      <c r="V55" s="10">
        <f t="shared" si="68"/>
        <v>109784.93634752589</v>
      </c>
      <c r="W55" s="22">
        <v>22583</v>
      </c>
      <c r="X55" s="22">
        <v>7440</v>
      </c>
      <c r="Y55" s="33">
        <f t="shared" si="59"/>
        <v>0.69737903474474883</v>
      </c>
      <c r="Z55" s="36">
        <f t="shared" si="42"/>
        <v>3.056452794493322</v>
      </c>
      <c r="AA55" s="36">
        <v>3.21</v>
      </c>
      <c r="AB55" s="36">
        <v>23.7</v>
      </c>
      <c r="AC55" s="36">
        <v>76.3</v>
      </c>
      <c r="AD55" s="94">
        <v>23</v>
      </c>
      <c r="AE55" s="36">
        <v>-4.1390909090909096E-2</v>
      </c>
      <c r="AF55" s="113">
        <v>1.1034249999999999</v>
      </c>
      <c r="AG55" s="114">
        <f t="shared" si="19"/>
        <v>131000</v>
      </c>
      <c r="AH55" s="114">
        <f t="shared" si="20"/>
        <v>144548.67499999999</v>
      </c>
      <c r="AI55" s="112">
        <v>11.392602</v>
      </c>
      <c r="AJ55" s="111">
        <f t="shared" si="21"/>
        <v>5.1203025001660762</v>
      </c>
      <c r="AK55" s="106">
        <v>538.52805583333338</v>
      </c>
      <c r="AL55" s="106">
        <f t="shared" si="75"/>
        <v>243.25566436327432</v>
      </c>
      <c r="AM55" s="118">
        <v>1129.9566666666667</v>
      </c>
      <c r="AN55" s="119">
        <f t="shared" si="22"/>
        <v>115.9336493729848</v>
      </c>
      <c r="AO55" s="133">
        <v>671205000000</v>
      </c>
      <c r="AP55" s="34">
        <f t="shared" si="46"/>
        <v>17615.172290798051</v>
      </c>
      <c r="AQ55" s="119">
        <f t="shared" si="51"/>
        <v>16705.048551323041</v>
      </c>
      <c r="AR55" s="119">
        <f t="shared" si="52"/>
        <v>20722.797640500463</v>
      </c>
      <c r="AS55" s="119">
        <f t="shared" si="47"/>
        <v>13730.489896316998</v>
      </c>
      <c r="AT55" s="119">
        <f t="shared" si="53"/>
        <v>119.05405221713352</v>
      </c>
      <c r="AU55" s="37">
        <f t="shared" si="48"/>
        <v>6.2324077525416079</v>
      </c>
      <c r="AV55" s="34">
        <f t="shared" si="49"/>
        <v>21956.987269505178</v>
      </c>
      <c r="AW55" s="34">
        <f t="shared" si="50"/>
        <v>19.774183613692898</v>
      </c>
      <c r="AX55" s="10">
        <v>648</v>
      </c>
      <c r="AY55" s="10">
        <v>160.92500000000001</v>
      </c>
      <c r="AZ55" s="22">
        <v>17396</v>
      </c>
      <c r="BA55" s="22">
        <v>66417</v>
      </c>
      <c r="BB55" s="22">
        <v>19285</v>
      </c>
      <c r="BC55" s="22">
        <v>44361</v>
      </c>
      <c r="BD55" s="22">
        <v>2771</v>
      </c>
      <c r="BE55" s="22">
        <v>17134</v>
      </c>
      <c r="BF55" s="87">
        <v>198.13151507455737</v>
      </c>
      <c r="BG55" s="22">
        <v>2337858800.0000005</v>
      </c>
      <c r="BH55" s="71">
        <f t="shared" si="33"/>
        <v>136445.59355667097</v>
      </c>
      <c r="BI55" s="71">
        <f t="shared" si="34"/>
        <v>688.66173816581454</v>
      </c>
      <c r="BJ55" s="22">
        <v>46889</v>
      </c>
      <c r="BK55" s="87">
        <v>116.65208387727343</v>
      </c>
      <c r="BL55" s="22">
        <v>3646366499.9999995</v>
      </c>
      <c r="BM55" s="83">
        <f t="shared" si="32"/>
        <v>77765.925910128164</v>
      </c>
      <c r="BN55" s="83">
        <f t="shared" si="35"/>
        <v>666.64840717242259</v>
      </c>
      <c r="BO55" s="91">
        <f t="shared" si="36"/>
        <v>1.9331368609700337</v>
      </c>
      <c r="BP55" s="89">
        <f t="shared" si="37"/>
        <v>-0.3361070090449374</v>
      </c>
      <c r="BQ55" s="84">
        <v>98.831387763584075</v>
      </c>
      <c r="BR55" s="10">
        <v>25586279</v>
      </c>
      <c r="BS55" s="34">
        <f t="shared" si="63"/>
        <v>44364</v>
      </c>
      <c r="BT55" s="10">
        <f t="shared" si="60"/>
        <v>550.95346683893194</v>
      </c>
      <c r="BU55" s="30">
        <f t="shared" si="64"/>
        <v>0.17369097031291858</v>
      </c>
      <c r="BV55" s="30">
        <f t="shared" si="61"/>
        <v>-1.9376089905051685E-2</v>
      </c>
      <c r="BW55" s="30">
        <f t="shared" si="65"/>
        <v>0.19306706021797027</v>
      </c>
      <c r="BX55" s="10">
        <v>11157.839999999998</v>
      </c>
      <c r="BY55" s="22">
        <v>12.54</v>
      </c>
      <c r="BZ55" s="33">
        <f t="shared" si="76"/>
        <v>75.871549999999999</v>
      </c>
      <c r="CA55" s="33">
        <f>(CB55*(100-BY55))/100</f>
        <v>11.58845</v>
      </c>
      <c r="CB55" s="22">
        <v>13.25</v>
      </c>
      <c r="CC55" s="22">
        <v>8963700</v>
      </c>
      <c r="CD55" s="22">
        <v>5306900</v>
      </c>
      <c r="CE55" s="22">
        <v>3190600</v>
      </c>
      <c r="CF55" s="22">
        <v>944800</v>
      </c>
      <c r="CG55" s="30">
        <f>((CC55*100)/SUM($CC$55:$CF$55))</f>
        <v>48.699880473758554</v>
      </c>
      <c r="CH55" s="30">
        <f>((CD55*100)/SUM($CC$55:$CF$55))</f>
        <v>28.832445941540801</v>
      </c>
      <c r="CI55" s="30">
        <f>((CE55*100)/SUM($CC$55:$CF$55))</f>
        <v>17.334564815820929</v>
      </c>
      <c r="CJ55" s="30">
        <f>((CF55*100)/SUM($CC$55:$CF$55))</f>
        <v>5.1331087688797128</v>
      </c>
      <c r="CK55" s="30">
        <v>7.9</v>
      </c>
      <c r="CL55" s="30">
        <f t="shared" si="69"/>
        <v>6.7567567567567579</v>
      </c>
      <c r="CM55" s="30">
        <f t="shared" si="71"/>
        <v>15.974859353023909</v>
      </c>
      <c r="CN55" s="30">
        <f>100/CM55</f>
        <v>6.2598360204699279</v>
      </c>
      <c r="CO55" s="30">
        <f t="shared" si="73"/>
        <v>21.299812470698544</v>
      </c>
      <c r="CP55" s="30">
        <f t="shared" si="74"/>
        <v>4.6948770153524464</v>
      </c>
      <c r="CQ55" s="10">
        <f>AVERAGE(Quarterly!D38:D41)</f>
        <v>1514.4166666666667</v>
      </c>
      <c r="CR55" s="34">
        <v>1310</v>
      </c>
      <c r="CS55" s="33">
        <v>-0.2</v>
      </c>
      <c r="CT55" s="30">
        <f t="shared" si="30"/>
        <v>205.55</v>
      </c>
      <c r="CU55" s="30">
        <f t="shared" si="26"/>
        <v>878.68936525000015</v>
      </c>
      <c r="CV55" s="30">
        <f t="shared" si="23"/>
        <v>431.31063474999985</v>
      </c>
      <c r="CW55" s="30">
        <f t="shared" si="24"/>
        <v>637.31452201410855</v>
      </c>
      <c r="CX55" s="30">
        <f t="shared" si="25"/>
        <v>672.68547798589145</v>
      </c>
      <c r="CY55" s="33">
        <f t="shared" si="17"/>
        <v>-0.19812727272727274</v>
      </c>
      <c r="CZ55" s="33">
        <f t="shared" si="27"/>
        <v>2.5039123630672862</v>
      </c>
      <c r="DA55" s="33">
        <f t="shared" si="31"/>
        <v>2.7039123630672863</v>
      </c>
      <c r="DB55" s="33">
        <f t="shared" si="28"/>
        <v>0.23471145564168694</v>
      </c>
      <c r="DC55" s="33">
        <f t="shared" si="66"/>
        <v>14.014388732014083</v>
      </c>
      <c r="DD55" s="33">
        <f t="shared" si="67"/>
        <v>14.564346124076565</v>
      </c>
      <c r="DE55" s="38">
        <v>19.63</v>
      </c>
      <c r="DF55" s="30">
        <f t="shared" si="70"/>
        <v>7.1987893784197325</v>
      </c>
      <c r="DG55" s="30">
        <f t="shared" si="43"/>
        <v>421.96000000000004</v>
      </c>
      <c r="DH55" s="30">
        <f t="shared" si="6"/>
        <v>471.96000000000004</v>
      </c>
      <c r="DI55" s="30">
        <f t="shared" si="7"/>
        <v>371.96000000000004</v>
      </c>
      <c r="DJ55" s="30">
        <f t="shared" si="8"/>
        <v>521.96</v>
      </c>
      <c r="DK55" s="30">
        <f t="shared" si="9"/>
        <v>321.96000000000004</v>
      </c>
      <c r="DL55" s="30">
        <f t="shared" si="44"/>
        <v>396.27499999999998</v>
      </c>
    </row>
    <row r="56" spans="1:116" ht="16" x14ac:dyDescent="0.4">
      <c r="A56" s="18">
        <v>2017</v>
      </c>
      <c r="B56" s="12">
        <v>46549000</v>
      </c>
      <c r="C56" s="10">
        <v>17626310</v>
      </c>
      <c r="D56" s="127">
        <v>38181116.413720004</v>
      </c>
      <c r="E56" s="10">
        <f t="shared" si="62"/>
        <v>677935</v>
      </c>
      <c r="F56" s="10">
        <f t="shared" si="54"/>
        <v>338967.5</v>
      </c>
      <c r="G56" s="10">
        <f t="shared" si="41"/>
        <v>508451.25</v>
      </c>
      <c r="H56" s="10">
        <v>543363</v>
      </c>
      <c r="I56" s="10">
        <f t="shared" si="55"/>
        <v>271681.5</v>
      </c>
      <c r="J56" s="10">
        <v>798927</v>
      </c>
      <c r="K56" s="10">
        <f t="shared" si="56"/>
        <v>399463.5</v>
      </c>
      <c r="L56" s="10">
        <v>724119</v>
      </c>
      <c r="M56" s="10">
        <f t="shared" si="57"/>
        <v>362059.5</v>
      </c>
      <c r="N56" s="22">
        <v>467644</v>
      </c>
      <c r="O56" s="22">
        <v>169851</v>
      </c>
      <c r="P56" s="22">
        <v>15865</v>
      </c>
      <c r="Q56" s="22">
        <v>1407</v>
      </c>
      <c r="R56" s="22">
        <v>179964</v>
      </c>
      <c r="S56" s="22">
        <v>312843</v>
      </c>
      <c r="T56" s="22">
        <v>313911</v>
      </c>
      <c r="U56" s="10">
        <v>36664867</v>
      </c>
      <c r="V56" s="10">
        <f t="shared" si="68"/>
        <v>117198.93684691683</v>
      </c>
      <c r="W56" s="22">
        <v>14469</v>
      </c>
      <c r="X56" s="22">
        <v>4572</v>
      </c>
      <c r="Y56" s="33">
        <f t="shared" si="59"/>
        <v>0.66897682852768348</v>
      </c>
      <c r="Z56" s="36">
        <f t="shared" si="42"/>
        <v>4.7932038055947936</v>
      </c>
      <c r="AA56" s="36">
        <v>2.89</v>
      </c>
      <c r="AB56" s="36">
        <v>37.799999999999997</v>
      </c>
      <c r="AC56" s="36">
        <v>62.2</v>
      </c>
      <c r="AD56" s="94">
        <v>23</v>
      </c>
      <c r="AE56" s="36">
        <v>-0.14981818181818179</v>
      </c>
      <c r="AF56" s="113">
        <v>1.139</v>
      </c>
      <c r="AG56" s="114">
        <f t="shared" si="19"/>
        <v>137200</v>
      </c>
      <c r="AH56" s="114">
        <f t="shared" si="20"/>
        <v>156270.79999999999</v>
      </c>
      <c r="AI56" s="112">
        <v>11.871539</v>
      </c>
      <c r="AJ56" s="111">
        <f t="shared" si="21"/>
        <v>4.2039298836209724</v>
      </c>
      <c r="AK56" s="106">
        <v>3705.6640219166661</v>
      </c>
      <c r="AL56" s="106">
        <f t="shared" si="75"/>
        <v>37.024403504621169</v>
      </c>
      <c r="AM56" s="118">
        <v>1112.4033333333334</v>
      </c>
      <c r="AN56" s="119">
        <f t="shared" si="22"/>
        <v>123.33655958120704</v>
      </c>
      <c r="AO56" s="133">
        <v>692498000000</v>
      </c>
      <c r="AP56" s="34">
        <f t="shared" si="46"/>
        <v>18137.185735908908</v>
      </c>
      <c r="AQ56" s="119">
        <f t="shared" si="51"/>
        <v>17032.467502928976</v>
      </c>
      <c r="AR56" s="119">
        <f t="shared" si="52"/>
        <v>21703.571269287509</v>
      </c>
      <c r="AS56" s="119">
        <f t="shared" si="47"/>
        <v>13994.655586488265</v>
      </c>
      <c r="AT56" s="119">
        <f t="shared" si="53"/>
        <v>121.34457470461308</v>
      </c>
      <c r="AU56" s="37">
        <f t="shared" si="48"/>
        <v>6.4618038627062466</v>
      </c>
      <c r="AV56" s="34">
        <f t="shared" si="49"/>
        <v>23439.787369383364</v>
      </c>
      <c r="AW56" s="34">
        <f t="shared" si="50"/>
        <v>22.622225832989514</v>
      </c>
      <c r="AX56" s="10">
        <v>655</v>
      </c>
      <c r="AY56" s="10">
        <v>162.22499999999999</v>
      </c>
      <c r="AZ56" s="22">
        <v>20789</v>
      </c>
      <c r="BA56" s="22">
        <v>70982</v>
      </c>
      <c r="BB56" s="22">
        <v>22041</v>
      </c>
      <c r="BC56" s="22">
        <v>45719</v>
      </c>
      <c r="BD56" s="22">
        <v>3222</v>
      </c>
      <c r="BE56" s="22">
        <v>19411</v>
      </c>
      <c r="BF56" s="87">
        <v>199.19877171105509</v>
      </c>
      <c r="BG56" s="22">
        <v>2714055300</v>
      </c>
      <c r="BH56" s="71">
        <f t="shared" si="33"/>
        <v>139820.47807943949</v>
      </c>
      <c r="BI56" s="71">
        <f t="shared" si="34"/>
        <v>701.91435859983153</v>
      </c>
      <c r="BJ56" s="22">
        <v>61337</v>
      </c>
      <c r="BK56" s="87">
        <v>118.89275319185471</v>
      </c>
      <c r="BL56" s="22">
        <v>4978249800</v>
      </c>
      <c r="BM56" s="83">
        <f t="shared" si="32"/>
        <v>81162.264212465554</v>
      </c>
      <c r="BN56" s="83">
        <f t="shared" si="35"/>
        <v>682.65106184811566</v>
      </c>
      <c r="BO56" s="91">
        <f t="shared" si="36"/>
        <v>1.9818492932693901</v>
      </c>
      <c r="BP56" s="89">
        <f t="shared" si="37"/>
        <v>2.158566820320587</v>
      </c>
      <c r="BQ56" s="84">
        <v>100.53840530111977</v>
      </c>
      <c r="BR56" s="10">
        <v>25645100</v>
      </c>
      <c r="BS56" s="34">
        <f t="shared" si="63"/>
        <v>58821</v>
      </c>
      <c r="BT56" s="10">
        <f t="shared" si="60"/>
        <v>550.92698017143232</v>
      </c>
      <c r="BU56" s="30">
        <f t="shared" si="64"/>
        <v>0.22989274837502194</v>
      </c>
      <c r="BV56" s="30">
        <f t="shared" si="61"/>
        <v>0.23471145564168694</v>
      </c>
      <c r="BW56" s="30">
        <f t="shared" si="65"/>
        <v>-4.818707266665001E-3</v>
      </c>
      <c r="BX56" s="10">
        <v>12392.989999999998</v>
      </c>
      <c r="BY56" s="22">
        <v>12.55</v>
      </c>
      <c r="BZ56" s="33">
        <f t="shared" si="76"/>
        <v>75.985304999999997</v>
      </c>
      <c r="CA56" s="33">
        <f t="shared" si="77"/>
        <v>11.464694999999999</v>
      </c>
      <c r="CB56" s="22">
        <v>13.11</v>
      </c>
      <c r="CC56" s="22">
        <v>9005600</v>
      </c>
      <c r="CD56" s="22">
        <v>5169000</v>
      </c>
      <c r="CE56" s="22">
        <v>3330900</v>
      </c>
      <c r="CF56" s="22">
        <v>967300</v>
      </c>
      <c r="CG56" s="30">
        <f>((CC56*100)/SUM($CC$56:$CF$56))</f>
        <v>48.750595470096577</v>
      </c>
      <c r="CH56" s="30">
        <f>((CD56*100)/SUM($CC$56:$CF$56))</f>
        <v>27.981681174483565</v>
      </c>
      <c r="CI56" s="30">
        <f>((CE56*100)/SUM($CC$56:$CF$56))</f>
        <v>18.031375860724957</v>
      </c>
      <c r="CJ56" s="30">
        <f>((CF56*100)/SUM($CC$56:$CF$56))</f>
        <v>5.2363474946949031</v>
      </c>
      <c r="CK56" s="30">
        <v>8.9499999999999993</v>
      </c>
      <c r="CL56" s="30">
        <f>((CK56*100)/CK55)-100</f>
        <v>13.291139240506311</v>
      </c>
      <c r="CM56" s="30">
        <f t="shared" si="71"/>
        <v>14.351334574798262</v>
      </c>
      <c r="CN56" s="30">
        <f>100/CM56</f>
        <v>6.9679930795847751</v>
      </c>
      <c r="CO56" s="30">
        <f t="shared" si="73"/>
        <v>19.135112766397683</v>
      </c>
      <c r="CP56" s="30">
        <f t="shared" si="74"/>
        <v>5.2259948096885811</v>
      </c>
      <c r="CQ56" s="10">
        <f>AVERAGE(Quarterly!D42:D45)</f>
        <v>1541.3333333333333</v>
      </c>
      <c r="CR56" s="34">
        <v>1372</v>
      </c>
      <c r="CS56" s="33">
        <v>1.96</v>
      </c>
      <c r="CT56" s="30">
        <f t="shared" si="30"/>
        <v>207.51000000000002</v>
      </c>
      <c r="CU56" s="30">
        <f t="shared" si="26"/>
        <v>905.58056525000018</v>
      </c>
      <c r="CV56" s="30">
        <f t="shared" si="23"/>
        <v>466.41943474999982</v>
      </c>
      <c r="CW56" s="30">
        <f t="shared" si="24"/>
        <v>661.17295552021585</v>
      </c>
      <c r="CX56" s="30">
        <f t="shared" si="25"/>
        <v>710.82704447978415</v>
      </c>
      <c r="CY56" s="33">
        <f t="shared" si="17"/>
        <v>-0.10842727272727271</v>
      </c>
      <c r="CZ56" s="33">
        <f t="shared" si="27"/>
        <v>4.7328244274809208</v>
      </c>
      <c r="DA56" s="33">
        <f t="shared" si="31"/>
        <v>2.7728244274809208</v>
      </c>
      <c r="DB56" s="33">
        <f t="shared" si="28"/>
        <v>0.23512212936904575</v>
      </c>
      <c r="DC56" s="33">
        <f t="shared" si="66"/>
        <v>15.357993018981958</v>
      </c>
      <c r="DD56" s="33">
        <f t="shared" si="67"/>
        <v>10.659799721973627</v>
      </c>
      <c r="DE56" s="38">
        <v>17.22</v>
      </c>
      <c r="DF56" s="30">
        <f t="shared" si="70"/>
        <v>9.9588192371695019</v>
      </c>
      <c r="DG56" s="30">
        <f t="shared" si="43"/>
        <v>424.04</v>
      </c>
      <c r="DH56" s="30">
        <f t="shared" si="6"/>
        <v>474.04</v>
      </c>
      <c r="DI56" s="30">
        <f t="shared" si="7"/>
        <v>374.04</v>
      </c>
      <c r="DJ56" s="30">
        <f t="shared" si="8"/>
        <v>524.04</v>
      </c>
      <c r="DK56" s="30">
        <f t="shared" si="9"/>
        <v>324.04000000000002</v>
      </c>
      <c r="DL56" s="30">
        <f t="shared" si="44"/>
        <v>399.1</v>
      </c>
    </row>
    <row r="57" spans="1:116" ht="16" x14ac:dyDescent="0.4">
      <c r="A57" s="18">
        <v>2018</v>
      </c>
      <c r="B57" s="12">
        <v>46658447</v>
      </c>
      <c r="C57" s="10">
        <v>17425139</v>
      </c>
      <c r="D57" s="127">
        <v>38317702.677854009</v>
      </c>
      <c r="E57" s="10">
        <f>C57/26</f>
        <v>670197.65384615387</v>
      </c>
      <c r="F57" s="10">
        <f>E57/2</f>
        <v>335098.82692307694</v>
      </c>
      <c r="G57" s="10">
        <f t="shared" si="41"/>
        <v>502648.24038461538</v>
      </c>
      <c r="H57" s="10">
        <v>531498</v>
      </c>
      <c r="I57" s="10">
        <f t="shared" si="55"/>
        <v>265749</v>
      </c>
      <c r="J57" s="10">
        <v>791467.40806499997</v>
      </c>
      <c r="K57" s="10">
        <f t="shared" si="56"/>
        <v>395733.70403249998</v>
      </c>
      <c r="L57" s="10">
        <v>741197</v>
      </c>
      <c r="M57" s="10">
        <f t="shared" si="57"/>
        <v>370598.5</v>
      </c>
      <c r="N57" s="22">
        <v>517984</v>
      </c>
      <c r="O57" s="22">
        <v>179385</v>
      </c>
      <c r="P57" s="22">
        <v>16278</v>
      </c>
      <c r="Q57" s="22">
        <v>1338</v>
      </c>
      <c r="R57" s="22">
        <v>210091</v>
      </c>
      <c r="S57" s="22">
        <v>348326</v>
      </c>
      <c r="T57" s="22">
        <v>342799</v>
      </c>
      <c r="U57" s="10">
        <v>43284882</v>
      </c>
      <c r="V57" s="10">
        <f t="shared" si="68"/>
        <v>124265.43525318237</v>
      </c>
      <c r="W57" s="22">
        <v>11970</v>
      </c>
      <c r="X57" s="22">
        <v>4049</v>
      </c>
      <c r="Y57" s="33">
        <f t="shared" si="59"/>
        <v>0.67246478655711373</v>
      </c>
      <c r="Z57" s="36">
        <f t="shared" si="42"/>
        <v>4.3594901953724037</v>
      </c>
      <c r="AA57" s="36">
        <v>2.63</v>
      </c>
      <c r="AB57" s="36">
        <v>39.200000000000003</v>
      </c>
      <c r="AC57" s="36">
        <v>60.8</v>
      </c>
      <c r="AD57" s="94">
        <v>24</v>
      </c>
      <c r="AE57" s="36">
        <v>-0.17148181818181818</v>
      </c>
      <c r="AF57" s="113">
        <v>1.1781333333333335</v>
      </c>
      <c r="AG57" s="114">
        <f t="shared" si="19"/>
        <v>140700</v>
      </c>
      <c r="AH57" s="114">
        <f t="shared" si="20"/>
        <v>165763.36000000002</v>
      </c>
      <c r="AI57" s="112">
        <v>12.363619</v>
      </c>
      <c r="AJ57" s="111">
        <f t="shared" si="21"/>
        <v>4.1450396616647538</v>
      </c>
      <c r="AK57" s="106">
        <v>6065.6484375</v>
      </c>
      <c r="AL57" s="106">
        <f t="shared" si="75"/>
        <v>23.196200942036544</v>
      </c>
      <c r="AM57" s="118">
        <v>1073.2033333333334</v>
      </c>
      <c r="AN57" s="119">
        <f t="shared" si="22"/>
        <v>131.10283543659014</v>
      </c>
      <c r="AO57" s="133">
        <v>712210000000</v>
      </c>
      <c r="AP57" s="34">
        <f t="shared" si="46"/>
        <v>18586.970257265108</v>
      </c>
      <c r="AQ57" s="119">
        <f t="shared" si="51"/>
        <v>17316.90971022789</v>
      </c>
      <c r="AR57" s="119">
        <f t="shared" si="52"/>
        <v>22257.233801667291</v>
      </c>
      <c r="AS57" s="119">
        <f t="shared" si="47"/>
        <v>13933.191283454562</v>
      </c>
      <c r="AT57" s="119">
        <f t="shared" si="53"/>
        <v>120.81163127738496</v>
      </c>
      <c r="AU57" s="37">
        <f t="shared" si="48"/>
        <v>6.685620815722273</v>
      </c>
      <c r="AV57" s="34">
        <f t="shared" si="49"/>
        <v>24853.087050636474</v>
      </c>
      <c r="AW57" s="34">
        <f t="shared" si="50"/>
        <v>25.21262964477846</v>
      </c>
      <c r="AX57" s="10">
        <v>707</v>
      </c>
      <c r="AY57" s="10">
        <v>159.69999999999999</v>
      </c>
      <c r="AZ57" s="22">
        <v>21901</v>
      </c>
      <c r="BA57" s="22">
        <v>74081</v>
      </c>
      <c r="BB57" s="22">
        <v>24175</v>
      </c>
      <c r="BC57" s="22">
        <v>46560</v>
      </c>
      <c r="BD57" s="22">
        <v>3346</v>
      </c>
      <c r="BE57" s="22">
        <v>21254</v>
      </c>
      <c r="BF57" s="87">
        <v>200.23759273547648</v>
      </c>
      <c r="BG57" s="22">
        <v>3063400400</v>
      </c>
      <c r="BH57" s="71">
        <f t="shared" si="33"/>
        <v>144132.88792697844</v>
      </c>
      <c r="BI57" s="71">
        <f t="shared" si="34"/>
        <v>719.80933229348659</v>
      </c>
      <c r="BJ57" s="22">
        <v>79453</v>
      </c>
      <c r="BK57" s="87">
        <v>117.0283231932777</v>
      </c>
      <c r="BL57" s="22">
        <v>6541922000</v>
      </c>
      <c r="BM57" s="83">
        <f t="shared" si="32"/>
        <v>82337.004266673379</v>
      </c>
      <c r="BN57" s="83">
        <f t="shared" si="35"/>
        <v>703.56476124749736</v>
      </c>
      <c r="BO57" s="91">
        <f t="shared" si="36"/>
        <v>1.9769925648987337</v>
      </c>
      <c r="BP57" s="89">
        <f t="shared" si="37"/>
        <v>2.8029497573672728</v>
      </c>
      <c r="BQ57" s="84">
        <v>102.65783758787809</v>
      </c>
      <c r="BR57" s="10">
        <v>25712558</v>
      </c>
      <c r="BS57" s="34">
        <f t="shared" si="63"/>
        <v>67458</v>
      </c>
      <c r="BT57" s="10">
        <f t="shared" si="60"/>
        <v>551.08045066309217</v>
      </c>
      <c r="BU57" s="30">
        <f t="shared" si="64"/>
        <v>0.26304440224448911</v>
      </c>
      <c r="BV57" s="30">
        <f t="shared" si="61"/>
        <v>0.23512212936904575</v>
      </c>
      <c r="BW57" s="30">
        <f t="shared" si="65"/>
        <v>2.7922272875443355E-2</v>
      </c>
      <c r="BX57" s="10">
        <v>13461.079999999998</v>
      </c>
      <c r="BY57" s="22">
        <v>12.18</v>
      </c>
      <c r="BZ57" s="33">
        <f t="shared" si="76"/>
        <v>76.719551999999993</v>
      </c>
      <c r="CA57" s="33">
        <f t="shared" si="77"/>
        <v>11.100447999999998</v>
      </c>
      <c r="CB57" s="22">
        <v>12.64</v>
      </c>
      <c r="CC57" s="22">
        <v>9104600</v>
      </c>
      <c r="CD57" s="22">
        <v>5119400</v>
      </c>
      <c r="CE57" s="22">
        <v>3291300</v>
      </c>
      <c r="CF57" s="22">
        <v>1020600</v>
      </c>
      <c r="CG57" s="30">
        <f>((CC57*100)/SUM($CC$57:$CF$57))</f>
        <v>49.118737153307904</v>
      </c>
      <c r="CH57" s="30">
        <f>((CD57*100)/SUM($CC$57:$CF$57))</f>
        <v>27.618836959629693</v>
      </c>
      <c r="CI57" s="30">
        <f>((CE57*100)/SUM($CC$57:$CF$57))</f>
        <v>17.756353886242373</v>
      </c>
      <c r="CJ57" s="30">
        <f>((CF57*100)/SUM($CC$57:$CF$57))</f>
        <v>5.5060720008200299</v>
      </c>
      <c r="CK57" s="30">
        <v>10.050000000000001</v>
      </c>
      <c r="CL57" s="30">
        <f>((CK57*100)/CK56)-100</f>
        <v>12.290502793296113</v>
      </c>
      <c r="CM57" s="30">
        <f t="shared" si="71"/>
        <v>13.574488667772249</v>
      </c>
      <c r="CN57" s="30">
        <f>100/CM57</f>
        <v>7.3667599898192933</v>
      </c>
      <c r="CO57" s="30">
        <f t="shared" si="73"/>
        <v>18.099318223696333</v>
      </c>
      <c r="CP57" s="30">
        <f>100/CO57</f>
        <v>5.5250699923644691</v>
      </c>
      <c r="CQ57" s="10">
        <f>AVERAGE(Quarterly!D46:D49)</f>
        <v>1637.0833333333333</v>
      </c>
      <c r="CR57" s="34">
        <v>1407</v>
      </c>
      <c r="CS57" s="33">
        <v>1.67</v>
      </c>
      <c r="CT57" s="30">
        <f t="shared" si="30"/>
        <v>209.18</v>
      </c>
      <c r="CU57" s="30">
        <f t="shared" si="26"/>
        <v>929.07746525000016</v>
      </c>
      <c r="CV57" s="30">
        <f t="shared" si="23"/>
        <v>477.92253474999984</v>
      </c>
      <c r="CW57" s="30">
        <f t="shared" si="24"/>
        <v>672.62644612295628</v>
      </c>
      <c r="CX57" s="30">
        <f t="shared" si="25"/>
        <v>734.37355387704372</v>
      </c>
      <c r="CY57" s="33">
        <f t="shared" si="17"/>
        <v>-2.1663636363636385E-2</v>
      </c>
      <c r="CZ57" s="33">
        <f t="shared" si="27"/>
        <v>2.5510204081632679</v>
      </c>
      <c r="DA57" s="33">
        <f t="shared" si="31"/>
        <v>0.88102040816326799</v>
      </c>
      <c r="DB57" s="33">
        <f t="shared" si="28"/>
        <v>0.59713303359625058</v>
      </c>
      <c r="DC57" s="33">
        <f t="shared" si="66"/>
        <v>10.764598711840634</v>
      </c>
      <c r="DD57" s="33">
        <f t="shared" si="67"/>
        <v>11.34211089907717</v>
      </c>
      <c r="DE57" s="38">
        <v>15.25</v>
      </c>
      <c r="DF57" s="30">
        <f t="shared" si="70"/>
        <v>8.0760904005277361</v>
      </c>
      <c r="DG57" s="30">
        <f t="shared" si="43"/>
        <v>426</v>
      </c>
      <c r="DH57" s="30">
        <f t="shared" si="6"/>
        <v>476</v>
      </c>
      <c r="DI57" s="30">
        <f t="shared" si="7"/>
        <v>376</v>
      </c>
      <c r="DJ57" s="30">
        <f t="shared" si="8"/>
        <v>526</v>
      </c>
      <c r="DK57" s="30">
        <f t="shared" si="9"/>
        <v>326</v>
      </c>
      <c r="DL57" s="30">
        <f t="shared" si="44"/>
        <v>401.875</v>
      </c>
    </row>
    <row r="58" spans="1:116" ht="16" x14ac:dyDescent="0.4">
      <c r="A58" s="18">
        <v>2019</v>
      </c>
      <c r="B58" s="12">
        <v>46937060</v>
      </c>
      <c r="C58" s="10">
        <v>17297371</v>
      </c>
      <c r="D58" s="127">
        <v>38612346.577307008</v>
      </c>
      <c r="E58" s="10">
        <f t="shared" si="62"/>
        <v>665283.5</v>
      </c>
      <c r="F58" s="10">
        <f t="shared" si="54"/>
        <v>332641.75</v>
      </c>
      <c r="G58" s="10">
        <f t="shared" si="41"/>
        <v>498962.625</v>
      </c>
      <c r="H58" s="10">
        <v>531765</v>
      </c>
      <c r="I58" s="10">
        <f t="shared" si="55"/>
        <v>265882.5</v>
      </c>
      <c r="J58" s="10">
        <v>779874.82120899996</v>
      </c>
      <c r="K58" s="10">
        <f t="shared" si="56"/>
        <v>389937.41060449998</v>
      </c>
      <c r="L58" s="10">
        <v>737469</v>
      </c>
      <c r="M58" s="10">
        <f t="shared" si="57"/>
        <v>368734.5</v>
      </c>
      <c r="N58" s="22">
        <v>503546</v>
      </c>
      <c r="O58" s="22">
        <v>176046</v>
      </c>
      <c r="P58" s="22">
        <v>18764</v>
      </c>
      <c r="Q58" s="22">
        <v>1355</v>
      </c>
      <c r="R58" s="22">
        <v>249414</v>
      </c>
      <c r="S58" s="22">
        <v>361291</v>
      </c>
      <c r="T58" s="22">
        <v>340776</v>
      </c>
      <c r="U58" s="10">
        <v>45383450</v>
      </c>
      <c r="V58" s="10">
        <f t="shared" si="68"/>
        <v>125614.67072249239</v>
      </c>
      <c r="W58" s="22">
        <v>11183</v>
      </c>
      <c r="X58" s="22">
        <v>3607</v>
      </c>
      <c r="Y58" s="33">
        <f t="shared" si="59"/>
        <v>0.71749353584379583</v>
      </c>
      <c r="Z58" s="36">
        <f t="shared" si="42"/>
        <v>0.38576891599908258</v>
      </c>
      <c r="AA58" s="36">
        <v>2.57</v>
      </c>
      <c r="AB58" s="36">
        <v>42.1</v>
      </c>
      <c r="AC58" s="36">
        <v>57.9</v>
      </c>
      <c r="AD58" s="94">
        <v>23</v>
      </c>
      <c r="AE58" s="36">
        <v>-0.22453636363636367</v>
      </c>
      <c r="AF58" s="113">
        <v>1.1176416666666669</v>
      </c>
      <c r="AG58" s="114">
        <f t="shared" si="19"/>
        <v>143800</v>
      </c>
      <c r="AH58" s="114">
        <f t="shared" si="20"/>
        <v>160716.8716666667</v>
      </c>
      <c r="AI58" s="112">
        <v>12.995488999999999</v>
      </c>
      <c r="AJ58" s="111">
        <f t="shared" si="21"/>
        <v>5.1107204128499859</v>
      </c>
      <c r="AK58" s="106">
        <v>6584.3950399166679</v>
      </c>
      <c r="AL58" s="106">
        <f t="shared" si="75"/>
        <v>21.839515874767432</v>
      </c>
      <c r="AM58" s="118">
        <v>1255.8258333333333</v>
      </c>
      <c r="AN58" s="119">
        <f t="shared" si="22"/>
        <v>114.50632419171714</v>
      </c>
      <c r="AO58" s="133">
        <v>747877000000</v>
      </c>
      <c r="AP58" s="34">
        <f t="shared" si="46"/>
        <v>19368.856500411122</v>
      </c>
      <c r="AQ58" s="119">
        <f t="shared" si="51"/>
        <v>17438.128078199483</v>
      </c>
      <c r="AR58" s="119">
        <f t="shared" si="52"/>
        <v>22747.620616060816</v>
      </c>
      <c r="AS58" s="119">
        <f t="shared" si="47"/>
        <v>12981.02397952765</v>
      </c>
      <c r="AT58" s="119">
        <f t="shared" si="53"/>
        <v>112.55559840622216</v>
      </c>
      <c r="AU58" s="37">
        <f t="shared" si="48"/>
        <v>6.4853942575198538</v>
      </c>
      <c r="AV58" s="34">
        <f t="shared" si="49"/>
        <v>25122.934144498478</v>
      </c>
      <c r="AW58" s="34">
        <f t="shared" si="50"/>
        <v>22.90368478057492</v>
      </c>
      <c r="AX58" s="10">
        <v>735</v>
      </c>
      <c r="AY58" s="10">
        <v>160.9</v>
      </c>
      <c r="AZ58" s="22">
        <v>19047</v>
      </c>
      <c r="BA58" s="22">
        <v>78325</v>
      </c>
      <c r="BB58" s="22">
        <v>24947</v>
      </c>
      <c r="BC58" s="22">
        <v>50024</v>
      </c>
      <c r="BD58" s="22">
        <v>3354</v>
      </c>
      <c r="BE58" s="22">
        <v>21982</v>
      </c>
      <c r="BF58" s="87">
        <v>197.91902503962376</v>
      </c>
      <c r="BG58" s="22">
        <v>3245249300</v>
      </c>
      <c r="BH58" s="71">
        <f t="shared" si="33"/>
        <v>147632.1217359658</v>
      </c>
      <c r="BI58" s="71">
        <f t="shared" si="34"/>
        <v>745.92183195329289</v>
      </c>
      <c r="BJ58" s="22">
        <v>84223</v>
      </c>
      <c r="BK58" s="87">
        <v>112.47271621837696</v>
      </c>
      <c r="BL58" s="22">
        <v>6965173000</v>
      </c>
      <c r="BM58" s="83">
        <f t="shared" si="32"/>
        <v>82699.17955902782</v>
      </c>
      <c r="BN58" s="83">
        <f t="shared" si="35"/>
        <v>735.28214076789197</v>
      </c>
      <c r="BO58" s="91">
        <f t="shared" si="36"/>
        <v>1.9416637093650067</v>
      </c>
      <c r="BP58" s="89">
        <f t="shared" si="37"/>
        <v>4.062872820477935</v>
      </c>
      <c r="BQ58" s="84">
        <v>103.99901420426859</v>
      </c>
      <c r="BR58" s="10">
        <v>25793043</v>
      </c>
      <c r="BS58" s="34">
        <f t="shared" si="63"/>
        <v>80485</v>
      </c>
      <c r="BT58" s="10">
        <f t="shared" si="60"/>
        <v>549.52404347438892</v>
      </c>
      <c r="BU58" s="30">
        <f t="shared" si="64"/>
        <v>0.31301825357088831</v>
      </c>
      <c r="BV58" s="30">
        <f t="shared" si="61"/>
        <v>0.59713303359625058</v>
      </c>
      <c r="BW58" s="30">
        <f t="shared" si="65"/>
        <v>-0.28411478002536228</v>
      </c>
      <c r="BX58" s="10">
        <v>14718.939999999997</v>
      </c>
      <c r="BY58" s="22">
        <v>12.03</v>
      </c>
      <c r="BZ58" s="33">
        <f t="shared" si="76"/>
        <v>76.876982999999996</v>
      </c>
      <c r="CA58" s="33">
        <f t="shared" si="77"/>
        <v>11.093017</v>
      </c>
      <c r="CB58" s="22">
        <v>12.61</v>
      </c>
      <c r="CC58" s="22">
        <v>9153900</v>
      </c>
      <c r="CD58" s="22">
        <v>5031700</v>
      </c>
      <c r="CE58" s="22">
        <v>3401200</v>
      </c>
      <c r="CF58" s="22">
        <v>1038800</v>
      </c>
      <c r="CG58" s="30">
        <f>((CC58*100)/SUM($CC$58:$CF$58))</f>
        <v>49.146873120865905</v>
      </c>
      <c r="CH58" s="30">
        <f>((CD58*100)/SUM($CC$58:$CF$58))</f>
        <v>27.014968645305387</v>
      </c>
      <c r="CI58" s="30">
        <f>((CE58*100)/SUM($CC$58:$CF$58))</f>
        <v>18.26088823984194</v>
      </c>
      <c r="CJ58" s="30">
        <f>((CF58*100)/SUM($CC$58:$CF$58))</f>
        <v>5.5772699939867705</v>
      </c>
      <c r="CK58" s="30">
        <v>10.65</v>
      </c>
      <c r="CL58" s="30">
        <f t="shared" si="69"/>
        <v>5.9701492537313356</v>
      </c>
      <c r="CM58" s="30">
        <f t="shared" si="71"/>
        <v>13.513302034428794</v>
      </c>
      <c r="CN58" s="30">
        <f t="shared" si="72"/>
        <v>7.4001158077591205</v>
      </c>
      <c r="CO58" s="30">
        <f t="shared" si="73"/>
        <v>18.017736045905057</v>
      </c>
      <c r="CP58" s="30">
        <f t="shared" si="74"/>
        <v>5.550086855819341</v>
      </c>
      <c r="CQ58" s="10">
        <f>AVERAGE(Quarterly!D50:D53)</f>
        <v>1727</v>
      </c>
      <c r="CR58" s="34">
        <v>1438</v>
      </c>
      <c r="CS58" s="33">
        <v>0.70000000000000007</v>
      </c>
      <c r="CT58" s="30">
        <f t="shared" si="30"/>
        <v>209.88</v>
      </c>
      <c r="CU58" s="30">
        <f t="shared" si="26"/>
        <v>939.14346525000019</v>
      </c>
      <c r="CV58" s="30">
        <f t="shared" si="23"/>
        <v>498.85653474999981</v>
      </c>
      <c r="CW58" s="30">
        <f t="shared" si="24"/>
        <v>685.15342100247767</v>
      </c>
      <c r="CX58" s="30">
        <f t="shared" si="25"/>
        <v>752.84657899752233</v>
      </c>
      <c r="CY58" s="33">
        <f t="shared" si="17"/>
        <v>-5.3054545454545493E-2</v>
      </c>
      <c r="CZ58" s="33">
        <f t="shared" si="27"/>
        <v>2.2032693674484705</v>
      </c>
      <c r="DA58" s="33">
        <f t="shared" si="31"/>
        <v>1.5032693674484703</v>
      </c>
      <c r="DB58" s="33">
        <f t="shared" si="28"/>
        <v>0.84273280005182016</v>
      </c>
      <c r="DC58" s="33">
        <f t="shared" si="66"/>
        <v>-2.7873447828504396</v>
      </c>
      <c r="DD58" s="33">
        <f t="shared" si="67"/>
        <v>3.7220879291238731</v>
      </c>
      <c r="DE58" s="38">
        <v>14.1</v>
      </c>
      <c r="DF58" s="30">
        <f t="shared" si="70"/>
        <v>7.7533562232678115</v>
      </c>
      <c r="DG58" s="30">
        <f t="shared" si="43"/>
        <v>427.84000000000003</v>
      </c>
      <c r="DH58" s="30">
        <f t="shared" si="6"/>
        <v>477.84000000000003</v>
      </c>
      <c r="DI58" s="30">
        <f t="shared" si="7"/>
        <v>377.84000000000003</v>
      </c>
      <c r="DJ58" s="30">
        <f t="shared" si="8"/>
        <v>527.84</v>
      </c>
      <c r="DK58" s="30">
        <f t="shared" si="9"/>
        <v>327.84000000000003</v>
      </c>
      <c r="DL58" s="30">
        <f t="shared" si="44"/>
        <v>404.6</v>
      </c>
    </row>
    <row r="59" spans="1:116" ht="16" x14ac:dyDescent="0.4">
      <c r="A59" s="18">
        <v>2020</v>
      </c>
      <c r="B59" s="12">
        <v>47332614</v>
      </c>
      <c r="C59" s="10">
        <v>17228035</v>
      </c>
      <c r="D59" s="127">
        <v>39019391.287652001</v>
      </c>
      <c r="E59" s="10">
        <f t="shared" si="62"/>
        <v>662616.73076923075</v>
      </c>
      <c r="F59" s="10">
        <f t="shared" si="54"/>
        <v>331308.36538461538</v>
      </c>
      <c r="G59" s="10">
        <f t="shared" si="41"/>
        <v>496962.54807692306</v>
      </c>
      <c r="H59" s="10">
        <v>533950</v>
      </c>
      <c r="I59" s="10">
        <f t="shared" si="55"/>
        <v>266975</v>
      </c>
      <c r="J59" s="10">
        <v>752076.17524500005</v>
      </c>
      <c r="K59" s="10">
        <f t="shared" si="56"/>
        <v>376038.08762250002</v>
      </c>
      <c r="L59" s="10">
        <v>746118</v>
      </c>
      <c r="M59" s="10">
        <f t="shared" si="57"/>
        <v>373059</v>
      </c>
      <c r="N59" s="22">
        <v>415748</v>
      </c>
      <c r="O59" s="22">
        <v>151533</v>
      </c>
      <c r="P59" s="22">
        <v>20020</v>
      </c>
      <c r="Q59" s="22">
        <v>1028</v>
      </c>
      <c r="R59" s="22">
        <v>178365</v>
      </c>
      <c r="S59" s="39">
        <v>333721</v>
      </c>
      <c r="T59" s="39">
        <v>274789</v>
      </c>
      <c r="U59" s="10">
        <v>45020403</v>
      </c>
      <c r="V59" s="34">
        <f t="shared" si="68"/>
        <v>134904.31528132781</v>
      </c>
      <c r="W59" s="39">
        <v>14717</v>
      </c>
      <c r="X59" s="39">
        <v>4716</v>
      </c>
      <c r="Y59" s="33">
        <f t="shared" si="59"/>
        <v>0.80270019338637832</v>
      </c>
      <c r="Z59" s="36">
        <f t="shared" si="42"/>
        <v>7.7153500060180775</v>
      </c>
      <c r="AA59" s="36">
        <v>2.4900000000000002</v>
      </c>
      <c r="AB59" s="36">
        <v>47.4</v>
      </c>
      <c r="AC59" s="36">
        <v>52.6</v>
      </c>
      <c r="AD59" s="94">
        <v>24</v>
      </c>
      <c r="AE59" s="36">
        <v>-0.30785454545454549</v>
      </c>
      <c r="AF59" s="113">
        <v>1.1470583333333333</v>
      </c>
      <c r="AG59" s="114">
        <f t="shared" si="19"/>
        <v>142400</v>
      </c>
      <c r="AH59" s="114">
        <f t="shared" si="20"/>
        <v>163341.10666666666</v>
      </c>
      <c r="AI59" s="112">
        <v>14.492039</v>
      </c>
      <c r="AJ59" s="111">
        <f t="shared" si="21"/>
        <v>11.515919100851079</v>
      </c>
      <c r="AK59" s="106">
        <v>10600.186686166666</v>
      </c>
      <c r="AL59" s="106">
        <f t="shared" si="75"/>
        <v>13.433725670684009</v>
      </c>
      <c r="AM59" s="118">
        <v>1548.6233333333332</v>
      </c>
      <c r="AN59" s="119">
        <f t="shared" si="22"/>
        <v>91.952637503847512</v>
      </c>
      <c r="AO59" s="133">
        <v>731045000000</v>
      </c>
      <c r="AP59" s="34">
        <f t="shared" si="46"/>
        <v>18735.428100626086</v>
      </c>
      <c r="AQ59" s="119">
        <f t="shared" si="51"/>
        <v>17382.326068349244</v>
      </c>
      <c r="AR59" s="119">
        <f t="shared" si="52"/>
        <v>22526.155603108902</v>
      </c>
      <c r="AS59" s="119">
        <f t="shared" si="47"/>
        <v>13970.61375629557</v>
      </c>
      <c r="AT59" s="119">
        <f t="shared" si="53"/>
        <v>121.13611329291034</v>
      </c>
      <c r="AU59" s="37">
        <f t="shared" si="48"/>
        <v>7.2004928073578256</v>
      </c>
      <c r="AV59" s="34">
        <f t="shared" si="49"/>
        <v>26980.863056265564</v>
      </c>
      <c r="AW59" s="34">
        <f t="shared" si="50"/>
        <v>30.560308387632176</v>
      </c>
      <c r="AX59" s="10">
        <v>900</v>
      </c>
      <c r="AY59" s="10">
        <v>145.81</v>
      </c>
      <c r="AZ59" s="22">
        <v>16207</v>
      </c>
      <c r="BA59" s="22">
        <v>71099</v>
      </c>
      <c r="BB59" s="22">
        <v>22808</v>
      </c>
      <c r="BC59" s="22">
        <v>45317</v>
      </c>
      <c r="BD59" s="22">
        <v>2974</v>
      </c>
      <c r="BE59" s="22">
        <v>20314</v>
      </c>
      <c r="BF59" s="87">
        <v>195.01493287086069</v>
      </c>
      <c r="BG59" s="22">
        <v>2987751300.0000005</v>
      </c>
      <c r="BH59" s="71">
        <f t="shared" si="33"/>
        <v>147078.43359259627</v>
      </c>
      <c r="BI59" s="71">
        <f t="shared" si="34"/>
        <v>754.19062236629804</v>
      </c>
      <c r="BJ59" s="22">
        <v>65191</v>
      </c>
      <c r="BK59" s="87">
        <v>109.57353420146507</v>
      </c>
      <c r="BL59" s="22">
        <v>5413764100.000001</v>
      </c>
      <c r="BM59" s="83">
        <f t="shared" si="32"/>
        <v>83044.654937031199</v>
      </c>
      <c r="BN59" s="83">
        <f t="shared" si="35"/>
        <v>757.8897180074789</v>
      </c>
      <c r="BO59" s="91">
        <f t="shared" si="36"/>
        <v>1.8834978036259582</v>
      </c>
      <c r="BP59" s="89">
        <f t="shared" si="37"/>
        <v>2.0845452902659645</v>
      </c>
      <c r="BQ59" s="84">
        <v>102.77458176611511</v>
      </c>
      <c r="BR59" s="34">
        <v>25882055</v>
      </c>
      <c r="BS59" s="34">
        <f>BR59-BR58</f>
        <v>89012</v>
      </c>
      <c r="BT59" s="10">
        <f t="shared" si="60"/>
        <v>546.81228887971406</v>
      </c>
      <c r="BU59" s="37">
        <f t="shared" si="64"/>
        <v>0.34510080877234373</v>
      </c>
      <c r="BV59" s="30">
        <f t="shared" si="61"/>
        <v>0.84273280005182016</v>
      </c>
      <c r="BW59" s="37">
        <f t="shared" si="65"/>
        <v>-0.49763199127947644</v>
      </c>
      <c r="BX59" s="10">
        <v>13287.560000000001</v>
      </c>
      <c r="BY59" s="22">
        <v>11.16</v>
      </c>
      <c r="BZ59" s="33">
        <f t="shared" si="76"/>
        <v>78.783311999999995</v>
      </c>
      <c r="CA59" s="33">
        <f t="shared" si="77"/>
        <v>10.056688000000001</v>
      </c>
      <c r="CB59" s="22">
        <v>11.32</v>
      </c>
      <c r="CC59" s="22">
        <v>9212400</v>
      </c>
      <c r="CD59" s="22">
        <v>5201200</v>
      </c>
      <c r="CE59" s="22">
        <v>3244400</v>
      </c>
      <c r="CF59" s="22">
        <v>1096700</v>
      </c>
      <c r="CG59" s="30">
        <f>((CC59*100)/SUM($CC$59:$CF$59))</f>
        <v>49.120487131225772</v>
      </c>
      <c r="CH59" s="30">
        <f>((CD59*100)/SUM($CC$59:$CF$59))</f>
        <v>27.732781649399882</v>
      </c>
      <c r="CI59" s="30">
        <f>((CE59*100)/SUM($CC$59:$CF$59))</f>
        <v>17.299130351325267</v>
      </c>
      <c r="CJ59" s="30">
        <f>((CF59*100)/SUM($CC$59:$CF$59))</f>
        <v>5.8476008680490761</v>
      </c>
      <c r="CK59" s="30">
        <v>11.05</v>
      </c>
      <c r="CL59" s="30">
        <f t="shared" si="69"/>
        <v>3.7558685446009292</v>
      </c>
      <c r="CM59" s="30">
        <f t="shared" si="71"/>
        <v>13.10646053293112</v>
      </c>
      <c r="CN59" s="30">
        <f t="shared" si="72"/>
        <v>7.6298249820187012</v>
      </c>
      <c r="CO59" s="30">
        <f t="shared" si="73"/>
        <v>17.475280710574825</v>
      </c>
      <c r="CP59" s="30">
        <f t="shared" si="74"/>
        <v>5.7223687365140261</v>
      </c>
      <c r="CQ59" s="10">
        <f>AVERAGE(Quarterly!D54:D57)</f>
        <v>1737.9166666666667</v>
      </c>
      <c r="CR59" s="34">
        <v>1424</v>
      </c>
      <c r="CS59" s="33">
        <v>-0.32</v>
      </c>
      <c r="CT59" s="30">
        <f t="shared" si="30"/>
        <v>209.56</v>
      </c>
      <c r="CU59" s="30">
        <f t="shared" si="26"/>
        <v>934.58666525000024</v>
      </c>
      <c r="CV59" s="30">
        <f t="shared" si="23"/>
        <v>489.41333474999976</v>
      </c>
      <c r="CW59" s="30">
        <f t="shared" si="24"/>
        <v>679.51899217407902</v>
      </c>
      <c r="CX59" s="30">
        <f t="shared" si="25"/>
        <v>744.48100782592098</v>
      </c>
      <c r="CY59" s="33">
        <f t="shared" si="17"/>
        <v>-8.3318181818181819E-2</v>
      </c>
      <c r="CZ59" s="33">
        <f t="shared" si="27"/>
        <v>-0.97357440890125702</v>
      </c>
      <c r="DA59" s="33">
        <f t="shared" si="31"/>
        <v>-0.65357440890125695</v>
      </c>
      <c r="DB59" s="33">
        <f t="shared" si="28"/>
        <v>0.13954648691068883</v>
      </c>
      <c r="DC59" s="33">
        <f t="shared" si="66"/>
        <v>-17.43594428314394</v>
      </c>
      <c r="DD59" s="33">
        <f t="shared" si="67"/>
        <v>-7.6309678347924574</v>
      </c>
      <c r="DE59" s="38">
        <v>15.53</v>
      </c>
      <c r="DF59" s="30">
        <f t="shared" si="70"/>
        <v>4.7487943276127691</v>
      </c>
      <c r="DG59" s="30">
        <f t="shared" si="43"/>
        <v>429.56</v>
      </c>
      <c r="DH59" s="30">
        <f t="shared" si="6"/>
        <v>479.56</v>
      </c>
      <c r="DI59" s="30">
        <f t="shared" si="7"/>
        <v>379.56</v>
      </c>
      <c r="DJ59" s="30">
        <f t="shared" si="8"/>
        <v>529.55999999999995</v>
      </c>
      <c r="DK59" s="30">
        <f t="shared" si="9"/>
        <v>329.56</v>
      </c>
      <c r="DL59" s="30">
        <f t="shared" si="44"/>
        <v>407.27499999999998</v>
      </c>
    </row>
    <row r="60" spans="1:116" ht="16" x14ac:dyDescent="0.4">
      <c r="A60" s="18">
        <v>2021</v>
      </c>
      <c r="B60" s="16">
        <v>47398665</v>
      </c>
      <c r="C60" s="34">
        <v>17044268</v>
      </c>
      <c r="D60" s="119">
        <v>39169588.30671601</v>
      </c>
      <c r="E60" s="34">
        <f t="shared" si="62"/>
        <v>655548.76923076925</v>
      </c>
      <c r="F60" s="34">
        <f t="shared" si="54"/>
        <v>327774.38461538462</v>
      </c>
      <c r="G60" s="34">
        <f t="shared" si="41"/>
        <v>491661.57692307694</v>
      </c>
      <c r="H60" s="34">
        <v>531524</v>
      </c>
      <c r="I60" s="34">
        <f t="shared" si="55"/>
        <v>265762</v>
      </c>
      <c r="J60" s="34">
        <v>731583</v>
      </c>
      <c r="K60" s="34">
        <f t="shared" si="56"/>
        <v>365791.5</v>
      </c>
      <c r="L60" s="34">
        <v>753583</v>
      </c>
      <c r="M60" s="34">
        <f t="shared" si="57"/>
        <v>376791.5</v>
      </c>
      <c r="N60" s="34">
        <v>565523</v>
      </c>
      <c r="O60" s="34">
        <v>198939</v>
      </c>
      <c r="P60" s="39">
        <v>25062</v>
      </c>
      <c r="Q60" s="15">
        <v>1500</v>
      </c>
      <c r="R60" s="39">
        <v>195881</v>
      </c>
      <c r="S60" s="39">
        <v>417501</v>
      </c>
      <c r="T60" s="39">
        <v>372543</v>
      </c>
      <c r="U60" s="34">
        <v>57582131</v>
      </c>
      <c r="V60" s="34">
        <f t="shared" si="68"/>
        <v>137920.94150672693</v>
      </c>
      <c r="W60" s="39">
        <v>33455</v>
      </c>
      <c r="X60" s="39">
        <v>10539</v>
      </c>
      <c r="Y60" s="42">
        <f t="shared" si="59"/>
        <v>0.73825644580326533</v>
      </c>
      <c r="Z60" s="36">
        <f t="shared" si="42"/>
        <v>-0.85387714573230866</v>
      </c>
      <c r="AA60" s="36">
        <v>2.5099999999999998</v>
      </c>
      <c r="AB60" s="36">
        <v>62.9</v>
      </c>
      <c r="AC60" s="36">
        <v>37.1</v>
      </c>
      <c r="AD60" s="94">
        <v>25</v>
      </c>
      <c r="AE60" s="36">
        <v>-0.4896727272727272</v>
      </c>
      <c r="AF60" s="113">
        <v>1.1796583333333335</v>
      </c>
      <c r="AG60" s="114">
        <f t="shared" si="19"/>
        <v>151400</v>
      </c>
      <c r="AH60" s="114">
        <f t="shared" si="20"/>
        <v>178600.2716666667</v>
      </c>
      <c r="AI60" s="112">
        <v>15.396000000000001</v>
      </c>
      <c r="AJ60" s="111">
        <f t="shared" si="21"/>
        <v>6.2376384717154139</v>
      </c>
      <c r="AK60" s="106">
        <v>39995.684733083333</v>
      </c>
      <c r="AL60" s="106">
        <f t="shared" si="75"/>
        <v>3.785408376188296</v>
      </c>
      <c r="AM60" s="118">
        <v>1518.2150000000001</v>
      </c>
      <c r="AN60" s="119">
        <f t="shared" si="22"/>
        <v>99.722371337392914</v>
      </c>
      <c r="AO60" s="133">
        <v>752748000000</v>
      </c>
      <c r="AP60" s="34">
        <f t="shared" si="46"/>
        <v>19217.664329418902</v>
      </c>
      <c r="AQ60" s="119">
        <f t="shared" si="51"/>
        <v>17919.439943861234</v>
      </c>
      <c r="AR60" s="119">
        <f t="shared" si="52"/>
        <v>23949.859257799773</v>
      </c>
      <c r="AS60" s="119">
        <f t="shared" si="47"/>
        <v>14966.958828912801</v>
      </c>
      <c r="AT60" s="119">
        <f t="shared" si="53"/>
        <v>129.77520186129954</v>
      </c>
      <c r="AU60" s="37">
        <f t="shared" si="48"/>
        <v>7.1767796097673511</v>
      </c>
      <c r="AV60" s="34">
        <f t="shared" si="49"/>
        <v>27584.188301345384</v>
      </c>
      <c r="AW60" s="34">
        <f t="shared" si="50"/>
        <v>30.330868831541494</v>
      </c>
      <c r="AX60" s="34">
        <v>950</v>
      </c>
      <c r="AY60" s="34">
        <v>151.19999999999999</v>
      </c>
      <c r="AZ60" s="22">
        <v>29826</v>
      </c>
      <c r="BA60" s="39">
        <v>82647</v>
      </c>
      <c r="BB60" s="39">
        <v>28465</v>
      </c>
      <c r="BC60" s="39">
        <v>50560</v>
      </c>
      <c r="BD60" s="39">
        <v>3622</v>
      </c>
      <c r="BE60" s="39">
        <v>26576</v>
      </c>
      <c r="BF60" s="88">
        <v>192.91200151575268</v>
      </c>
      <c r="BG60" s="39">
        <v>3909758900</v>
      </c>
      <c r="BH60" s="71">
        <f>BG60/BE60</f>
        <v>147116.15367248646</v>
      </c>
      <c r="BI60" s="71">
        <f t="shared" si="34"/>
        <v>762.60757504230935</v>
      </c>
      <c r="BJ60" s="39">
        <v>81561</v>
      </c>
      <c r="BK60" s="88">
        <v>107.58787794061321</v>
      </c>
      <c r="BL60" s="39">
        <v>6738291700</v>
      </c>
      <c r="BM60" s="83">
        <f t="shared" si="32"/>
        <v>82616.59003690489</v>
      </c>
      <c r="BN60" s="83">
        <f t="shared" si="35"/>
        <v>767.89868541238377</v>
      </c>
      <c r="BO60" s="91">
        <f t="shared" si="36"/>
        <v>1.9784303261199476</v>
      </c>
      <c r="BP60" s="89">
        <f t="shared" si="37"/>
        <v>1.2185807585039754</v>
      </c>
      <c r="BQ60" s="84">
        <v>111.49696262134763</v>
      </c>
      <c r="BR60" s="34">
        <v>25976305</v>
      </c>
      <c r="BS60" s="34">
        <f>BR60-BR59</f>
        <v>94250</v>
      </c>
      <c r="BT60" s="10">
        <f t="shared" si="60"/>
        <v>548.03874750480838</v>
      </c>
      <c r="BU60" s="37">
        <f>(BR60*100/BR59)-100</f>
        <v>0.3641519191578908</v>
      </c>
      <c r="BV60" s="30">
        <f>(B60*100/B59)-100</f>
        <v>0.13954648691068883</v>
      </c>
      <c r="BW60" s="37">
        <f>BU60-BV60</f>
        <v>0.22460543224720197</v>
      </c>
      <c r="BX60" s="34">
        <v>14933</v>
      </c>
      <c r="BY60" s="22">
        <v>9.44</v>
      </c>
      <c r="BZ60" s="33">
        <f t="shared" si="76"/>
        <v>80.779519999999991</v>
      </c>
      <c r="CA60" s="33">
        <f t="shared" si="77"/>
        <v>9.7804800000000007</v>
      </c>
      <c r="CB60" s="22">
        <v>10.8</v>
      </c>
      <c r="CC60" s="22"/>
      <c r="CD60" s="22"/>
      <c r="CE60" s="22"/>
      <c r="CF60" s="22"/>
      <c r="CG60" s="22"/>
      <c r="CH60" s="22"/>
      <c r="CI60" s="22"/>
      <c r="CJ60" s="22"/>
      <c r="CK60" s="30">
        <v>10.85</v>
      </c>
      <c r="CL60" s="30">
        <f>((CK60*100)/CK59)-100</f>
        <v>-1.8099547511312295</v>
      </c>
      <c r="CM60" s="30">
        <f>CQ60/(CK60*12)</f>
        <v>13.886328725038402</v>
      </c>
      <c r="CN60" s="30">
        <f>100/CM60</f>
        <v>7.2013274336283191</v>
      </c>
      <c r="CO60" s="30">
        <f t="shared" si="73"/>
        <v>18.515104966717868</v>
      </c>
      <c r="CP60" s="30">
        <f>100/CO60</f>
        <v>5.4009955752212395</v>
      </c>
      <c r="CQ60" s="10">
        <f>AVERAGE(Quarterly!D58:D61)</f>
        <v>1807.9999999999998</v>
      </c>
      <c r="CR60" s="43">
        <v>1514</v>
      </c>
      <c r="CS60" s="42">
        <v>3.09</v>
      </c>
      <c r="CT60" s="30">
        <f t="shared" si="30"/>
        <v>212.65</v>
      </c>
      <c r="CU60" s="30">
        <f t="shared" si="26"/>
        <v>981.36926525000024</v>
      </c>
      <c r="CV60" s="37">
        <f t="shared" si="23"/>
        <v>532.63073474999976</v>
      </c>
      <c r="CW60" s="30">
        <f t="shared" si="24"/>
        <v>711.96802257230183</v>
      </c>
      <c r="CX60" s="30">
        <f t="shared" si="25"/>
        <v>802.03197742769817</v>
      </c>
      <c r="CY60" s="33">
        <f t="shared" si="17"/>
        <v>-0.18181818181818171</v>
      </c>
      <c r="CZ60" s="42">
        <f t="shared" si="27"/>
        <v>6.3202247191011196</v>
      </c>
      <c r="DA60" s="33">
        <f t="shared" si="31"/>
        <v>3.2302247191011197</v>
      </c>
      <c r="DB60" s="42">
        <f t="shared" si="28"/>
        <v>7.2027345073962579E-2</v>
      </c>
      <c r="DC60" s="33">
        <f t="shared" si="66"/>
        <v>36.025428865562787</v>
      </c>
      <c r="DD60" s="33">
        <f t="shared" si="67"/>
        <v>25.104803113978448</v>
      </c>
      <c r="DE60" s="37">
        <v>14.8</v>
      </c>
      <c r="DF60" s="37">
        <f t="shared" si="70"/>
        <v>11.721220294322359</v>
      </c>
      <c r="DG60" s="30">
        <f t="shared" si="43"/>
        <v>431.15999999999997</v>
      </c>
      <c r="DH60" s="37">
        <f>DG60+50</f>
        <v>481.15999999999997</v>
      </c>
      <c r="DI60" s="37">
        <f t="shared" si="7"/>
        <v>381.15999999999997</v>
      </c>
      <c r="DJ60" s="37">
        <f t="shared" si="8"/>
        <v>531.16</v>
      </c>
      <c r="DK60" s="37">
        <f t="shared" si="9"/>
        <v>331.15999999999997</v>
      </c>
      <c r="DL60" s="30">
        <f t="shared" si="44"/>
        <v>409.9</v>
      </c>
    </row>
    <row r="61" spans="1:116" ht="16" x14ac:dyDescent="0.4">
      <c r="A61" s="18">
        <v>2022</v>
      </c>
      <c r="B61" s="16">
        <v>47432805</v>
      </c>
      <c r="C61" s="34">
        <v>16801598</v>
      </c>
      <c r="D61" s="119">
        <v>39309094.859484002</v>
      </c>
      <c r="E61" s="40">
        <f>C61/26</f>
        <v>646215.30769230775</v>
      </c>
      <c r="F61" s="40">
        <f t="shared" si="54"/>
        <v>323107.65384615387</v>
      </c>
      <c r="G61" s="40">
        <f t="shared" si="41"/>
        <v>484661.48076923081</v>
      </c>
      <c r="H61" s="40">
        <v>528019.09555600001</v>
      </c>
      <c r="I61" s="40">
        <f t="shared" si="55"/>
        <v>264009.54777800001</v>
      </c>
      <c r="J61" s="40">
        <v>696564.92515599995</v>
      </c>
      <c r="K61" s="40">
        <f t="shared" si="56"/>
        <v>348282.46257799998</v>
      </c>
      <c r="L61" s="40">
        <v>763428.68024699995</v>
      </c>
      <c r="M61" s="40">
        <f t="shared" si="57"/>
        <v>381714.34012349998</v>
      </c>
      <c r="N61" s="45">
        <v>661190</v>
      </c>
      <c r="O61" s="40">
        <v>197008</v>
      </c>
      <c r="P61" s="35">
        <v>23168</v>
      </c>
      <c r="Q61" s="14">
        <v>1173</v>
      </c>
      <c r="R61" s="35">
        <v>200511</v>
      </c>
      <c r="S61" s="35">
        <v>473082</v>
      </c>
      <c r="T61" s="35">
        <v>392984</v>
      </c>
      <c r="U61" s="40">
        <v>68796162</v>
      </c>
      <c r="V61" s="40">
        <f t="shared" si="68"/>
        <v>145421.22084543484</v>
      </c>
      <c r="W61" s="35">
        <v>22125</v>
      </c>
      <c r="X61" s="35">
        <v>6519</v>
      </c>
      <c r="Y61" s="46">
        <f>S61/N61</f>
        <v>0.71550083939563514</v>
      </c>
      <c r="Z61" s="93">
        <f t="shared" si="42"/>
        <v>-2.9618995514599877</v>
      </c>
      <c r="AA61" s="93">
        <v>2.5</v>
      </c>
      <c r="AB61" s="93">
        <v>73.125</v>
      </c>
      <c r="AC61" s="93">
        <v>26.88</v>
      </c>
      <c r="AD61" s="40">
        <v>25</v>
      </c>
      <c r="AE61" s="46">
        <v>1.0880000000000001</v>
      </c>
      <c r="AF61" s="112">
        <v>1.052225</v>
      </c>
      <c r="AG61" s="115">
        <f t="shared" si="19"/>
        <v>161100</v>
      </c>
      <c r="AH61" s="115">
        <f t="shared" si="20"/>
        <v>169513.44749999998</v>
      </c>
      <c r="AI61" s="110">
        <v>15.9</v>
      </c>
      <c r="AJ61" s="116">
        <f t="shared" si="21"/>
        <v>3.2735775526110586</v>
      </c>
      <c r="AK61" s="107">
        <v>26159.403401916668</v>
      </c>
      <c r="AL61" s="120">
        <f t="shared" si="75"/>
        <v>6.1583973275245407</v>
      </c>
      <c r="AM61" s="107">
        <v>1709.7609090909091</v>
      </c>
      <c r="AN61" s="107">
        <f t="shared" si="22"/>
        <v>94.223700602476583</v>
      </c>
      <c r="AO61" s="132">
        <v>770665920000</v>
      </c>
      <c r="AP61" s="40">
        <f t="shared" si="46"/>
        <v>19605.282766109365</v>
      </c>
      <c r="AQ61" s="107">
        <f>AQ60*(1+(CS61/100))</f>
        <v>19424.672899145578</v>
      </c>
      <c r="AR61" s="107">
        <f t="shared" si="52"/>
        <v>25484.295418966605</v>
      </c>
      <c r="AS61" s="107">
        <f t="shared" si="47"/>
        <v>17231.391071983049</v>
      </c>
      <c r="AT61" s="107">
        <f t="shared" si="53"/>
        <v>149.40959484686661</v>
      </c>
      <c r="AU61" s="41">
        <f t="shared" si="48"/>
        <v>7.4174508258976486</v>
      </c>
      <c r="AV61" s="40">
        <f t="shared" si="49"/>
        <v>29084.244169086967</v>
      </c>
      <c r="AW61" s="40">
        <f t="shared" si="50"/>
        <v>32.591396729685655</v>
      </c>
      <c r="AX61" s="40"/>
      <c r="AY61" s="40">
        <v>158.5</v>
      </c>
      <c r="AZ61" s="35">
        <v>27512</v>
      </c>
      <c r="BA61" s="35">
        <v>76449</v>
      </c>
      <c r="BB61" s="35">
        <v>27604</v>
      </c>
      <c r="BC61" s="35">
        <v>45693</v>
      </c>
      <c r="BD61" s="35">
        <v>3152</v>
      </c>
      <c r="BE61" s="40">
        <v>26871</v>
      </c>
      <c r="BF61" s="70">
        <v>196.39370586211422</v>
      </c>
      <c r="BG61" s="35">
        <v>4316299542.8571444</v>
      </c>
      <c r="BH61" s="81">
        <f t="shared" si="33"/>
        <v>160630.40239876241</v>
      </c>
      <c r="BI61" s="81">
        <f t="shared" si="34"/>
        <v>817.89995098691804</v>
      </c>
      <c r="BJ61" s="40">
        <v>78073</v>
      </c>
      <c r="BK61" s="70">
        <v>109.87686066317193</v>
      </c>
      <c r="BL61" s="35">
        <v>6858606342.8571424</v>
      </c>
      <c r="BM61" s="81">
        <f t="shared" si="32"/>
        <v>87848.633238855211</v>
      </c>
      <c r="BN61" s="81">
        <f t="shared" si="35"/>
        <v>799.51895884753787</v>
      </c>
      <c r="BO61" s="92">
        <f>CR61/((BN61+BI61)/2)</f>
        <v>1.992062773848597</v>
      </c>
      <c r="BP61" s="90">
        <f t="shared" si="37"/>
        <v>5.6786863030499575</v>
      </c>
      <c r="BQ61" s="85">
        <v>125.39</v>
      </c>
      <c r="BR61" s="40">
        <v>26074305</v>
      </c>
      <c r="BS61" s="40">
        <f>BR61-BR60</f>
        <v>98000</v>
      </c>
      <c r="BT61" s="40">
        <f t="shared" si="60"/>
        <v>549.7103744971439</v>
      </c>
      <c r="BU61" s="41">
        <f>(BR61*100/BR60)-100</f>
        <v>0.37726689765922572</v>
      </c>
      <c r="BV61" s="41">
        <f t="shared" si="61"/>
        <v>7.2027345073962579E-2</v>
      </c>
      <c r="BW61" s="41">
        <f>BU61-BV61</f>
        <v>0.30523955258526314</v>
      </c>
      <c r="BX61" s="40">
        <v>14989</v>
      </c>
      <c r="BY61" s="40"/>
      <c r="BZ61" s="40"/>
      <c r="CA61" s="40"/>
      <c r="CB61" s="40"/>
      <c r="CC61" s="22"/>
      <c r="CD61" s="22"/>
      <c r="CE61" s="22"/>
      <c r="CF61" s="22"/>
      <c r="CG61" s="22"/>
      <c r="CH61" s="22"/>
      <c r="CI61" s="22"/>
      <c r="CJ61" s="22"/>
      <c r="CK61" s="41">
        <v>11.07</v>
      </c>
      <c r="CL61" s="41">
        <f>((CK61*100)/CK60)-100</f>
        <v>2.0276497695852527</v>
      </c>
      <c r="CM61" s="41">
        <f>CQ61/(CK61*12)</f>
        <v>14.031918096958748</v>
      </c>
      <c r="CN61" s="41">
        <f>100/CM61</f>
        <v>7.1266094420600856</v>
      </c>
      <c r="CO61" s="41">
        <f>CQ61/((CK61*12)*0.75)</f>
        <v>18.709224129278329</v>
      </c>
      <c r="CP61" s="41">
        <f>100/CO61</f>
        <v>5.3449570815450649</v>
      </c>
      <c r="CQ61" s="35">
        <v>1864</v>
      </c>
      <c r="CR61" s="40">
        <v>1611</v>
      </c>
      <c r="CS61" s="46">
        <v>8.4</v>
      </c>
      <c r="CT61" s="41">
        <f>CT60+CS61</f>
        <v>221.05</v>
      </c>
      <c r="CU61" s="41">
        <f t="shared" si="26"/>
        <v>1116.6932652500002</v>
      </c>
      <c r="CV61" s="41">
        <f t="shared" si="23"/>
        <v>494.3067347499998</v>
      </c>
      <c r="CW61" s="41">
        <f t="shared" si="24"/>
        <v>728.79439040940963</v>
      </c>
      <c r="CX61" s="41">
        <f t="shared" si="25"/>
        <v>882.20560959059037</v>
      </c>
      <c r="CY61" s="33">
        <f>(AE61-AE60)</f>
        <v>1.5776727272727273</v>
      </c>
      <c r="CZ61" s="46">
        <f t="shared" si="27"/>
        <v>6.4068692206076605</v>
      </c>
      <c r="DA61" s="46">
        <f>CZ61-CS61</f>
        <v>-1.9931307793923398</v>
      </c>
      <c r="DB61" s="46">
        <f t="shared" si="28"/>
        <v>0.10541227743119919</v>
      </c>
      <c r="DC61" s="46">
        <f t="shared" si="66"/>
        <v>16.916553349731132</v>
      </c>
      <c r="DD61" s="46">
        <f t="shared" si="67"/>
        <v>13.312782484353335</v>
      </c>
      <c r="DE61" s="47">
        <v>12.93</v>
      </c>
      <c r="DF61" s="37">
        <f t="shared" si="70"/>
        <v>11.751826302152725</v>
      </c>
      <c r="DG61" s="30">
        <f t="shared" si="43"/>
        <v>432.64</v>
      </c>
      <c r="DH61" s="41">
        <f t="shared" si="6"/>
        <v>482.64</v>
      </c>
      <c r="DI61" s="41">
        <f t="shared" si="7"/>
        <v>382.64</v>
      </c>
      <c r="DJ61" s="41">
        <f t="shared" si="8"/>
        <v>532.64</v>
      </c>
      <c r="DK61" s="41">
        <f t="shared" si="9"/>
        <v>332.64</v>
      </c>
      <c r="DL61" s="30">
        <f t="shared" si="44"/>
        <v>412.47500000000002</v>
      </c>
    </row>
    <row r="62" spans="1:116" ht="16" x14ac:dyDescent="0.4">
      <c r="A62" s="18">
        <v>2023</v>
      </c>
      <c r="B62" s="14">
        <v>47482805</v>
      </c>
      <c r="C62" s="40">
        <v>16502601.299354004</v>
      </c>
      <c r="D62" s="107"/>
      <c r="E62" s="40">
        <f t="shared" si="62"/>
        <v>634715.43459053861</v>
      </c>
      <c r="F62" s="40">
        <f t="shared" si="54"/>
        <v>317357.71729526931</v>
      </c>
      <c r="G62" s="40">
        <f t="shared" si="41"/>
        <v>476036.57594290399</v>
      </c>
      <c r="H62" s="40">
        <v>523292.16734799999</v>
      </c>
      <c r="I62" s="40">
        <f t="shared" si="55"/>
        <v>261646.08367399999</v>
      </c>
      <c r="J62" s="40">
        <v>667442.91504500003</v>
      </c>
      <c r="K62" s="40">
        <f t="shared" si="56"/>
        <v>333721.45752250002</v>
      </c>
      <c r="L62" s="40">
        <v>774828.89329200005</v>
      </c>
      <c r="M62" s="40">
        <f t="shared" si="57"/>
        <v>387414.44664600003</v>
      </c>
      <c r="N62" s="40"/>
      <c r="O62" s="40">
        <f>O61*1.03</f>
        <v>202918.24000000002</v>
      </c>
      <c r="P62" s="35"/>
      <c r="Q62" s="13"/>
      <c r="R62" s="41"/>
      <c r="S62" s="40"/>
      <c r="T62" s="40"/>
      <c r="U62" s="46"/>
      <c r="V62" s="40"/>
      <c r="W62" s="35"/>
      <c r="X62" s="35"/>
      <c r="Y62" s="35"/>
      <c r="Z62" s="32"/>
      <c r="AA62" s="93"/>
      <c r="AB62" s="48"/>
      <c r="AC62" s="48"/>
      <c r="AD62" s="48"/>
      <c r="AE62" s="46">
        <v>3.3</v>
      </c>
      <c r="AF62" s="108"/>
      <c r="AG62" s="108"/>
      <c r="AH62" s="108"/>
      <c r="AI62" s="108"/>
      <c r="AJ62" s="108"/>
      <c r="AK62" s="107">
        <v>16000</v>
      </c>
      <c r="AL62" s="120">
        <f>CR62*100/AK62</f>
        <v>10.175000000000001</v>
      </c>
      <c r="AM62" s="108"/>
      <c r="AN62" s="108"/>
      <c r="AO62" s="22"/>
      <c r="AP62" s="130"/>
      <c r="AQ62" s="130"/>
      <c r="AR62" s="130"/>
      <c r="AS62" s="130"/>
      <c r="AT62" s="130"/>
      <c r="AU62" s="41"/>
      <c r="AV62" s="35"/>
      <c r="AW62" s="35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1"/>
      <c r="BP62" s="41"/>
      <c r="BQ62" s="40"/>
      <c r="BR62" s="22"/>
      <c r="BS62" s="10"/>
      <c r="BT62" s="22"/>
      <c r="BU62" s="22"/>
      <c r="BV62" s="30"/>
      <c r="BW62" s="22"/>
      <c r="BX62" s="44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>
        <v>1628</v>
      </c>
      <c r="CS62" s="46"/>
      <c r="CT62" s="41"/>
      <c r="CU62" s="41"/>
      <c r="CV62" s="41"/>
      <c r="CW62" s="41"/>
      <c r="CX62" s="41"/>
      <c r="CY62" s="33">
        <f>(AE62-AE61)</f>
        <v>2.2119999999999997</v>
      </c>
      <c r="CZ62" s="46"/>
      <c r="DA62" s="46"/>
      <c r="DB62" s="46"/>
      <c r="DC62" s="35"/>
      <c r="DD62" s="35"/>
      <c r="DE62" s="46"/>
      <c r="DF62" s="40"/>
      <c r="DG62" s="30">
        <f t="shared" si="43"/>
        <v>434</v>
      </c>
      <c r="DH62" s="41">
        <f t="shared" si="6"/>
        <v>484</v>
      </c>
      <c r="DI62" s="41">
        <f t="shared" si="7"/>
        <v>384</v>
      </c>
      <c r="DJ62" s="41">
        <f t="shared" si="8"/>
        <v>534</v>
      </c>
      <c r="DK62" s="41">
        <f t="shared" si="9"/>
        <v>334</v>
      </c>
      <c r="DL62" s="30">
        <f t="shared" si="44"/>
        <v>415</v>
      </c>
    </row>
    <row r="63" spans="1:116" ht="16" x14ac:dyDescent="0.4">
      <c r="A63" s="18">
        <v>2024</v>
      </c>
      <c r="B63" s="14">
        <v>47508101.693512447</v>
      </c>
      <c r="C63" s="40">
        <v>16250838.702938998</v>
      </c>
      <c r="D63" s="107"/>
      <c r="E63" s="40">
        <f t="shared" si="62"/>
        <v>625032.25780534605</v>
      </c>
      <c r="F63" s="40">
        <f t="shared" si="54"/>
        <v>312516.12890267302</v>
      </c>
      <c r="G63" s="40">
        <f t="shared" si="41"/>
        <v>468774.19335400953</v>
      </c>
      <c r="H63" s="40">
        <v>516126.85299799999</v>
      </c>
      <c r="I63" s="40">
        <f t="shared" si="55"/>
        <v>258063.42649899999</v>
      </c>
      <c r="J63" s="40">
        <v>632727.36444599996</v>
      </c>
      <c r="K63" s="40">
        <f t="shared" si="56"/>
        <v>316363.68222299998</v>
      </c>
      <c r="L63" s="40">
        <v>778332.34440099995</v>
      </c>
      <c r="M63" s="40">
        <f t="shared" si="57"/>
        <v>389166.17220049998</v>
      </c>
      <c r="N63" s="40"/>
      <c r="O63" s="40">
        <f t="shared" ref="O63:O109" si="78">O62*1.03</f>
        <v>209005.78720000002</v>
      </c>
      <c r="P63" s="35"/>
      <c r="Q63" s="13"/>
      <c r="R63" s="41"/>
      <c r="S63" s="40"/>
      <c r="T63" s="35"/>
      <c r="U63" s="40"/>
      <c r="V63" s="35"/>
      <c r="W63" s="35"/>
      <c r="X63" s="35"/>
      <c r="Y63" s="35"/>
      <c r="Z63" s="32"/>
      <c r="AA63" s="48"/>
      <c r="AB63" s="48"/>
      <c r="AC63" s="48"/>
      <c r="AD63" s="48"/>
      <c r="AE63" s="48"/>
      <c r="AF63" s="108"/>
      <c r="AG63" s="108"/>
      <c r="AH63" s="108"/>
      <c r="AI63" s="108"/>
      <c r="AJ63" s="108"/>
      <c r="AK63" s="108"/>
      <c r="AL63" s="108"/>
      <c r="AM63" s="108"/>
      <c r="AN63" s="108"/>
      <c r="AO63" s="22"/>
      <c r="AP63" s="130"/>
      <c r="AQ63" s="130"/>
      <c r="AR63" s="130"/>
      <c r="AS63" s="130"/>
      <c r="AT63" s="130"/>
      <c r="AU63" s="35"/>
      <c r="AV63" s="35"/>
      <c r="AW63" s="35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22"/>
      <c r="BS63" s="10"/>
      <c r="BT63" s="22"/>
      <c r="BU63" s="22"/>
      <c r="BV63" s="30"/>
      <c r="BW63" s="22"/>
      <c r="BX63" s="44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6"/>
      <c r="CT63" s="41"/>
      <c r="CU63" s="41"/>
      <c r="CV63" s="41"/>
      <c r="CW63" s="41"/>
      <c r="CX63" s="41"/>
      <c r="CY63" s="40"/>
      <c r="CZ63" s="46"/>
      <c r="DA63" s="46"/>
      <c r="DB63" s="46"/>
      <c r="DC63" s="35"/>
      <c r="DD63" s="35"/>
      <c r="DE63" s="35"/>
      <c r="DF63" s="40"/>
      <c r="DG63" s="30">
        <f t="shared" si="43"/>
        <v>435.24</v>
      </c>
      <c r="DH63" s="41">
        <f t="shared" si="6"/>
        <v>485.24</v>
      </c>
      <c r="DI63" s="41">
        <f t="shared" si="7"/>
        <v>385.24</v>
      </c>
      <c r="DJ63" s="41">
        <f t="shared" si="8"/>
        <v>535.24</v>
      </c>
      <c r="DK63" s="41">
        <f t="shared" si="9"/>
        <v>335.24</v>
      </c>
      <c r="DL63" s="30">
        <f t="shared" si="44"/>
        <v>417.47500000000002</v>
      </c>
    </row>
    <row r="64" spans="1:116" ht="16" x14ac:dyDescent="0.4">
      <c r="A64" s="18">
        <v>2025</v>
      </c>
      <c r="B64" s="14">
        <v>47544784.05866617</v>
      </c>
      <c r="C64" s="40">
        <v>16015363.242989998</v>
      </c>
      <c r="D64" s="107"/>
      <c r="E64" s="40">
        <f>C64/26</f>
        <v>615975.50934576918</v>
      </c>
      <c r="F64" s="40">
        <f t="shared" si="54"/>
        <v>307987.75467288459</v>
      </c>
      <c r="G64" s="40">
        <f t="shared" si="41"/>
        <v>461981.63200932689</v>
      </c>
      <c r="H64" s="40">
        <v>501837.52931900002</v>
      </c>
      <c r="I64" s="40">
        <f t="shared" si="55"/>
        <v>250918.76465950001</v>
      </c>
      <c r="J64" s="40">
        <v>614866.50834099995</v>
      </c>
      <c r="K64" s="40">
        <f t="shared" si="56"/>
        <v>307433.25417049997</v>
      </c>
      <c r="L64" s="40">
        <v>797242.68682499998</v>
      </c>
      <c r="M64" s="40">
        <f t="shared" si="57"/>
        <v>398621.34341249999</v>
      </c>
      <c r="N64" s="40"/>
      <c r="O64" s="40">
        <f t="shared" si="78"/>
        <v>215275.96081600004</v>
      </c>
      <c r="P64" s="35"/>
      <c r="Q64" s="13"/>
      <c r="R64" s="41"/>
      <c r="S64" s="35"/>
      <c r="T64" s="35"/>
      <c r="U64" s="35"/>
      <c r="V64" s="35"/>
      <c r="W64" s="35"/>
      <c r="X64" s="35"/>
      <c r="Y64" s="35"/>
      <c r="Z64" s="32"/>
      <c r="AA64" s="48"/>
      <c r="AB64" s="48"/>
      <c r="AC64" s="48"/>
      <c r="AD64" s="48"/>
      <c r="AE64" s="48"/>
      <c r="AF64" s="108"/>
      <c r="AG64" s="108"/>
      <c r="AH64" s="108"/>
      <c r="AI64" s="108"/>
      <c r="AJ64" s="108"/>
      <c r="AK64" s="108"/>
      <c r="AL64" s="108"/>
      <c r="AM64" s="108"/>
      <c r="AN64" s="108"/>
      <c r="AO64" s="22"/>
      <c r="AP64" s="130"/>
      <c r="AQ64" s="130"/>
      <c r="AR64" s="130"/>
      <c r="AS64" s="130"/>
      <c r="AT64" s="130"/>
      <c r="AU64" s="35"/>
      <c r="AV64" s="35"/>
      <c r="AW64" s="35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22"/>
      <c r="BS64" s="10"/>
      <c r="BT64" s="22"/>
      <c r="BU64" s="22"/>
      <c r="BV64" s="30"/>
      <c r="BW64" s="22"/>
      <c r="BX64" s="44"/>
      <c r="BY64" s="35"/>
      <c r="BZ64" s="35"/>
      <c r="CA64" s="35"/>
      <c r="CB64" s="35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6"/>
      <c r="CT64" s="41"/>
      <c r="CU64" s="41"/>
      <c r="CV64" s="41"/>
      <c r="CW64" s="41"/>
      <c r="CX64" s="41"/>
      <c r="CY64" s="40"/>
      <c r="CZ64" s="46"/>
      <c r="DA64" s="46"/>
      <c r="DB64" s="46"/>
      <c r="DC64" s="35"/>
      <c r="DD64" s="35"/>
      <c r="DE64" s="35"/>
      <c r="DF64" s="40"/>
      <c r="DG64" s="30">
        <f t="shared" si="43"/>
        <v>436.36</v>
      </c>
      <c r="DH64" s="41">
        <f t="shared" si="6"/>
        <v>486.36</v>
      </c>
      <c r="DI64" s="41">
        <f t="shared" si="7"/>
        <v>386.36</v>
      </c>
      <c r="DJ64" s="41">
        <f t="shared" si="8"/>
        <v>536.36</v>
      </c>
      <c r="DK64" s="41">
        <f t="shared" si="9"/>
        <v>336.36</v>
      </c>
      <c r="DL64" s="30">
        <f t="shared" si="44"/>
        <v>419.9</v>
      </c>
    </row>
    <row r="65" spans="1:116" ht="16" x14ac:dyDescent="0.4">
      <c r="A65" s="18">
        <v>2026</v>
      </c>
      <c r="B65" s="14">
        <v>47587609.722386882</v>
      </c>
      <c r="C65" s="40">
        <v>15778182.705500999</v>
      </c>
      <c r="D65" s="107"/>
      <c r="E65" s="40">
        <f t="shared" si="62"/>
        <v>606853.18098080764</v>
      </c>
      <c r="F65" s="40">
        <f t="shared" si="54"/>
        <v>303426.59049040382</v>
      </c>
      <c r="G65" s="40">
        <f t="shared" si="41"/>
        <v>455139.88573560573</v>
      </c>
      <c r="H65" s="40">
        <v>498581.19506400003</v>
      </c>
      <c r="I65" s="40">
        <f t="shared" si="55"/>
        <v>249290.59753200001</v>
      </c>
      <c r="J65" s="40">
        <v>594746.80457599997</v>
      </c>
      <c r="K65" s="40">
        <f t="shared" si="56"/>
        <v>297373.40228799998</v>
      </c>
      <c r="L65" s="40">
        <v>803005.67792499997</v>
      </c>
      <c r="M65" s="40">
        <f t="shared" si="57"/>
        <v>401502.83896249998</v>
      </c>
      <c r="N65" s="40"/>
      <c r="O65" s="40">
        <f t="shared" si="78"/>
        <v>221734.23964048005</v>
      </c>
      <c r="P65" s="35"/>
      <c r="Q65" s="13"/>
      <c r="R65" s="41"/>
      <c r="S65" s="35"/>
      <c r="T65" s="35"/>
      <c r="U65" s="35"/>
      <c r="V65" s="35"/>
      <c r="W65" s="35"/>
      <c r="X65" s="35"/>
      <c r="Y65" s="35"/>
      <c r="Z65" s="32"/>
      <c r="AA65" s="48"/>
      <c r="AB65" s="48"/>
      <c r="AC65" s="48"/>
      <c r="AD65" s="48"/>
      <c r="AE65" s="48"/>
      <c r="AF65" s="108"/>
      <c r="AG65" s="108"/>
      <c r="AH65" s="108"/>
      <c r="AI65" s="108"/>
      <c r="AJ65" s="108"/>
      <c r="AK65" s="108"/>
      <c r="AL65" s="108"/>
      <c r="AM65" s="108"/>
      <c r="AN65" s="108"/>
      <c r="AO65" s="22"/>
      <c r="AP65" s="130"/>
      <c r="AQ65" s="130"/>
      <c r="AR65" s="130"/>
      <c r="AS65" s="130"/>
      <c r="AT65" s="130"/>
      <c r="AU65" s="35"/>
      <c r="AV65" s="35"/>
      <c r="AW65" s="35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22"/>
      <c r="BS65" s="10"/>
      <c r="BT65" s="22"/>
      <c r="BU65" s="22"/>
      <c r="BV65" s="30"/>
      <c r="BW65" s="22"/>
      <c r="BX65" s="44"/>
      <c r="BY65" s="35"/>
      <c r="BZ65" s="35"/>
      <c r="CA65" s="35"/>
      <c r="CB65" s="35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6"/>
      <c r="CT65" s="41"/>
      <c r="CU65" s="41"/>
      <c r="CV65" s="41"/>
      <c r="CW65" s="41"/>
      <c r="CX65" s="41"/>
      <c r="CY65" s="40"/>
      <c r="CZ65" s="46"/>
      <c r="DA65" s="46"/>
      <c r="DB65" s="46"/>
      <c r="DC65" s="35"/>
      <c r="DD65" s="35"/>
      <c r="DE65" s="35"/>
      <c r="DF65" s="40"/>
      <c r="DG65" s="30">
        <f t="shared" si="43"/>
        <v>437.36</v>
      </c>
      <c r="DH65" s="41">
        <f t="shared" si="6"/>
        <v>487.36</v>
      </c>
      <c r="DI65" s="41">
        <f t="shared" si="7"/>
        <v>387.36</v>
      </c>
      <c r="DJ65" s="41">
        <f t="shared" si="8"/>
        <v>537.36</v>
      </c>
      <c r="DK65" s="41">
        <f t="shared" si="9"/>
        <v>337.36</v>
      </c>
      <c r="DL65" s="30">
        <f t="shared" si="44"/>
        <v>422.27499999999998</v>
      </c>
    </row>
    <row r="66" spans="1:116" ht="16" x14ac:dyDescent="0.4">
      <c r="A66" s="18">
        <v>2027</v>
      </c>
      <c r="B66" s="14">
        <v>47638217.871348262</v>
      </c>
      <c r="C66" s="40">
        <v>15542821.275544999</v>
      </c>
      <c r="D66" s="107"/>
      <c r="E66" s="40">
        <f t="shared" si="62"/>
        <v>597800.81829019228</v>
      </c>
      <c r="F66" s="40">
        <f t="shared" si="54"/>
        <v>298900.40914509614</v>
      </c>
      <c r="G66" s="40">
        <f t="shared" si="41"/>
        <v>448350.61371764424</v>
      </c>
      <c r="H66" s="40">
        <v>501622.98487599997</v>
      </c>
      <c r="I66" s="40">
        <f t="shared" si="55"/>
        <v>250811.49243799999</v>
      </c>
      <c r="J66" s="40">
        <v>578267.86841300002</v>
      </c>
      <c r="K66" s="40">
        <f t="shared" si="56"/>
        <v>289133.93420650001</v>
      </c>
      <c r="L66" s="40">
        <v>809048.22265100002</v>
      </c>
      <c r="M66" s="40">
        <f t="shared" si="57"/>
        <v>404524.11132550001</v>
      </c>
      <c r="N66" s="40"/>
      <c r="O66" s="40">
        <f t="shared" si="78"/>
        <v>228386.26682969445</v>
      </c>
      <c r="P66" s="35"/>
      <c r="Q66" s="13"/>
      <c r="R66" s="41"/>
      <c r="S66" s="35"/>
      <c r="T66" s="40"/>
      <c r="U66" s="35"/>
      <c r="V66" s="35"/>
      <c r="W66" s="35"/>
      <c r="X66" s="35"/>
      <c r="Y66" s="35"/>
      <c r="Z66" s="32"/>
      <c r="AA66" s="48"/>
      <c r="AB66" s="48"/>
      <c r="AC66" s="48"/>
      <c r="AD66" s="48"/>
      <c r="AE66" s="48"/>
      <c r="AF66" s="108"/>
      <c r="AG66" s="108"/>
      <c r="AH66" s="108"/>
      <c r="AI66" s="108"/>
      <c r="AJ66" s="108"/>
      <c r="AK66" s="108"/>
      <c r="AL66" s="108"/>
      <c r="AM66" s="108"/>
      <c r="AN66" s="108"/>
      <c r="AO66" s="22"/>
      <c r="AP66" s="130"/>
      <c r="AQ66" s="130"/>
      <c r="AR66" s="130"/>
      <c r="AS66" s="130"/>
      <c r="AT66" s="130"/>
      <c r="AU66" s="35"/>
      <c r="AV66" s="35"/>
      <c r="AW66" s="35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22"/>
      <c r="BS66" s="10"/>
      <c r="BT66" s="22"/>
      <c r="BU66" s="22"/>
      <c r="BV66" s="30"/>
      <c r="BW66" s="22"/>
      <c r="BX66" s="44"/>
      <c r="BY66" s="35"/>
      <c r="BZ66" s="35"/>
      <c r="CA66" s="35"/>
      <c r="CB66" s="35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6"/>
      <c r="CT66" s="41"/>
      <c r="CU66" s="41"/>
      <c r="CV66" s="41"/>
      <c r="CW66" s="41"/>
      <c r="CX66" s="41"/>
      <c r="CY66" s="40"/>
      <c r="CZ66" s="46"/>
      <c r="DA66" s="46"/>
      <c r="DB66" s="46"/>
      <c r="DC66" s="35"/>
      <c r="DD66" s="35"/>
      <c r="DE66" s="35"/>
      <c r="DF66" s="40"/>
      <c r="DG66" s="30">
        <f t="shared" si="43"/>
        <v>438.24</v>
      </c>
      <c r="DH66" s="41">
        <f t="shared" si="6"/>
        <v>488.24</v>
      </c>
      <c r="DI66" s="41">
        <f t="shared" si="7"/>
        <v>388.24</v>
      </c>
      <c r="DJ66" s="41">
        <f t="shared" si="8"/>
        <v>538.24</v>
      </c>
      <c r="DK66" s="41">
        <f t="shared" si="9"/>
        <v>338.24</v>
      </c>
      <c r="DL66" s="30">
        <f t="shared" si="44"/>
        <v>424.6</v>
      </c>
    </row>
    <row r="67" spans="1:116" ht="16" x14ac:dyDescent="0.4">
      <c r="A67" s="18">
        <v>2028</v>
      </c>
      <c r="B67" s="14">
        <v>47697038.863705635</v>
      </c>
      <c r="C67" s="40">
        <v>15311447.272689998</v>
      </c>
      <c r="D67" s="107"/>
      <c r="E67" s="40">
        <f t="shared" si="62"/>
        <v>588901.81818038458</v>
      </c>
      <c r="F67" s="40">
        <f t="shared" si="54"/>
        <v>294450.90909019229</v>
      </c>
      <c r="G67" s="40">
        <f t="shared" ref="G67:G98" si="79">F67*1.5</f>
        <v>441676.36363528844</v>
      </c>
      <c r="H67" s="40">
        <v>508279.06743200001</v>
      </c>
      <c r="I67" s="40">
        <f t="shared" si="55"/>
        <v>254139.53371600001</v>
      </c>
      <c r="J67" s="40">
        <v>567956.33869799995</v>
      </c>
      <c r="K67" s="40">
        <f t="shared" si="56"/>
        <v>283978.16934899997</v>
      </c>
      <c r="L67" s="40">
        <v>794816.13369699998</v>
      </c>
      <c r="M67" s="40">
        <f t="shared" si="57"/>
        <v>397408.06684849999</v>
      </c>
      <c r="N67" s="40"/>
      <c r="O67" s="40">
        <f t="shared" si="78"/>
        <v>235237.85483458528</v>
      </c>
      <c r="P67" s="35"/>
      <c r="Q67" s="13"/>
      <c r="R67" s="41"/>
      <c r="S67" s="35"/>
      <c r="T67" s="40"/>
      <c r="U67" s="46"/>
      <c r="V67" s="35"/>
      <c r="W67" s="35"/>
      <c r="X67" s="35"/>
      <c r="Y67" s="35"/>
      <c r="Z67" s="32"/>
      <c r="AA67" s="48"/>
      <c r="AB67" s="48"/>
      <c r="AC67" s="48"/>
      <c r="AD67" s="48"/>
      <c r="AE67" s="48"/>
      <c r="AF67" s="108"/>
      <c r="AG67" s="108"/>
      <c r="AH67" s="108"/>
      <c r="AI67" s="108"/>
      <c r="AJ67" s="108"/>
      <c r="AK67" s="108"/>
      <c r="AL67" s="108"/>
      <c r="AM67" s="108"/>
      <c r="AN67" s="108"/>
      <c r="AO67" s="22"/>
      <c r="AP67" s="130"/>
      <c r="AQ67" s="130"/>
      <c r="AR67" s="130"/>
      <c r="AS67" s="130"/>
      <c r="AT67" s="130"/>
      <c r="AU67" s="35"/>
      <c r="AV67" s="35"/>
      <c r="AW67" s="35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22"/>
      <c r="BS67" s="10"/>
      <c r="BT67" s="22"/>
      <c r="BU67" s="22"/>
      <c r="BV67" s="30"/>
      <c r="BW67" s="22"/>
      <c r="BX67" s="44"/>
      <c r="BY67" s="35"/>
      <c r="BZ67" s="35"/>
      <c r="CA67" s="35"/>
      <c r="CB67" s="35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6"/>
      <c r="CT67" s="41"/>
      <c r="CU67" s="41"/>
      <c r="CV67" s="41"/>
      <c r="CW67" s="41"/>
      <c r="CX67" s="41"/>
      <c r="CY67" s="40"/>
      <c r="CZ67" s="46"/>
      <c r="DA67" s="46"/>
      <c r="DB67" s="46"/>
      <c r="DC67" s="35"/>
      <c r="DD67" s="35"/>
      <c r="DE67" s="35"/>
      <c r="DF67" s="40"/>
      <c r="DG67" s="30">
        <f t="shared" ref="DG67:DG98" si="80">-0.06*((A67-1963)^2)+8.5*(A67-1963)+140</f>
        <v>439</v>
      </c>
      <c r="DH67" s="41">
        <f t="shared" si="6"/>
        <v>489</v>
      </c>
      <c r="DI67" s="41">
        <f t="shared" si="7"/>
        <v>389</v>
      </c>
      <c r="DJ67" s="41">
        <f t="shared" si="8"/>
        <v>539</v>
      </c>
      <c r="DK67" s="41">
        <f t="shared" si="9"/>
        <v>339</v>
      </c>
      <c r="DL67" s="30">
        <f t="shared" ref="DL67:DL98" si="81">-0.025*((A67-1963)^2)+5.5*(A67-1963)+175</f>
        <v>426.875</v>
      </c>
    </row>
    <row r="68" spans="1:116" ht="16" x14ac:dyDescent="0.4">
      <c r="A68" s="18">
        <v>2029</v>
      </c>
      <c r="B68" s="14">
        <v>47765912.282433301</v>
      </c>
      <c r="C68" s="40">
        <v>15122609.461375</v>
      </c>
      <c r="D68" s="107"/>
      <c r="E68" s="40">
        <f t="shared" si="62"/>
        <v>581638.82543750003</v>
      </c>
      <c r="F68" s="40">
        <f t="shared" si="54"/>
        <v>290819.41271875001</v>
      </c>
      <c r="G68" s="40">
        <f t="shared" si="79"/>
        <v>436229.11907812499</v>
      </c>
      <c r="H68" s="40">
        <v>508058.566513</v>
      </c>
      <c r="I68" s="40">
        <f t="shared" si="55"/>
        <v>254029.2832565</v>
      </c>
      <c r="J68" s="40">
        <v>564293.06015399995</v>
      </c>
      <c r="K68" s="40">
        <f t="shared" si="56"/>
        <v>282146.53007699997</v>
      </c>
      <c r="L68" s="40">
        <v>784884.00837199995</v>
      </c>
      <c r="M68" s="40">
        <f t="shared" si="57"/>
        <v>392442.00418599998</v>
      </c>
      <c r="N68" s="40"/>
      <c r="O68" s="40">
        <f t="shared" si="78"/>
        <v>242294.99047962285</v>
      </c>
      <c r="P68" s="35"/>
      <c r="Q68" s="13"/>
      <c r="R68" s="41"/>
      <c r="S68" s="35"/>
      <c r="T68" s="40"/>
      <c r="U68" s="46"/>
      <c r="V68" s="35"/>
      <c r="W68" s="35"/>
      <c r="X68" s="35"/>
      <c r="Y68" s="35"/>
      <c r="Z68" s="32"/>
      <c r="AA68" s="48"/>
      <c r="AB68" s="48"/>
      <c r="AC68" s="48"/>
      <c r="AD68" s="48"/>
      <c r="AE68" s="48"/>
      <c r="AF68" s="108"/>
      <c r="AG68" s="108"/>
      <c r="AH68" s="108"/>
      <c r="AI68" s="108"/>
      <c r="AJ68" s="108"/>
      <c r="AK68" s="108"/>
      <c r="AL68" s="108"/>
      <c r="AM68" s="108"/>
      <c r="AN68" s="108"/>
      <c r="AO68" s="22"/>
      <c r="AP68" s="130"/>
      <c r="AQ68" s="130"/>
      <c r="AR68" s="130"/>
      <c r="AS68" s="130"/>
      <c r="AT68" s="130"/>
      <c r="AU68" s="35"/>
      <c r="AV68" s="35"/>
      <c r="AW68" s="35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22"/>
      <c r="BS68" s="10"/>
      <c r="BT68" s="22"/>
      <c r="BU68" s="22"/>
      <c r="BV68" s="30"/>
      <c r="BW68" s="22"/>
      <c r="BX68" s="44"/>
      <c r="BY68" s="35"/>
      <c r="BZ68" s="35"/>
      <c r="CA68" s="35"/>
      <c r="CB68" s="35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6"/>
      <c r="CT68" s="41"/>
      <c r="CU68" s="41"/>
      <c r="CV68" s="41"/>
      <c r="CW68" s="41"/>
      <c r="CX68" s="41"/>
      <c r="CY68" s="40"/>
      <c r="CZ68" s="46"/>
      <c r="DA68" s="46"/>
      <c r="DB68" s="46"/>
      <c r="DC68" s="35"/>
      <c r="DD68" s="35"/>
      <c r="DE68" s="35"/>
      <c r="DF68" s="40"/>
      <c r="DG68" s="30">
        <f t="shared" si="80"/>
        <v>439.64</v>
      </c>
      <c r="DH68" s="41">
        <f t="shared" ref="DH68:DH109" si="82">DG68+50</f>
        <v>489.64</v>
      </c>
      <c r="DI68" s="41">
        <f t="shared" ref="DI68:DI109" si="83">DG68-50</f>
        <v>389.64</v>
      </c>
      <c r="DJ68" s="41">
        <f t="shared" ref="DJ68:DJ99" si="84">DG68+100</f>
        <v>539.64</v>
      </c>
      <c r="DK68" s="41">
        <f t="shared" ref="DK68:DK99" si="85">DG68-100</f>
        <v>339.64</v>
      </c>
      <c r="DL68" s="30">
        <f t="shared" si="81"/>
        <v>429.1</v>
      </c>
    </row>
    <row r="69" spans="1:116" ht="16" x14ac:dyDescent="0.4">
      <c r="A69" s="18">
        <v>2030</v>
      </c>
      <c r="B69" s="14">
        <v>47844504.864883363</v>
      </c>
      <c r="C69" s="40">
        <v>14963067.481815998</v>
      </c>
      <c r="D69" s="107"/>
      <c r="E69" s="40">
        <f t="shared" si="62"/>
        <v>575502.59545446141</v>
      </c>
      <c r="F69" s="40">
        <f t="shared" si="54"/>
        <v>287751.2977272307</v>
      </c>
      <c r="G69" s="40">
        <f t="shared" si="79"/>
        <v>431626.94659084606</v>
      </c>
      <c r="H69" s="40">
        <v>523717.15349900001</v>
      </c>
      <c r="I69" s="40">
        <f t="shared" si="55"/>
        <v>261858.5767495</v>
      </c>
      <c r="J69" s="40">
        <v>559083.86880399997</v>
      </c>
      <c r="K69" s="40">
        <f t="shared" si="56"/>
        <v>279541.93440199998</v>
      </c>
      <c r="L69" s="40">
        <v>752345.64312699996</v>
      </c>
      <c r="M69" s="40">
        <f t="shared" si="57"/>
        <v>376172.82156349998</v>
      </c>
      <c r="N69" s="40"/>
      <c r="O69" s="40">
        <f t="shared" si="78"/>
        <v>249563.84019401154</v>
      </c>
      <c r="P69" s="35"/>
      <c r="Q69" s="13"/>
      <c r="R69" s="41"/>
      <c r="S69" s="35"/>
      <c r="T69" s="40"/>
      <c r="U69" s="46"/>
      <c r="V69" s="35"/>
      <c r="W69" s="35"/>
      <c r="X69" s="35"/>
      <c r="Y69" s="35"/>
      <c r="Z69" s="32"/>
      <c r="AA69" s="48"/>
      <c r="AB69" s="48"/>
      <c r="AC69" s="48"/>
      <c r="AD69" s="48"/>
      <c r="AE69" s="48"/>
      <c r="AF69" s="108"/>
      <c r="AG69" s="108"/>
      <c r="AH69" s="108"/>
      <c r="AI69" s="108"/>
      <c r="AJ69" s="108"/>
      <c r="AK69" s="108"/>
      <c r="AL69" s="108"/>
      <c r="AM69" s="108"/>
      <c r="AN69" s="108"/>
      <c r="AO69" s="22"/>
      <c r="AP69" s="130"/>
      <c r="AQ69" s="130"/>
      <c r="AR69" s="130"/>
      <c r="AS69" s="130"/>
      <c r="AT69" s="130"/>
      <c r="AU69" s="35"/>
      <c r="AV69" s="35"/>
      <c r="AW69" s="35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22"/>
      <c r="BS69" s="10"/>
      <c r="BT69" s="22"/>
      <c r="BU69" s="22"/>
      <c r="BV69" s="30"/>
      <c r="BW69" s="22"/>
      <c r="BX69" s="44"/>
      <c r="BY69" s="35"/>
      <c r="BZ69" s="35"/>
      <c r="CA69" s="35"/>
      <c r="CB69" s="35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6"/>
      <c r="CT69" s="41"/>
      <c r="CU69" s="41"/>
      <c r="CV69" s="41"/>
      <c r="CW69" s="41"/>
      <c r="CX69" s="41"/>
      <c r="CY69" s="40"/>
      <c r="CZ69" s="46"/>
      <c r="DA69" s="46"/>
      <c r="DB69" s="46"/>
      <c r="DC69" s="35"/>
      <c r="DD69" s="35"/>
      <c r="DE69" s="35"/>
      <c r="DF69" s="40"/>
      <c r="DG69" s="30">
        <f t="shared" si="80"/>
        <v>440.16</v>
      </c>
      <c r="DH69" s="41">
        <f t="shared" si="82"/>
        <v>490.16</v>
      </c>
      <c r="DI69" s="41">
        <f t="shared" si="83"/>
        <v>390.16</v>
      </c>
      <c r="DJ69" s="41">
        <f t="shared" si="84"/>
        <v>540.16000000000008</v>
      </c>
      <c r="DK69" s="41">
        <f t="shared" si="85"/>
        <v>340.16</v>
      </c>
      <c r="DL69" s="30">
        <f t="shared" si="81"/>
        <v>431.27499999999998</v>
      </c>
    </row>
    <row r="70" spans="1:116" ht="16" x14ac:dyDescent="0.4">
      <c r="A70" s="18">
        <v>2031</v>
      </c>
      <c r="B70" s="14">
        <v>47933476.592197433</v>
      </c>
      <c r="C70" s="40">
        <v>14852312.461092999</v>
      </c>
      <c r="D70" s="107"/>
      <c r="E70" s="40">
        <f t="shared" si="62"/>
        <v>571242.78696511535</v>
      </c>
      <c r="F70" s="40">
        <f t="shared" si="54"/>
        <v>285621.39348255767</v>
      </c>
      <c r="G70" s="40">
        <f t="shared" si="79"/>
        <v>428432.09022383648</v>
      </c>
      <c r="H70" s="40">
        <v>537265.87975299999</v>
      </c>
      <c r="I70" s="40">
        <f t="shared" si="55"/>
        <v>268632.93987649999</v>
      </c>
      <c r="J70" s="40">
        <v>555269.61271400005</v>
      </c>
      <c r="K70" s="40">
        <f t="shared" si="56"/>
        <v>277634.80635700002</v>
      </c>
      <c r="L70" s="40">
        <v>731890.16582400003</v>
      </c>
      <c r="M70" s="40">
        <f t="shared" si="57"/>
        <v>365945.08291200001</v>
      </c>
      <c r="N70" s="40"/>
      <c r="O70" s="40">
        <f t="shared" si="78"/>
        <v>257050.75539983189</v>
      </c>
      <c r="P70" s="35"/>
      <c r="Q70" s="13"/>
      <c r="R70" s="41"/>
      <c r="S70" s="35"/>
      <c r="T70" s="40"/>
      <c r="U70" s="46"/>
      <c r="V70" s="35"/>
      <c r="W70" s="35"/>
      <c r="X70" s="35"/>
      <c r="Y70" s="35"/>
      <c r="Z70" s="32"/>
      <c r="AA70" s="48"/>
      <c r="AB70" s="48"/>
      <c r="AC70" s="48"/>
      <c r="AD70" s="48"/>
      <c r="AE70" s="48"/>
      <c r="AF70" s="108"/>
      <c r="AG70" s="108"/>
      <c r="AH70" s="108"/>
      <c r="AI70" s="108"/>
      <c r="AJ70" s="108"/>
      <c r="AK70" s="108"/>
      <c r="AL70" s="108"/>
      <c r="AM70" s="108"/>
      <c r="AN70" s="108"/>
      <c r="AO70" s="22"/>
      <c r="AP70" s="130"/>
      <c r="AQ70" s="130"/>
      <c r="AR70" s="130"/>
      <c r="AS70" s="130"/>
      <c r="AT70" s="130"/>
      <c r="AU70" s="35"/>
      <c r="AV70" s="35"/>
      <c r="AW70" s="35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22"/>
      <c r="BS70" s="10"/>
      <c r="BT70" s="22"/>
      <c r="BU70" s="22"/>
      <c r="BV70" s="30"/>
      <c r="BW70" s="22"/>
      <c r="BX70" s="35"/>
      <c r="BY70" s="35"/>
      <c r="BZ70" s="35"/>
      <c r="CA70" s="35"/>
      <c r="CB70" s="35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6"/>
      <c r="CT70" s="41"/>
      <c r="CU70" s="41"/>
      <c r="CV70" s="41"/>
      <c r="CW70" s="41"/>
      <c r="CX70" s="41"/>
      <c r="CY70" s="40"/>
      <c r="CZ70" s="46"/>
      <c r="DA70" s="46"/>
      <c r="DB70" s="46"/>
      <c r="DC70" s="35"/>
      <c r="DD70" s="35"/>
      <c r="DE70" s="35"/>
      <c r="DF70" s="40"/>
      <c r="DG70" s="30">
        <f t="shared" si="80"/>
        <v>440.56</v>
      </c>
      <c r="DH70" s="41">
        <f t="shared" si="82"/>
        <v>490.56</v>
      </c>
      <c r="DI70" s="41">
        <f t="shared" si="83"/>
        <v>390.56</v>
      </c>
      <c r="DJ70" s="41">
        <f t="shared" si="84"/>
        <v>540.55999999999995</v>
      </c>
      <c r="DK70" s="41">
        <f t="shared" si="85"/>
        <v>340.56</v>
      </c>
      <c r="DL70" s="30">
        <f t="shared" si="81"/>
        <v>433.4</v>
      </c>
    </row>
    <row r="71" spans="1:116" ht="16" x14ac:dyDescent="0.4">
      <c r="A71" s="18">
        <v>2032</v>
      </c>
      <c r="B71" s="14">
        <v>48033534.852555975</v>
      </c>
      <c r="C71" s="40">
        <v>14783361.233756999</v>
      </c>
      <c r="D71" s="107"/>
      <c r="E71" s="40">
        <f t="shared" si="62"/>
        <v>568590.81668296154</v>
      </c>
      <c r="F71" s="40">
        <f t="shared" si="54"/>
        <v>284295.40834148077</v>
      </c>
      <c r="G71" s="40">
        <f t="shared" si="79"/>
        <v>426443.11251222115</v>
      </c>
      <c r="H71" s="40">
        <v>541285.71918000001</v>
      </c>
      <c r="I71" s="40">
        <f t="shared" si="55"/>
        <v>270642.85959000001</v>
      </c>
      <c r="J71" s="40">
        <v>552826.453094</v>
      </c>
      <c r="K71" s="40">
        <f t="shared" si="56"/>
        <v>276413.226547</v>
      </c>
      <c r="L71" s="40">
        <v>700885.24506999995</v>
      </c>
      <c r="M71" s="40">
        <f t="shared" si="57"/>
        <v>350442.62253499997</v>
      </c>
      <c r="N71" s="40"/>
      <c r="O71" s="40">
        <f t="shared" si="78"/>
        <v>264762.27806182683</v>
      </c>
      <c r="P71" s="35"/>
      <c r="Q71" s="13"/>
      <c r="R71" s="41"/>
      <c r="S71" s="35"/>
      <c r="T71" s="40"/>
      <c r="U71" s="46"/>
      <c r="V71" s="35"/>
      <c r="W71" s="35"/>
      <c r="X71" s="35"/>
      <c r="Y71" s="35"/>
      <c r="Z71" s="32"/>
      <c r="AA71" s="48"/>
      <c r="AB71" s="48"/>
      <c r="AC71" s="48"/>
      <c r="AD71" s="48"/>
      <c r="AE71" s="48"/>
      <c r="AF71" s="108"/>
      <c r="AG71" s="108"/>
      <c r="AH71" s="108"/>
      <c r="AI71" s="108"/>
      <c r="AJ71" s="108"/>
      <c r="AK71" s="108"/>
      <c r="AL71" s="108"/>
      <c r="AM71" s="108"/>
      <c r="AN71" s="108"/>
      <c r="AO71" s="35"/>
      <c r="AP71" s="109"/>
      <c r="AQ71" s="109"/>
      <c r="AR71" s="109"/>
      <c r="AS71" s="109"/>
      <c r="AT71" s="109"/>
      <c r="AU71" s="35"/>
      <c r="AV71" s="35"/>
      <c r="AW71" s="35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22"/>
      <c r="BS71" s="10"/>
      <c r="BT71" s="22"/>
      <c r="BU71" s="22"/>
      <c r="BV71" s="30"/>
      <c r="BW71" s="22"/>
      <c r="BX71" s="35"/>
      <c r="BY71" s="35"/>
      <c r="BZ71" s="35"/>
      <c r="CA71" s="35"/>
      <c r="CB71" s="35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6"/>
      <c r="CT71" s="41"/>
      <c r="CU71" s="41"/>
      <c r="CV71" s="41"/>
      <c r="CW71" s="41"/>
      <c r="CX71" s="41"/>
      <c r="CY71" s="40"/>
      <c r="CZ71" s="46"/>
      <c r="DA71" s="46"/>
      <c r="DB71" s="46"/>
      <c r="DC71" s="35"/>
      <c r="DD71" s="35"/>
      <c r="DE71" s="35"/>
      <c r="DF71" s="40"/>
      <c r="DG71" s="30">
        <f t="shared" si="80"/>
        <v>440.84000000000003</v>
      </c>
      <c r="DH71" s="41">
        <f t="shared" si="82"/>
        <v>490.84000000000003</v>
      </c>
      <c r="DI71" s="41">
        <f t="shared" si="83"/>
        <v>390.84000000000003</v>
      </c>
      <c r="DJ71" s="41">
        <f t="shared" si="84"/>
        <v>540.84</v>
      </c>
      <c r="DK71" s="41">
        <f t="shared" si="85"/>
        <v>340.84000000000003</v>
      </c>
      <c r="DL71" s="30">
        <f t="shared" si="81"/>
        <v>435.47500000000002</v>
      </c>
    </row>
    <row r="72" spans="1:116" ht="16" x14ac:dyDescent="0.4">
      <c r="A72" s="18">
        <v>2033</v>
      </c>
      <c r="B72" s="14">
        <v>48142740.303703368</v>
      </c>
      <c r="C72" s="40">
        <v>14758746.278947001</v>
      </c>
      <c r="D72" s="107"/>
      <c r="E72" s="40">
        <f t="shared" si="62"/>
        <v>567644.0876518077</v>
      </c>
      <c r="F72" s="40">
        <f t="shared" si="54"/>
        <v>283822.04382590385</v>
      </c>
      <c r="G72" s="40">
        <f t="shared" si="79"/>
        <v>425733.06573885574</v>
      </c>
      <c r="H72" s="40">
        <v>547262.77626399999</v>
      </c>
      <c r="I72" s="40">
        <f t="shared" si="55"/>
        <v>273631.38813199999</v>
      </c>
      <c r="J72" s="40">
        <v>559843.03749799996</v>
      </c>
      <c r="K72" s="40">
        <f t="shared" si="56"/>
        <v>279921.51874899998</v>
      </c>
      <c r="L72" s="40">
        <v>673963.80887900002</v>
      </c>
      <c r="M72" s="40">
        <f t="shared" si="57"/>
        <v>336981.90443950001</v>
      </c>
      <c r="N72" s="40"/>
      <c r="O72" s="40">
        <f t="shared" si="78"/>
        <v>272705.14640368166</v>
      </c>
      <c r="P72" s="35"/>
      <c r="Q72" s="13"/>
      <c r="R72" s="41"/>
      <c r="S72" s="35"/>
      <c r="T72" s="40"/>
      <c r="U72" s="46"/>
      <c r="V72" s="35"/>
      <c r="W72" s="35"/>
      <c r="X72" s="35"/>
      <c r="Y72" s="35"/>
      <c r="Z72" s="32"/>
      <c r="AA72" s="48"/>
      <c r="AB72" s="48"/>
      <c r="AC72" s="48"/>
      <c r="AD72" s="48"/>
      <c r="AE72" s="48"/>
      <c r="AF72" s="108"/>
      <c r="AG72" s="108"/>
      <c r="AH72" s="108"/>
      <c r="AI72" s="108"/>
      <c r="AJ72" s="108"/>
      <c r="AK72" s="108"/>
      <c r="AL72" s="108"/>
      <c r="AM72" s="108"/>
      <c r="AN72" s="108"/>
      <c r="AO72" s="35"/>
      <c r="AP72" s="109"/>
      <c r="AQ72" s="109"/>
      <c r="AR72" s="109"/>
      <c r="AS72" s="109"/>
      <c r="AT72" s="109"/>
      <c r="AU72" s="35"/>
      <c r="AV72" s="35"/>
      <c r="AW72" s="35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22"/>
      <c r="BS72" s="10"/>
      <c r="BT72" s="22"/>
      <c r="BU72" s="22"/>
      <c r="BV72" s="30"/>
      <c r="BW72" s="22"/>
      <c r="BX72" s="35"/>
      <c r="BY72" s="35"/>
      <c r="BZ72" s="35"/>
      <c r="CA72" s="35"/>
      <c r="CB72" s="35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6"/>
      <c r="CT72" s="41"/>
      <c r="CU72" s="41"/>
      <c r="CV72" s="41"/>
      <c r="CW72" s="41"/>
      <c r="CX72" s="41"/>
      <c r="CY72" s="40"/>
      <c r="CZ72" s="46"/>
      <c r="DA72" s="46"/>
      <c r="DB72" s="46"/>
      <c r="DC72" s="35"/>
      <c r="DD72" s="35"/>
      <c r="DE72" s="35"/>
      <c r="DF72" s="40"/>
      <c r="DG72" s="30">
        <f t="shared" si="80"/>
        <v>441</v>
      </c>
      <c r="DH72" s="41">
        <f t="shared" si="82"/>
        <v>491</v>
      </c>
      <c r="DI72" s="41">
        <f t="shared" si="83"/>
        <v>391</v>
      </c>
      <c r="DJ72" s="41">
        <f t="shared" si="84"/>
        <v>541</v>
      </c>
      <c r="DK72" s="41">
        <f t="shared" si="85"/>
        <v>341</v>
      </c>
      <c r="DL72" s="30">
        <f t="shared" si="81"/>
        <v>437.5</v>
      </c>
    </row>
    <row r="73" spans="1:116" ht="16" x14ac:dyDescent="0.4">
      <c r="A73" s="18">
        <v>2034</v>
      </c>
      <c r="B73" s="14">
        <v>48259785.798996463</v>
      </c>
      <c r="C73" s="40">
        <v>14787697.648329997</v>
      </c>
      <c r="D73" s="107"/>
      <c r="E73" s="40">
        <f t="shared" si="62"/>
        <v>568757.60185884603</v>
      </c>
      <c r="F73" s="40">
        <f t="shared" si="54"/>
        <v>284378.80092942301</v>
      </c>
      <c r="G73" s="40">
        <f t="shared" si="79"/>
        <v>426568.20139413455</v>
      </c>
      <c r="H73" s="40">
        <v>569863.08283900004</v>
      </c>
      <c r="I73" s="40">
        <f t="shared" si="55"/>
        <v>284931.54141950002</v>
      </c>
      <c r="J73" s="40">
        <v>550137.95979200001</v>
      </c>
      <c r="K73" s="40">
        <f t="shared" si="56"/>
        <v>275068.979896</v>
      </c>
      <c r="L73" s="40">
        <v>642334.66037599999</v>
      </c>
      <c r="M73" s="40">
        <f t="shared" si="57"/>
        <v>321167.33018799999</v>
      </c>
      <c r="N73" s="40"/>
      <c r="O73" s="40">
        <f t="shared" si="78"/>
        <v>280886.30079579214</v>
      </c>
      <c r="P73" s="35"/>
      <c r="Q73" s="13"/>
      <c r="R73" s="41"/>
      <c r="S73" s="35"/>
      <c r="T73" s="40"/>
      <c r="U73" s="46"/>
      <c r="V73" s="35"/>
      <c r="W73" s="35"/>
      <c r="X73" s="35"/>
      <c r="Y73" s="35"/>
      <c r="Z73" s="35"/>
      <c r="AA73" s="48"/>
      <c r="AB73" s="48"/>
      <c r="AC73" s="48"/>
      <c r="AD73" s="48"/>
      <c r="AE73" s="48"/>
      <c r="AF73" s="108"/>
      <c r="AG73" s="108"/>
      <c r="AH73" s="108"/>
      <c r="AI73" s="108"/>
      <c r="AJ73" s="108"/>
      <c r="AK73" s="108"/>
      <c r="AL73" s="108"/>
      <c r="AM73" s="108"/>
      <c r="AN73" s="108"/>
      <c r="AO73" s="35"/>
      <c r="AP73" s="109"/>
      <c r="AQ73" s="109"/>
      <c r="AR73" s="109"/>
      <c r="AS73" s="109"/>
      <c r="AT73" s="109"/>
      <c r="AU73" s="35"/>
      <c r="AV73" s="35"/>
      <c r="AW73" s="35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22"/>
      <c r="BS73" s="10"/>
      <c r="BT73" s="22"/>
      <c r="BU73" s="22"/>
      <c r="BV73" s="30"/>
      <c r="BW73" s="22"/>
      <c r="BX73" s="35"/>
      <c r="BY73" s="35"/>
      <c r="BZ73" s="35"/>
      <c r="CA73" s="35"/>
      <c r="CB73" s="35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6"/>
      <c r="CT73" s="41"/>
      <c r="CU73" s="41"/>
      <c r="CV73" s="41"/>
      <c r="CW73" s="41"/>
      <c r="CX73" s="41"/>
      <c r="CY73" s="40"/>
      <c r="CZ73" s="46"/>
      <c r="DA73" s="46"/>
      <c r="DB73" s="46"/>
      <c r="DC73" s="35"/>
      <c r="DD73" s="35"/>
      <c r="DE73" s="35"/>
      <c r="DF73" s="40"/>
      <c r="DG73" s="30">
        <f t="shared" si="80"/>
        <v>441.04</v>
      </c>
      <c r="DH73" s="41">
        <f t="shared" si="82"/>
        <v>491.04</v>
      </c>
      <c r="DI73" s="41">
        <f t="shared" si="83"/>
        <v>391.04</v>
      </c>
      <c r="DJ73" s="41">
        <f t="shared" si="84"/>
        <v>541.04</v>
      </c>
      <c r="DK73" s="41">
        <f t="shared" si="85"/>
        <v>341.04</v>
      </c>
      <c r="DL73" s="30">
        <f t="shared" si="81"/>
        <v>439.47500000000002</v>
      </c>
    </row>
    <row r="74" spans="1:116" ht="16" x14ac:dyDescent="0.4">
      <c r="A74" s="18">
        <v>2035</v>
      </c>
      <c r="B74" s="14">
        <v>48381047.466654271</v>
      </c>
      <c r="C74" s="40">
        <v>14829571.839248</v>
      </c>
      <c r="D74" s="107"/>
      <c r="E74" s="40">
        <f t="shared" si="62"/>
        <v>570368.14766338456</v>
      </c>
      <c r="F74" s="40">
        <f t="shared" si="54"/>
        <v>285184.07383169228</v>
      </c>
      <c r="G74" s="40">
        <f t="shared" si="79"/>
        <v>427776.11074753839</v>
      </c>
      <c r="H74" s="40">
        <v>583682.82952300005</v>
      </c>
      <c r="I74" s="40">
        <f t="shared" si="55"/>
        <v>291841.41476150003</v>
      </c>
      <c r="J74" s="40">
        <v>538417.16963300004</v>
      </c>
      <c r="K74" s="40">
        <f t="shared" si="56"/>
        <v>269208.58481650002</v>
      </c>
      <c r="L74" s="40">
        <v>626364.595462</v>
      </c>
      <c r="M74" s="40">
        <f t="shared" si="57"/>
        <v>313182.297731</v>
      </c>
      <c r="N74" s="40"/>
      <c r="O74" s="40">
        <f t="shared" si="78"/>
        <v>289312.88981966593</v>
      </c>
      <c r="P74" s="11"/>
      <c r="Q74" s="13"/>
      <c r="R74" s="41"/>
      <c r="S74" s="35"/>
      <c r="T74" s="35"/>
      <c r="U74" s="35"/>
      <c r="V74" s="35"/>
      <c r="W74" s="35"/>
      <c r="X74" s="35"/>
      <c r="Y74" s="35"/>
      <c r="Z74" s="35"/>
      <c r="AA74" s="48"/>
      <c r="AB74" s="48"/>
      <c r="AC74" s="48"/>
      <c r="AD74" s="48"/>
      <c r="AE74" s="48"/>
      <c r="AF74" s="108"/>
      <c r="AG74" s="108"/>
      <c r="AH74" s="108"/>
      <c r="AI74" s="108"/>
      <c r="AJ74" s="108"/>
      <c r="AK74" s="108"/>
      <c r="AL74" s="108"/>
      <c r="AM74" s="108"/>
      <c r="AN74" s="108"/>
      <c r="AO74" s="35"/>
      <c r="AP74" s="109"/>
      <c r="AQ74" s="109"/>
      <c r="AR74" s="109"/>
      <c r="AS74" s="109"/>
      <c r="AT74" s="109"/>
      <c r="AU74" s="35"/>
      <c r="AV74" s="35"/>
      <c r="AW74" s="35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22"/>
      <c r="BS74" s="10"/>
      <c r="BT74" s="22"/>
      <c r="BU74" s="22"/>
      <c r="BV74" s="30"/>
      <c r="BW74" s="22"/>
      <c r="BX74" s="35"/>
      <c r="BY74" s="35"/>
      <c r="BZ74" s="35"/>
      <c r="CA74" s="35"/>
      <c r="CB74" s="35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6"/>
      <c r="CT74" s="41"/>
      <c r="CU74" s="41"/>
      <c r="CV74" s="41"/>
      <c r="CW74" s="41"/>
      <c r="CX74" s="41"/>
      <c r="CY74" s="40"/>
      <c r="CZ74" s="46"/>
      <c r="DA74" s="46"/>
      <c r="DB74" s="46"/>
      <c r="DC74" s="35"/>
      <c r="DD74" s="35"/>
      <c r="DE74" s="35"/>
      <c r="DF74" s="40"/>
      <c r="DG74" s="30">
        <f t="shared" si="80"/>
        <v>440.96000000000004</v>
      </c>
      <c r="DH74" s="41">
        <f t="shared" si="82"/>
        <v>490.96000000000004</v>
      </c>
      <c r="DI74" s="41">
        <f t="shared" si="83"/>
        <v>390.96000000000004</v>
      </c>
      <c r="DJ74" s="41">
        <f t="shared" si="84"/>
        <v>540.96</v>
      </c>
      <c r="DK74" s="41">
        <f t="shared" si="85"/>
        <v>340.96000000000004</v>
      </c>
      <c r="DL74" s="30">
        <f t="shared" si="81"/>
        <v>441.4</v>
      </c>
    </row>
    <row r="75" spans="1:116" ht="16" x14ac:dyDescent="0.4">
      <c r="A75" s="18">
        <v>2036</v>
      </c>
      <c r="B75" s="14">
        <v>48503785.095665723</v>
      </c>
      <c r="C75" s="40">
        <v>14882895.773574</v>
      </c>
      <c r="D75" s="107"/>
      <c r="E75" s="40">
        <f t="shared" si="62"/>
        <v>572419.06821438461</v>
      </c>
      <c r="F75" s="40">
        <f t="shared" si="54"/>
        <v>286209.5341071923</v>
      </c>
      <c r="G75" s="40">
        <f t="shared" si="79"/>
        <v>429314.30116078845</v>
      </c>
      <c r="H75" s="40">
        <v>594269.732158</v>
      </c>
      <c r="I75" s="40">
        <f t="shared" si="55"/>
        <v>297134.866079</v>
      </c>
      <c r="J75" s="40">
        <v>537284.04368300003</v>
      </c>
      <c r="K75" s="40">
        <f t="shared" si="56"/>
        <v>268642.02184150001</v>
      </c>
      <c r="L75" s="40">
        <v>608319.40208499995</v>
      </c>
      <c r="M75" s="40">
        <f t="shared" si="57"/>
        <v>304159.70104249998</v>
      </c>
      <c r="N75" s="40"/>
      <c r="O75" s="40">
        <f t="shared" si="78"/>
        <v>297992.27651425591</v>
      </c>
      <c r="P75" s="35"/>
      <c r="Q75" s="13"/>
      <c r="R75" s="41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109"/>
      <c r="AG75" s="109"/>
      <c r="AH75" s="109"/>
      <c r="AI75" s="109"/>
      <c r="AJ75" s="109"/>
      <c r="AK75" s="109"/>
      <c r="AL75" s="109"/>
      <c r="AM75" s="109"/>
      <c r="AN75" s="109"/>
      <c r="AO75" s="35"/>
      <c r="AP75" s="109"/>
      <c r="AQ75" s="109"/>
      <c r="AR75" s="109"/>
      <c r="AS75" s="109"/>
      <c r="AT75" s="109"/>
      <c r="AU75" s="35"/>
      <c r="AV75" s="35"/>
      <c r="AW75" s="35"/>
      <c r="AX75" s="35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46"/>
      <c r="DC75" s="35"/>
      <c r="DD75" s="35"/>
      <c r="DE75" s="35"/>
      <c r="DF75" s="35"/>
      <c r="DG75" s="30">
        <f t="shared" si="80"/>
        <v>440.76</v>
      </c>
      <c r="DH75" s="41">
        <f t="shared" si="82"/>
        <v>490.76</v>
      </c>
      <c r="DI75" s="41">
        <f t="shared" si="83"/>
        <v>390.76</v>
      </c>
      <c r="DJ75" s="41">
        <f t="shared" si="84"/>
        <v>540.76</v>
      </c>
      <c r="DK75" s="41">
        <f t="shared" si="85"/>
        <v>340.76</v>
      </c>
      <c r="DL75" s="30">
        <f t="shared" si="81"/>
        <v>443.27499999999998</v>
      </c>
    </row>
    <row r="76" spans="1:116" ht="16" x14ac:dyDescent="0.4">
      <c r="A76" s="18">
        <v>2037</v>
      </c>
      <c r="B76" s="14">
        <v>48627701.326035887</v>
      </c>
      <c r="C76" s="40">
        <v>14954760.163189</v>
      </c>
      <c r="D76" s="107"/>
      <c r="E76" s="40">
        <f t="shared" si="62"/>
        <v>575183.08319957694</v>
      </c>
      <c r="F76" s="40">
        <f t="shared" si="54"/>
        <v>287591.54159978847</v>
      </c>
      <c r="G76" s="40">
        <f t="shared" si="79"/>
        <v>431387.31239968271</v>
      </c>
      <c r="H76" s="40">
        <v>609334.76270700002</v>
      </c>
      <c r="I76" s="40">
        <f t="shared" si="55"/>
        <v>304667.38135350001</v>
      </c>
      <c r="J76" s="40">
        <v>542303.42929700005</v>
      </c>
      <c r="K76" s="40">
        <f t="shared" si="56"/>
        <v>271151.71464850003</v>
      </c>
      <c r="L76" s="40">
        <v>593674.78396799997</v>
      </c>
      <c r="M76" s="40">
        <f t="shared" si="57"/>
        <v>296837.39198399999</v>
      </c>
      <c r="N76" s="40"/>
      <c r="O76" s="40">
        <f t="shared" si="78"/>
        <v>306932.04480968358</v>
      </c>
      <c r="P76" s="35"/>
      <c r="Q76" s="13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109"/>
      <c r="AG76" s="109"/>
      <c r="AH76" s="109"/>
      <c r="AI76" s="109"/>
      <c r="AJ76" s="109"/>
      <c r="AK76" s="109"/>
      <c r="AL76" s="109"/>
      <c r="AM76" s="109"/>
      <c r="AN76" s="109"/>
      <c r="AO76" s="35"/>
      <c r="AP76" s="109"/>
      <c r="AQ76" s="109"/>
      <c r="AR76" s="109"/>
      <c r="AS76" s="109"/>
      <c r="AT76" s="109"/>
      <c r="AU76" s="35"/>
      <c r="AV76" s="35"/>
      <c r="AW76" s="35"/>
      <c r="AX76" s="35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46"/>
      <c r="DC76" s="35"/>
      <c r="DD76" s="35"/>
      <c r="DE76" s="35"/>
      <c r="DF76" s="35"/>
      <c r="DG76" s="30">
        <f t="shared" si="80"/>
        <v>440.44</v>
      </c>
      <c r="DH76" s="41">
        <f t="shared" si="82"/>
        <v>490.44</v>
      </c>
      <c r="DI76" s="41">
        <f t="shared" si="83"/>
        <v>390.44</v>
      </c>
      <c r="DJ76" s="41">
        <f t="shared" si="84"/>
        <v>540.44000000000005</v>
      </c>
      <c r="DK76" s="41">
        <f t="shared" si="85"/>
        <v>340.44</v>
      </c>
      <c r="DL76" s="30">
        <f t="shared" si="81"/>
        <v>445.1</v>
      </c>
    </row>
    <row r="77" spans="1:116" ht="16" x14ac:dyDescent="0.4">
      <c r="A77" s="18">
        <v>2038</v>
      </c>
      <c r="B77" s="14">
        <v>48752553.429691613</v>
      </c>
      <c r="C77" s="40">
        <v>15029028.105377</v>
      </c>
      <c r="D77" s="107"/>
      <c r="E77" s="40">
        <f t="shared" si="62"/>
        <v>578039.54251449998</v>
      </c>
      <c r="F77" s="40">
        <f t="shared" si="54"/>
        <v>289019.77125724999</v>
      </c>
      <c r="G77" s="40">
        <f t="shared" si="79"/>
        <v>433529.65688587498</v>
      </c>
      <c r="H77" s="40">
        <v>617660.20342499996</v>
      </c>
      <c r="I77" s="40">
        <f t="shared" si="55"/>
        <v>308830.10171249998</v>
      </c>
      <c r="J77" s="40">
        <v>550740.32585400005</v>
      </c>
      <c r="K77" s="40">
        <f t="shared" si="56"/>
        <v>275370.16292700003</v>
      </c>
      <c r="L77" s="40">
        <v>584560.39363900002</v>
      </c>
      <c r="M77" s="40">
        <f t="shared" si="57"/>
        <v>292280.19681950001</v>
      </c>
      <c r="N77" s="40"/>
      <c r="O77" s="40">
        <f t="shared" si="78"/>
        <v>316140.0061539741</v>
      </c>
      <c r="P77" s="35"/>
      <c r="Q77" s="13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109"/>
      <c r="AG77" s="109"/>
      <c r="AH77" s="109"/>
      <c r="AI77" s="109"/>
      <c r="AJ77" s="109"/>
      <c r="AK77" s="109"/>
      <c r="AL77" s="109"/>
      <c r="AM77" s="109"/>
      <c r="AN77" s="109"/>
      <c r="AO77" s="35"/>
      <c r="AP77" s="109"/>
      <c r="AQ77" s="109"/>
      <c r="AR77" s="109"/>
      <c r="AS77" s="109"/>
      <c r="AT77" s="109"/>
      <c r="AU77" s="35"/>
      <c r="AV77" s="35"/>
      <c r="AW77" s="35"/>
      <c r="AX77" s="35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46"/>
      <c r="DC77" s="35"/>
      <c r="DD77" s="35"/>
      <c r="DE77" s="35"/>
      <c r="DF77" s="35"/>
      <c r="DG77" s="30">
        <f t="shared" si="80"/>
        <v>440</v>
      </c>
      <c r="DH77" s="41">
        <f t="shared" si="82"/>
        <v>490</v>
      </c>
      <c r="DI77" s="41">
        <f t="shared" si="83"/>
        <v>390</v>
      </c>
      <c r="DJ77" s="41">
        <f t="shared" si="84"/>
        <v>540</v>
      </c>
      <c r="DK77" s="41">
        <f t="shared" si="85"/>
        <v>340</v>
      </c>
      <c r="DL77" s="30">
        <f t="shared" si="81"/>
        <v>446.875</v>
      </c>
    </row>
    <row r="78" spans="1:116" ht="16" x14ac:dyDescent="0.4">
      <c r="A78" s="18">
        <v>2039</v>
      </c>
      <c r="B78" s="14">
        <v>48877868.11065834</v>
      </c>
      <c r="C78" s="40">
        <v>15093518.648398999</v>
      </c>
      <c r="D78" s="107"/>
      <c r="E78" s="40">
        <f t="shared" si="62"/>
        <v>580519.94801534608</v>
      </c>
      <c r="F78" s="40">
        <f t="shared" si="54"/>
        <v>290259.97400767304</v>
      </c>
      <c r="G78" s="40">
        <f t="shared" si="79"/>
        <v>435389.96101150953</v>
      </c>
      <c r="H78" s="40">
        <v>639491.91223799996</v>
      </c>
      <c r="I78" s="40">
        <f t="shared" si="55"/>
        <v>319745.95611899998</v>
      </c>
      <c r="J78" s="40">
        <v>552444.51035999996</v>
      </c>
      <c r="K78" s="40">
        <f t="shared" si="56"/>
        <v>276222.25517999998</v>
      </c>
      <c r="L78" s="40">
        <v>581838.15139000001</v>
      </c>
      <c r="M78" s="40">
        <f t="shared" si="57"/>
        <v>290919.07569500001</v>
      </c>
      <c r="N78" s="40"/>
      <c r="O78" s="40">
        <f t="shared" si="78"/>
        <v>325624.20633859333</v>
      </c>
      <c r="P78" s="35"/>
      <c r="Q78" s="13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109"/>
      <c r="AG78" s="109"/>
      <c r="AH78" s="109"/>
      <c r="AI78" s="109"/>
      <c r="AJ78" s="109"/>
      <c r="AK78" s="109"/>
      <c r="AL78" s="109"/>
      <c r="AM78" s="109"/>
      <c r="AN78" s="109"/>
      <c r="AO78" s="35"/>
      <c r="AP78" s="109"/>
      <c r="AQ78" s="109"/>
      <c r="AR78" s="109"/>
      <c r="AS78" s="109"/>
      <c r="AT78" s="109"/>
      <c r="AU78" s="35"/>
      <c r="AV78" s="35"/>
      <c r="AW78" s="35"/>
      <c r="AX78" s="35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46"/>
      <c r="DC78" s="35"/>
      <c r="DD78" s="35"/>
      <c r="DE78" s="35"/>
      <c r="DF78" s="35"/>
      <c r="DG78" s="30">
        <f t="shared" si="80"/>
        <v>439.44</v>
      </c>
      <c r="DH78" s="41">
        <f t="shared" si="82"/>
        <v>489.44</v>
      </c>
      <c r="DI78" s="41">
        <f t="shared" si="83"/>
        <v>389.44</v>
      </c>
      <c r="DJ78" s="41">
        <f t="shared" si="84"/>
        <v>539.44000000000005</v>
      </c>
      <c r="DK78" s="41">
        <f t="shared" si="85"/>
        <v>339.44</v>
      </c>
      <c r="DL78" s="30">
        <f t="shared" si="81"/>
        <v>448.6</v>
      </c>
    </row>
    <row r="79" spans="1:116" ht="16" x14ac:dyDescent="0.4">
      <c r="A79" s="18">
        <v>2040</v>
      </c>
      <c r="B79" s="14">
        <v>49002929.918841965</v>
      </c>
      <c r="C79" s="40">
        <v>15169158.629735995</v>
      </c>
      <c r="D79" s="107"/>
      <c r="E79" s="40">
        <f t="shared" si="62"/>
        <v>583429.17806676903</v>
      </c>
      <c r="F79" s="40">
        <f t="shared" si="54"/>
        <v>291714.58903338452</v>
      </c>
      <c r="G79" s="40">
        <f t="shared" si="79"/>
        <v>437571.88355007675</v>
      </c>
      <c r="H79" s="40">
        <v>618982.15285199997</v>
      </c>
      <c r="I79" s="40">
        <f t="shared" si="55"/>
        <v>309491.07642599999</v>
      </c>
      <c r="J79" s="40">
        <v>568977.81809800002</v>
      </c>
      <c r="K79" s="40">
        <f t="shared" si="56"/>
        <v>284488.90904900001</v>
      </c>
      <c r="L79" s="40">
        <v>577653.51198800001</v>
      </c>
      <c r="M79" s="40">
        <f t="shared" si="57"/>
        <v>288826.75599400001</v>
      </c>
      <c r="N79" s="40"/>
      <c r="O79" s="40">
        <f t="shared" si="78"/>
        <v>335392.93252875115</v>
      </c>
      <c r="P79" s="35"/>
      <c r="Q79" s="13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109"/>
      <c r="AG79" s="109"/>
      <c r="AH79" s="109"/>
      <c r="AI79" s="109"/>
      <c r="AJ79" s="109"/>
      <c r="AK79" s="109"/>
      <c r="AL79" s="109"/>
      <c r="AM79" s="109"/>
      <c r="AN79" s="109"/>
      <c r="AO79" s="35"/>
      <c r="AP79" s="109"/>
      <c r="AQ79" s="109"/>
      <c r="AR79" s="109"/>
      <c r="AS79" s="109"/>
      <c r="AT79" s="109"/>
      <c r="AU79" s="35"/>
      <c r="AV79" s="35"/>
      <c r="AW79" s="35"/>
      <c r="AX79" s="35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46"/>
      <c r="DC79" s="35"/>
      <c r="DD79" s="35"/>
      <c r="DE79" s="35"/>
      <c r="DF79" s="35"/>
      <c r="DG79" s="30">
        <f t="shared" si="80"/>
        <v>438.76</v>
      </c>
      <c r="DH79" s="41">
        <f t="shared" si="82"/>
        <v>488.76</v>
      </c>
      <c r="DI79" s="41">
        <f t="shared" si="83"/>
        <v>388.76</v>
      </c>
      <c r="DJ79" s="41">
        <f t="shared" si="84"/>
        <v>538.76</v>
      </c>
      <c r="DK79" s="41">
        <f t="shared" si="85"/>
        <v>338.76</v>
      </c>
      <c r="DL79" s="30">
        <f t="shared" si="81"/>
        <v>450.27499999999998</v>
      </c>
    </row>
    <row r="80" spans="1:116" ht="16" x14ac:dyDescent="0.4">
      <c r="A80" s="18">
        <v>2041</v>
      </c>
      <c r="B80" s="14">
        <v>49126151.839667745</v>
      </c>
      <c r="C80" s="40">
        <v>15246490.584249001</v>
      </c>
      <c r="D80" s="107"/>
      <c r="E80" s="40">
        <f t="shared" si="62"/>
        <v>586403.48400957696</v>
      </c>
      <c r="F80" s="40">
        <f t="shared" si="54"/>
        <v>293201.74200478848</v>
      </c>
      <c r="G80" s="40">
        <f t="shared" si="79"/>
        <v>439802.61300718272</v>
      </c>
      <c r="H80" s="40">
        <v>613338.11364200001</v>
      </c>
      <c r="I80" s="40">
        <f t="shared" si="55"/>
        <v>306669.05682100001</v>
      </c>
      <c r="J80" s="40">
        <v>583919.06793200003</v>
      </c>
      <c r="K80" s="40">
        <f t="shared" si="56"/>
        <v>291959.53396600002</v>
      </c>
      <c r="L80" s="40">
        <v>574622.97465999995</v>
      </c>
      <c r="M80" s="40">
        <f t="shared" si="57"/>
        <v>287311.48732999997</v>
      </c>
      <c r="N80" s="40"/>
      <c r="O80" s="40">
        <f t="shared" si="78"/>
        <v>345454.72050461371</v>
      </c>
      <c r="P80" s="35"/>
      <c r="Q80" s="13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109"/>
      <c r="AG80" s="109"/>
      <c r="AH80" s="109"/>
      <c r="AI80" s="109"/>
      <c r="AJ80" s="109"/>
      <c r="AK80" s="109"/>
      <c r="AL80" s="109"/>
      <c r="AM80" s="109"/>
      <c r="AN80" s="109"/>
      <c r="AO80" s="35"/>
      <c r="AP80" s="109"/>
      <c r="AQ80" s="109"/>
      <c r="AR80" s="109"/>
      <c r="AS80" s="109"/>
      <c r="AT80" s="109"/>
      <c r="AU80" s="35"/>
      <c r="AV80" s="35"/>
      <c r="AW80" s="35"/>
      <c r="AX80" s="35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46"/>
      <c r="DC80" s="35"/>
      <c r="DD80" s="35"/>
      <c r="DE80" s="35"/>
      <c r="DF80" s="35"/>
      <c r="DG80" s="30">
        <f t="shared" si="80"/>
        <v>437.96000000000004</v>
      </c>
      <c r="DH80" s="41">
        <f t="shared" si="82"/>
        <v>487.96000000000004</v>
      </c>
      <c r="DI80" s="41">
        <f t="shared" si="83"/>
        <v>387.96000000000004</v>
      </c>
      <c r="DJ80" s="41">
        <f t="shared" si="84"/>
        <v>537.96</v>
      </c>
      <c r="DK80" s="41">
        <f t="shared" si="85"/>
        <v>337.96000000000004</v>
      </c>
      <c r="DL80" s="30">
        <f t="shared" si="81"/>
        <v>451.9</v>
      </c>
    </row>
    <row r="81" spans="1:116" ht="16" x14ac:dyDescent="0.4">
      <c r="A81" s="18">
        <v>2042</v>
      </c>
      <c r="B81" s="14">
        <v>49247167.391090572</v>
      </c>
      <c r="C81" s="40">
        <v>15321019.512600997</v>
      </c>
      <c r="D81" s="107"/>
      <c r="E81" s="40">
        <f t="shared" si="62"/>
        <v>589269.9812538845</v>
      </c>
      <c r="F81" s="40">
        <f t="shared" si="54"/>
        <v>294634.99062694225</v>
      </c>
      <c r="G81" s="40">
        <f t="shared" si="79"/>
        <v>441952.48594041337</v>
      </c>
      <c r="H81" s="40">
        <v>612730.43044999999</v>
      </c>
      <c r="I81" s="40">
        <f t="shared" si="55"/>
        <v>306365.21522499999</v>
      </c>
      <c r="J81" s="40">
        <v>589991.54116699996</v>
      </c>
      <c r="K81" s="40">
        <f t="shared" si="56"/>
        <v>294995.77058349998</v>
      </c>
      <c r="L81" s="40">
        <v>573000.78647000005</v>
      </c>
      <c r="M81" s="40">
        <f t="shared" si="57"/>
        <v>286500.39323500003</v>
      </c>
      <c r="N81" s="40"/>
      <c r="O81" s="40">
        <f t="shared" si="78"/>
        <v>355818.36211975216</v>
      </c>
      <c r="P81" s="35"/>
      <c r="Q81" s="13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109"/>
      <c r="AG81" s="109"/>
      <c r="AH81" s="109"/>
      <c r="AI81" s="109"/>
      <c r="AJ81" s="109"/>
      <c r="AK81" s="109"/>
      <c r="AL81" s="109"/>
      <c r="AM81" s="109"/>
      <c r="AN81" s="109"/>
      <c r="AO81" s="35"/>
      <c r="AP81" s="109"/>
      <c r="AQ81" s="109"/>
      <c r="AR81" s="109"/>
      <c r="AS81" s="109"/>
      <c r="AT81" s="109"/>
      <c r="AU81" s="35"/>
      <c r="AV81" s="35"/>
      <c r="AW81" s="35"/>
      <c r="AX81" s="35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46"/>
      <c r="DC81" s="35"/>
      <c r="DD81" s="35"/>
      <c r="DE81" s="35"/>
      <c r="DF81" s="35"/>
      <c r="DG81" s="30">
        <f t="shared" si="80"/>
        <v>437.04</v>
      </c>
      <c r="DH81" s="41">
        <f t="shared" si="82"/>
        <v>487.04</v>
      </c>
      <c r="DI81" s="41">
        <f t="shared" si="83"/>
        <v>387.04</v>
      </c>
      <c r="DJ81" s="41">
        <f t="shared" si="84"/>
        <v>537.04</v>
      </c>
      <c r="DK81" s="41">
        <f t="shared" si="85"/>
        <v>337.04</v>
      </c>
      <c r="DL81" s="30">
        <f t="shared" si="81"/>
        <v>453.47500000000002</v>
      </c>
    </row>
    <row r="82" spans="1:116" ht="16" x14ac:dyDescent="0.4">
      <c r="A82" s="18">
        <v>2043</v>
      </c>
      <c r="B82" s="14">
        <v>49364737.686195284</v>
      </c>
      <c r="C82" s="40">
        <v>15381511.786623001</v>
      </c>
      <c r="D82" s="107"/>
      <c r="E82" s="40">
        <f t="shared" si="62"/>
        <v>591596.60717780772</v>
      </c>
      <c r="F82" s="40">
        <f t="shared" si="54"/>
        <v>295798.30358890386</v>
      </c>
      <c r="G82" s="40">
        <f t="shared" si="79"/>
        <v>443697.45538335579</v>
      </c>
      <c r="H82" s="40">
        <v>599797.708109</v>
      </c>
      <c r="I82" s="40">
        <f t="shared" si="55"/>
        <v>299898.8540545</v>
      </c>
      <c r="J82" s="40">
        <v>597351.37133600004</v>
      </c>
      <c r="K82" s="40">
        <f t="shared" si="56"/>
        <v>298675.68566800002</v>
      </c>
      <c r="L82" s="40">
        <v>580118.29448499996</v>
      </c>
      <c r="M82" s="40">
        <f t="shared" si="57"/>
        <v>290059.14724249998</v>
      </c>
      <c r="N82" s="40"/>
      <c r="O82" s="40">
        <f t="shared" si="78"/>
        <v>366492.91298334475</v>
      </c>
      <c r="P82" s="35"/>
      <c r="Q82" s="13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109"/>
      <c r="AG82" s="109"/>
      <c r="AH82" s="109"/>
      <c r="AI82" s="109"/>
      <c r="AJ82" s="109"/>
      <c r="AK82" s="109"/>
      <c r="AL82" s="109"/>
      <c r="AM82" s="109"/>
      <c r="AN82" s="109"/>
      <c r="AO82" s="35"/>
      <c r="AP82" s="109"/>
      <c r="AQ82" s="109"/>
      <c r="AR82" s="109"/>
      <c r="AS82" s="109"/>
      <c r="AT82" s="109"/>
      <c r="AU82" s="35"/>
      <c r="AV82" s="35"/>
      <c r="AW82" s="35"/>
      <c r="AX82" s="35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46"/>
      <c r="DC82" s="35"/>
      <c r="DD82" s="35"/>
      <c r="DE82" s="35"/>
      <c r="DF82" s="35"/>
      <c r="DG82" s="30">
        <f t="shared" si="80"/>
        <v>436</v>
      </c>
      <c r="DH82" s="41">
        <f t="shared" si="82"/>
        <v>486</v>
      </c>
      <c r="DI82" s="41">
        <f t="shared" si="83"/>
        <v>386</v>
      </c>
      <c r="DJ82" s="41">
        <f t="shared" si="84"/>
        <v>536</v>
      </c>
      <c r="DK82" s="41">
        <f t="shared" si="85"/>
        <v>336</v>
      </c>
      <c r="DL82" s="30">
        <f t="shared" si="81"/>
        <v>455</v>
      </c>
    </row>
    <row r="83" spans="1:116" ht="16" x14ac:dyDescent="0.4">
      <c r="A83" s="18">
        <v>2044</v>
      </c>
      <c r="B83" s="14">
        <v>49477578.420258403</v>
      </c>
      <c r="C83" s="40">
        <v>15416632.274981001</v>
      </c>
      <c r="D83" s="107"/>
      <c r="E83" s="40">
        <f t="shared" si="62"/>
        <v>592947.39519157703</v>
      </c>
      <c r="F83" s="40">
        <f t="shared" si="54"/>
        <v>296473.69759578852</v>
      </c>
      <c r="G83" s="40">
        <f t="shared" si="79"/>
        <v>444710.54639368277</v>
      </c>
      <c r="H83" s="40">
        <v>580320.59249299997</v>
      </c>
      <c r="I83" s="40">
        <f t="shared" si="55"/>
        <v>290160.29624649999</v>
      </c>
      <c r="J83" s="40">
        <v>619978.41002299997</v>
      </c>
      <c r="K83" s="40">
        <f t="shared" si="56"/>
        <v>309989.20501149999</v>
      </c>
      <c r="L83" s="40">
        <v>570967.30337600003</v>
      </c>
      <c r="M83" s="40">
        <f t="shared" si="57"/>
        <v>285483.65168800001</v>
      </c>
      <c r="N83" s="40"/>
      <c r="O83" s="40">
        <f t="shared" si="78"/>
        <v>377487.70037284511</v>
      </c>
      <c r="P83" s="35"/>
      <c r="Q83" s="13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109"/>
      <c r="AG83" s="109"/>
      <c r="AH83" s="109"/>
      <c r="AI83" s="109"/>
      <c r="AJ83" s="109"/>
      <c r="AK83" s="109"/>
      <c r="AL83" s="109"/>
      <c r="AM83" s="109"/>
      <c r="AN83" s="109"/>
      <c r="AO83" s="35"/>
      <c r="AP83" s="109"/>
      <c r="AQ83" s="109"/>
      <c r="AR83" s="109"/>
      <c r="AS83" s="109"/>
      <c r="AT83" s="109"/>
      <c r="AU83" s="35"/>
      <c r="AV83" s="35"/>
      <c r="AW83" s="35"/>
      <c r="AX83" s="35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46"/>
      <c r="DC83" s="35"/>
      <c r="DD83" s="35"/>
      <c r="DE83" s="35"/>
      <c r="DF83" s="35"/>
      <c r="DG83" s="30">
        <f t="shared" si="80"/>
        <v>434.84000000000003</v>
      </c>
      <c r="DH83" s="41">
        <f t="shared" si="82"/>
        <v>484.84000000000003</v>
      </c>
      <c r="DI83" s="41">
        <f t="shared" si="83"/>
        <v>384.84000000000003</v>
      </c>
      <c r="DJ83" s="41">
        <f t="shared" si="84"/>
        <v>534.84</v>
      </c>
      <c r="DK83" s="41">
        <f t="shared" si="85"/>
        <v>334.84000000000003</v>
      </c>
      <c r="DL83" s="30">
        <f t="shared" si="81"/>
        <v>456.47500000000002</v>
      </c>
    </row>
    <row r="84" spans="1:116" ht="16" x14ac:dyDescent="0.4">
      <c r="A84" s="18">
        <v>2045</v>
      </c>
      <c r="B84" s="14">
        <v>49584782.126845665</v>
      </c>
      <c r="C84" s="40">
        <v>15449757.744016998</v>
      </c>
      <c r="D84" s="107"/>
      <c r="E84" s="40">
        <f t="shared" si="62"/>
        <v>594221.45169296139</v>
      </c>
      <c r="F84" s="40">
        <f t="shared" si="54"/>
        <v>297110.72584648069</v>
      </c>
      <c r="G84" s="40">
        <f t="shared" si="79"/>
        <v>445666.08876972104</v>
      </c>
      <c r="H84" s="40">
        <v>587533.97195000004</v>
      </c>
      <c r="I84" s="40">
        <f t="shared" si="55"/>
        <v>293766.98597500002</v>
      </c>
      <c r="J84" s="40">
        <v>633902.83918200003</v>
      </c>
      <c r="K84" s="40">
        <f t="shared" si="56"/>
        <v>316951.41959100001</v>
      </c>
      <c r="L84" s="40">
        <v>559868.301661</v>
      </c>
      <c r="M84" s="40">
        <f t="shared" si="57"/>
        <v>279934.1508305</v>
      </c>
      <c r="N84" s="40"/>
      <c r="O84" s="40">
        <f t="shared" si="78"/>
        <v>388812.33138403046</v>
      </c>
      <c r="P84" s="35"/>
      <c r="Q84" s="13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109"/>
      <c r="AG84" s="109"/>
      <c r="AH84" s="109"/>
      <c r="AI84" s="109"/>
      <c r="AJ84" s="109"/>
      <c r="AK84" s="109"/>
      <c r="AL84" s="109"/>
      <c r="AM84" s="109"/>
      <c r="AN84" s="109"/>
      <c r="AO84" s="35"/>
      <c r="AP84" s="109"/>
      <c r="AQ84" s="109"/>
      <c r="AR84" s="109"/>
      <c r="AS84" s="109"/>
      <c r="AT84" s="109"/>
      <c r="AU84" s="35"/>
      <c r="AV84" s="35"/>
      <c r="AW84" s="35"/>
      <c r="AX84" s="35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46"/>
      <c r="DC84" s="35"/>
      <c r="DD84" s="35"/>
      <c r="DE84" s="35"/>
      <c r="DF84" s="35"/>
      <c r="DG84" s="30">
        <f t="shared" si="80"/>
        <v>433.56</v>
      </c>
      <c r="DH84" s="41">
        <f t="shared" si="82"/>
        <v>483.56</v>
      </c>
      <c r="DI84" s="41">
        <f t="shared" si="83"/>
        <v>383.56</v>
      </c>
      <c r="DJ84" s="41">
        <f t="shared" si="84"/>
        <v>533.55999999999995</v>
      </c>
      <c r="DK84" s="41">
        <f t="shared" si="85"/>
        <v>333.56</v>
      </c>
      <c r="DL84" s="30">
        <f t="shared" si="81"/>
        <v>457.9</v>
      </c>
    </row>
    <row r="85" spans="1:116" ht="16" x14ac:dyDescent="0.4">
      <c r="A85" s="18">
        <v>2046</v>
      </c>
      <c r="B85" s="14">
        <v>49685418.072702073</v>
      </c>
      <c r="C85" s="40">
        <v>15493204.036145002</v>
      </c>
      <c r="D85" s="107"/>
      <c r="E85" s="40">
        <f t="shared" si="62"/>
        <v>595892.46292865393</v>
      </c>
      <c r="F85" s="40">
        <f t="shared" si="54"/>
        <v>297946.23146432696</v>
      </c>
      <c r="G85" s="40">
        <f t="shared" si="79"/>
        <v>446919.34719649045</v>
      </c>
      <c r="H85" s="40">
        <v>584296.48870800005</v>
      </c>
      <c r="I85" s="40">
        <f t="shared" si="55"/>
        <v>292148.24435400002</v>
      </c>
      <c r="J85" s="40">
        <v>644827.18512100005</v>
      </c>
      <c r="K85" s="40">
        <f t="shared" si="56"/>
        <v>322413.59256050002</v>
      </c>
      <c r="L85" s="40">
        <v>559091.64473199996</v>
      </c>
      <c r="M85" s="40">
        <f t="shared" si="57"/>
        <v>279545.82236599998</v>
      </c>
      <c r="N85" s="40"/>
      <c r="O85" s="40">
        <f t="shared" si="78"/>
        <v>400476.70132555137</v>
      </c>
      <c r="P85" s="35"/>
      <c r="Q85" s="13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109"/>
      <c r="AG85" s="109"/>
      <c r="AH85" s="109"/>
      <c r="AI85" s="109"/>
      <c r="AJ85" s="109"/>
      <c r="AK85" s="109"/>
      <c r="AL85" s="109"/>
      <c r="AM85" s="109"/>
      <c r="AN85" s="109"/>
      <c r="AO85" s="35"/>
      <c r="AP85" s="109"/>
      <c r="AQ85" s="109"/>
      <c r="AR85" s="109"/>
      <c r="AS85" s="109"/>
      <c r="AT85" s="109"/>
      <c r="AU85" s="35"/>
      <c r="AV85" s="35"/>
      <c r="AW85" s="35"/>
      <c r="AX85" s="35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46"/>
      <c r="DC85" s="35"/>
      <c r="DD85" s="35"/>
      <c r="DE85" s="35"/>
      <c r="DF85" s="35"/>
      <c r="DG85" s="30">
        <f t="shared" si="80"/>
        <v>432.16</v>
      </c>
      <c r="DH85" s="41">
        <f t="shared" si="82"/>
        <v>482.16</v>
      </c>
      <c r="DI85" s="41">
        <f t="shared" si="83"/>
        <v>382.16</v>
      </c>
      <c r="DJ85" s="41">
        <f t="shared" si="84"/>
        <v>532.16000000000008</v>
      </c>
      <c r="DK85" s="41">
        <f t="shared" si="85"/>
        <v>332.16</v>
      </c>
      <c r="DL85" s="30">
        <f t="shared" si="81"/>
        <v>459.27499999999998</v>
      </c>
    </row>
    <row r="86" spans="1:116" ht="16" x14ac:dyDescent="0.4">
      <c r="A86" s="18">
        <v>2047</v>
      </c>
      <c r="B86" s="14">
        <v>49778917.360551126</v>
      </c>
      <c r="C86" s="40">
        <v>15535540.571142998</v>
      </c>
      <c r="D86" s="107"/>
      <c r="E86" s="40">
        <f t="shared" si="62"/>
        <v>597520.79119780764</v>
      </c>
      <c r="F86" s="40">
        <f t="shared" si="54"/>
        <v>298760.39559890382</v>
      </c>
      <c r="G86" s="40">
        <f t="shared" si="79"/>
        <v>448140.59339835576</v>
      </c>
      <c r="H86" s="40">
        <v>577912.05363099999</v>
      </c>
      <c r="I86" s="40">
        <f t="shared" si="55"/>
        <v>288956.02681549999</v>
      </c>
      <c r="J86" s="40">
        <v>659860.91756500001</v>
      </c>
      <c r="K86" s="40">
        <f t="shared" si="56"/>
        <v>329930.45878250001</v>
      </c>
      <c r="L86" s="40">
        <v>564429.679978</v>
      </c>
      <c r="M86" s="40">
        <f t="shared" si="57"/>
        <v>282214.839989</v>
      </c>
      <c r="N86" s="40"/>
      <c r="O86" s="40">
        <f t="shared" si="78"/>
        <v>412491.00236531795</v>
      </c>
      <c r="P86" s="35"/>
      <c r="Q86" s="13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109"/>
      <c r="AG86" s="109"/>
      <c r="AH86" s="109"/>
      <c r="AI86" s="109"/>
      <c r="AJ86" s="109"/>
      <c r="AK86" s="109"/>
      <c r="AL86" s="109"/>
      <c r="AM86" s="109"/>
      <c r="AN86" s="109"/>
      <c r="AO86" s="35"/>
      <c r="AP86" s="109"/>
      <c r="AQ86" s="109"/>
      <c r="AR86" s="109"/>
      <c r="AS86" s="109"/>
      <c r="AT86" s="109"/>
      <c r="AU86" s="35"/>
      <c r="AV86" s="35"/>
      <c r="AW86" s="35"/>
      <c r="AX86" s="35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46"/>
      <c r="DC86" s="35"/>
      <c r="DD86" s="35"/>
      <c r="DE86" s="35"/>
      <c r="DF86" s="35"/>
      <c r="DG86" s="30">
        <f t="shared" si="80"/>
        <v>430.64000000000004</v>
      </c>
      <c r="DH86" s="41">
        <f t="shared" si="82"/>
        <v>480.64000000000004</v>
      </c>
      <c r="DI86" s="41">
        <f t="shared" si="83"/>
        <v>380.64000000000004</v>
      </c>
      <c r="DJ86" s="41">
        <f t="shared" si="84"/>
        <v>530.6400000000001</v>
      </c>
      <c r="DK86" s="41">
        <f t="shared" si="85"/>
        <v>330.64000000000004</v>
      </c>
      <c r="DL86" s="30">
        <f t="shared" si="81"/>
        <v>460.6</v>
      </c>
    </row>
    <row r="87" spans="1:116" ht="16" x14ac:dyDescent="0.4">
      <c r="A87" s="18">
        <v>2048</v>
      </c>
      <c r="B87" s="14">
        <v>49864546.976396024</v>
      </c>
      <c r="C87" s="40">
        <v>15571393.184582001</v>
      </c>
      <c r="D87" s="107"/>
      <c r="E87" s="40">
        <f t="shared" si="62"/>
        <v>598899.73786853848</v>
      </c>
      <c r="F87" s="40">
        <f t="shared" si="54"/>
        <v>299449.86893426924</v>
      </c>
      <c r="G87" s="40">
        <f t="shared" si="79"/>
        <v>449174.80340140383</v>
      </c>
      <c r="H87" s="40">
        <v>562100.74759399996</v>
      </c>
      <c r="I87" s="40">
        <f t="shared" si="55"/>
        <v>281050.37379699998</v>
      </c>
      <c r="J87" s="40">
        <v>668505.77418099996</v>
      </c>
      <c r="K87" s="40">
        <f t="shared" si="56"/>
        <v>334252.88709049998</v>
      </c>
      <c r="L87" s="40">
        <v>573124.04590899998</v>
      </c>
      <c r="M87" s="40">
        <f t="shared" si="57"/>
        <v>286562.02295449999</v>
      </c>
      <c r="N87" s="40"/>
      <c r="O87" s="40">
        <f t="shared" si="78"/>
        <v>424865.7324362775</v>
      </c>
      <c r="P87" s="35"/>
      <c r="Q87" s="11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109"/>
      <c r="AG87" s="109"/>
      <c r="AH87" s="109"/>
      <c r="AI87" s="109"/>
      <c r="AJ87" s="109"/>
      <c r="AK87" s="109"/>
      <c r="AL87" s="109"/>
      <c r="AM87" s="109"/>
      <c r="AN87" s="109"/>
      <c r="AO87" s="35"/>
      <c r="AP87" s="109"/>
      <c r="AQ87" s="109"/>
      <c r="AR87" s="109"/>
      <c r="AS87" s="109"/>
      <c r="AT87" s="109"/>
      <c r="AU87" s="35"/>
      <c r="AV87" s="35"/>
      <c r="AW87" s="35"/>
      <c r="AX87" s="35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46"/>
      <c r="DC87" s="35"/>
      <c r="DD87" s="35"/>
      <c r="DE87" s="35"/>
      <c r="DF87" s="35"/>
      <c r="DG87" s="30">
        <f t="shared" si="80"/>
        <v>429</v>
      </c>
      <c r="DH87" s="41">
        <f t="shared" si="82"/>
        <v>479</v>
      </c>
      <c r="DI87" s="41">
        <f t="shared" si="83"/>
        <v>379</v>
      </c>
      <c r="DJ87" s="41">
        <f t="shared" si="84"/>
        <v>529</v>
      </c>
      <c r="DK87" s="41">
        <f>DG87-100</f>
        <v>329</v>
      </c>
      <c r="DL87" s="30">
        <f t="shared" si="81"/>
        <v>461.875</v>
      </c>
    </row>
    <row r="88" spans="1:116" ht="16" x14ac:dyDescent="0.4">
      <c r="A88" s="18">
        <v>2049</v>
      </c>
      <c r="B88" s="14">
        <v>49941713.753195614</v>
      </c>
      <c r="C88" s="40">
        <v>15598248.556383003</v>
      </c>
      <c r="D88" s="107"/>
      <c r="E88" s="40">
        <f t="shared" si="62"/>
        <v>599932.63678396167</v>
      </c>
      <c r="F88" s="40">
        <f t="shared" si="54"/>
        <v>299966.31839198084</v>
      </c>
      <c r="G88" s="40">
        <f t="shared" si="79"/>
        <v>449949.47758797125</v>
      </c>
      <c r="H88" s="40">
        <v>543585.78637300001</v>
      </c>
      <c r="I88" s="40">
        <f t="shared" si="55"/>
        <v>271792.8931865</v>
      </c>
      <c r="J88" s="40">
        <v>689937.76326200005</v>
      </c>
      <c r="K88" s="40">
        <f t="shared" si="56"/>
        <v>344968.88163100003</v>
      </c>
      <c r="L88" s="40">
        <v>575273.36152599996</v>
      </c>
      <c r="M88" s="40">
        <f t="shared" si="57"/>
        <v>287636.68076299998</v>
      </c>
      <c r="N88" s="40"/>
      <c r="O88" s="40">
        <f t="shared" si="78"/>
        <v>437611.70440936583</v>
      </c>
      <c r="P88" s="35"/>
      <c r="Q88" s="11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109"/>
      <c r="AG88" s="109"/>
      <c r="AH88" s="109"/>
      <c r="AI88" s="109"/>
      <c r="AJ88" s="109"/>
      <c r="AK88" s="109"/>
      <c r="AL88" s="109"/>
      <c r="AM88" s="109"/>
      <c r="AN88" s="109"/>
      <c r="AO88" s="35"/>
      <c r="AP88" s="109"/>
      <c r="AQ88" s="109"/>
      <c r="AR88" s="109"/>
      <c r="AS88" s="109"/>
      <c r="AT88" s="109"/>
      <c r="AU88" s="35"/>
      <c r="AV88" s="35"/>
      <c r="AW88" s="35"/>
      <c r="AX88" s="35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46"/>
      <c r="DC88" s="35"/>
      <c r="DD88" s="35"/>
      <c r="DE88" s="35"/>
      <c r="DF88" s="35"/>
      <c r="DG88" s="30">
        <f t="shared" si="80"/>
        <v>427.24</v>
      </c>
      <c r="DH88" s="41">
        <f t="shared" si="82"/>
        <v>477.24</v>
      </c>
      <c r="DI88" s="41">
        <f t="shared" si="83"/>
        <v>377.24</v>
      </c>
      <c r="DJ88" s="41">
        <f t="shared" si="84"/>
        <v>527.24</v>
      </c>
      <c r="DK88" s="41">
        <f t="shared" si="85"/>
        <v>327.24</v>
      </c>
      <c r="DL88" s="30">
        <f t="shared" si="81"/>
        <v>463.1</v>
      </c>
    </row>
    <row r="89" spans="1:116" ht="16" x14ac:dyDescent="0.4">
      <c r="A89" s="18">
        <v>2050</v>
      </c>
      <c r="B89" s="14">
        <v>50010474.681963421</v>
      </c>
      <c r="C89" s="40">
        <v>15623460.734751001</v>
      </c>
      <c r="D89" s="107"/>
      <c r="E89" s="40">
        <f t="shared" si="62"/>
        <v>600902.33595196158</v>
      </c>
      <c r="F89" s="40">
        <f t="shared" si="54"/>
        <v>300451.16797598079</v>
      </c>
      <c r="G89" s="40">
        <f t="shared" si="79"/>
        <v>450676.75196397118</v>
      </c>
      <c r="H89" s="40">
        <v>531833.41655700002</v>
      </c>
      <c r="I89" s="40">
        <f t="shared" si="55"/>
        <v>265916.70827850001</v>
      </c>
      <c r="J89" s="40">
        <v>670493.07671099994</v>
      </c>
      <c r="K89" s="40">
        <f t="shared" si="56"/>
        <v>335246.53835549997</v>
      </c>
      <c r="L89" s="40">
        <v>591763.24234700005</v>
      </c>
      <c r="M89" s="40">
        <f t="shared" si="57"/>
        <v>295881.62117350003</v>
      </c>
      <c r="N89" s="40"/>
      <c r="O89" s="40">
        <f t="shared" si="78"/>
        <v>450740.05554164684</v>
      </c>
      <c r="P89" s="35"/>
      <c r="Q89" s="11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109"/>
      <c r="AG89" s="109"/>
      <c r="AH89" s="109"/>
      <c r="AI89" s="109"/>
      <c r="AJ89" s="109"/>
      <c r="AK89" s="109"/>
      <c r="AL89" s="109"/>
      <c r="AM89" s="109"/>
      <c r="AN89" s="109"/>
      <c r="AO89" s="35"/>
      <c r="AP89" s="109"/>
      <c r="AQ89" s="109"/>
      <c r="AR89" s="109"/>
      <c r="AS89" s="109"/>
      <c r="AT89" s="109"/>
      <c r="AU89" s="35"/>
      <c r="AV89" s="35"/>
      <c r="AW89" s="35"/>
      <c r="AX89" s="35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46"/>
      <c r="DC89" s="35"/>
      <c r="DD89" s="35"/>
      <c r="DE89" s="35"/>
      <c r="DF89" s="35"/>
      <c r="DG89" s="30">
        <f t="shared" si="80"/>
        <v>425.36</v>
      </c>
      <c r="DH89" s="41">
        <f t="shared" si="82"/>
        <v>475.36</v>
      </c>
      <c r="DI89" s="41">
        <f t="shared" si="83"/>
        <v>375.36</v>
      </c>
      <c r="DJ89" s="41">
        <f t="shared" si="84"/>
        <v>525.36</v>
      </c>
      <c r="DK89" s="41">
        <f t="shared" si="85"/>
        <v>325.36</v>
      </c>
      <c r="DL89" s="30">
        <f t="shared" si="81"/>
        <v>464.27499999999998</v>
      </c>
    </row>
    <row r="90" spans="1:116" ht="16" x14ac:dyDescent="0.4">
      <c r="A90" s="18">
        <v>2051</v>
      </c>
      <c r="B90" s="14">
        <v>50070954.666849136</v>
      </c>
      <c r="C90" s="40">
        <v>15633517.401560001</v>
      </c>
      <c r="D90" s="107"/>
      <c r="E90" s="40">
        <f t="shared" si="62"/>
        <v>601289.13082923077</v>
      </c>
      <c r="F90" s="40">
        <f t="shared" si="54"/>
        <v>300644.56541461538</v>
      </c>
      <c r="G90" s="40">
        <f t="shared" si="79"/>
        <v>450966.84812192305</v>
      </c>
      <c r="H90" s="40">
        <v>529925.15949400002</v>
      </c>
      <c r="I90" s="40">
        <f t="shared" si="55"/>
        <v>264962.57974700001</v>
      </c>
      <c r="J90" s="40">
        <v>665417.00624300004</v>
      </c>
      <c r="K90" s="40">
        <f t="shared" si="56"/>
        <v>332708.50312150002</v>
      </c>
      <c r="L90" s="40">
        <v>607008.90193599998</v>
      </c>
      <c r="M90" s="40">
        <f t="shared" si="57"/>
        <v>303504.45096799999</v>
      </c>
      <c r="N90" s="40"/>
      <c r="O90" s="40">
        <f t="shared" si="78"/>
        <v>464262.25720789627</v>
      </c>
      <c r="P90" s="35"/>
      <c r="Q90" s="11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109"/>
      <c r="AG90" s="109"/>
      <c r="AH90" s="109"/>
      <c r="AI90" s="109"/>
      <c r="AJ90" s="109"/>
      <c r="AK90" s="109"/>
      <c r="AL90" s="109"/>
      <c r="AM90" s="109"/>
      <c r="AN90" s="109"/>
      <c r="AO90" s="35"/>
      <c r="AP90" s="109"/>
      <c r="AQ90" s="109"/>
      <c r="AR90" s="109"/>
      <c r="AS90" s="109"/>
      <c r="AT90" s="109"/>
      <c r="AU90" s="35"/>
      <c r="AV90" s="35"/>
      <c r="AW90" s="35"/>
      <c r="AX90" s="35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46"/>
      <c r="DC90" s="35"/>
      <c r="DD90" s="35"/>
      <c r="DE90" s="35"/>
      <c r="DF90" s="35"/>
      <c r="DG90" s="30">
        <f t="shared" si="80"/>
        <v>423.36</v>
      </c>
      <c r="DH90" s="41">
        <f t="shared" si="82"/>
        <v>473.36</v>
      </c>
      <c r="DI90" s="41">
        <f t="shared" si="83"/>
        <v>373.36</v>
      </c>
      <c r="DJ90" s="41">
        <f t="shared" si="84"/>
        <v>523.36</v>
      </c>
      <c r="DK90" s="41">
        <f t="shared" si="85"/>
        <v>323.36</v>
      </c>
      <c r="DL90" s="30">
        <f t="shared" si="81"/>
        <v>465.4</v>
      </c>
    </row>
    <row r="91" spans="1:116" ht="16" x14ac:dyDescent="0.4">
      <c r="A91" s="18">
        <v>2052</v>
      </c>
      <c r="B91" s="14">
        <v>50123269.931741543</v>
      </c>
      <c r="C91" s="40">
        <v>15630458.182469003</v>
      </c>
      <c r="D91" s="107"/>
      <c r="E91" s="40">
        <f t="shared" si="62"/>
        <v>601171.46855650016</v>
      </c>
      <c r="F91" s="40">
        <f t="shared" si="54"/>
        <v>300585.73427825008</v>
      </c>
      <c r="G91" s="40">
        <f t="shared" si="79"/>
        <v>450878.60141737515</v>
      </c>
      <c r="H91" s="40">
        <v>526875.09718200006</v>
      </c>
      <c r="I91" s="40">
        <f t="shared" si="55"/>
        <v>263437.54859100003</v>
      </c>
      <c r="J91" s="40">
        <v>665186.07899199997</v>
      </c>
      <c r="K91" s="40">
        <f t="shared" si="56"/>
        <v>332593.03949599998</v>
      </c>
      <c r="L91" s="40">
        <v>613860.458537</v>
      </c>
      <c r="M91" s="40">
        <f t="shared" si="57"/>
        <v>306930.2292685</v>
      </c>
      <c r="N91" s="40"/>
      <c r="O91" s="40">
        <f t="shared" si="78"/>
        <v>478190.12492413318</v>
      </c>
      <c r="P91" s="35"/>
      <c r="Q91" s="11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109"/>
      <c r="AG91" s="109"/>
      <c r="AH91" s="109"/>
      <c r="AI91" s="109"/>
      <c r="AJ91" s="109"/>
      <c r="AK91" s="109"/>
      <c r="AL91" s="109"/>
      <c r="AM91" s="109"/>
      <c r="AN91" s="109"/>
      <c r="AO91" s="35"/>
      <c r="AP91" s="109"/>
      <c r="AQ91" s="109"/>
      <c r="AR91" s="109"/>
      <c r="AS91" s="109"/>
      <c r="AT91" s="109"/>
      <c r="AU91" s="35"/>
      <c r="AV91" s="35"/>
      <c r="AW91" s="35"/>
      <c r="AX91" s="35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46"/>
      <c r="DC91" s="35"/>
      <c r="DD91" s="35"/>
      <c r="DE91" s="35"/>
      <c r="DF91" s="35"/>
      <c r="DG91" s="30">
        <f t="shared" si="80"/>
        <v>421.24</v>
      </c>
      <c r="DH91" s="41">
        <f t="shared" si="82"/>
        <v>471.24</v>
      </c>
      <c r="DI91" s="41">
        <f t="shared" si="83"/>
        <v>371.24</v>
      </c>
      <c r="DJ91" s="41">
        <f t="shared" si="84"/>
        <v>521.24</v>
      </c>
      <c r="DK91" s="41">
        <f t="shared" si="85"/>
        <v>321.24</v>
      </c>
      <c r="DL91" s="30">
        <f t="shared" si="81"/>
        <v>466.47500000000002</v>
      </c>
    </row>
    <row r="92" spans="1:116" ht="16" x14ac:dyDescent="0.4">
      <c r="A92" s="18">
        <v>2053</v>
      </c>
      <c r="B92" s="14">
        <v>50167704.432710245</v>
      </c>
      <c r="C92" s="40">
        <v>15623440.200875001</v>
      </c>
      <c r="D92" s="107"/>
      <c r="E92" s="40">
        <f t="shared" si="62"/>
        <v>600901.5461875</v>
      </c>
      <c r="F92" s="40">
        <f t="shared" si="54"/>
        <v>300450.77309375</v>
      </c>
      <c r="G92" s="40">
        <f t="shared" si="79"/>
        <v>450676.159640625</v>
      </c>
      <c r="H92" s="40">
        <v>524562.76788099995</v>
      </c>
      <c r="I92" s="40">
        <f t="shared" si="55"/>
        <v>262281.38394049997</v>
      </c>
      <c r="J92" s="40">
        <v>653098.32527000003</v>
      </c>
      <c r="K92" s="40">
        <f t="shared" si="56"/>
        <v>326549.16263500002</v>
      </c>
      <c r="L92" s="40">
        <v>621746.51673599996</v>
      </c>
      <c r="M92" s="40">
        <f t="shared" si="57"/>
        <v>310873.25836799998</v>
      </c>
      <c r="N92" s="40"/>
      <c r="O92" s="40">
        <f t="shared" si="78"/>
        <v>492535.82867185719</v>
      </c>
      <c r="P92" s="35"/>
      <c r="Q92" s="11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109"/>
      <c r="AG92" s="109"/>
      <c r="AH92" s="109"/>
      <c r="AI92" s="109"/>
      <c r="AJ92" s="109"/>
      <c r="AK92" s="109"/>
      <c r="AL92" s="109"/>
      <c r="AM92" s="109"/>
      <c r="AN92" s="109"/>
      <c r="AO92" s="35"/>
      <c r="AP92" s="109"/>
      <c r="AQ92" s="109"/>
      <c r="AR92" s="109"/>
      <c r="AS92" s="109"/>
      <c r="AT92" s="109"/>
      <c r="AU92" s="35"/>
      <c r="AV92" s="35"/>
      <c r="AW92" s="35"/>
      <c r="AX92" s="35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46"/>
      <c r="DC92" s="35"/>
      <c r="DD92" s="35"/>
      <c r="DE92" s="35"/>
      <c r="DF92" s="35"/>
      <c r="DG92" s="30">
        <f t="shared" si="80"/>
        <v>419</v>
      </c>
      <c r="DH92" s="41">
        <f t="shared" si="82"/>
        <v>469</v>
      </c>
      <c r="DI92" s="41">
        <f t="shared" si="83"/>
        <v>369</v>
      </c>
      <c r="DJ92" s="41">
        <f t="shared" si="84"/>
        <v>519</v>
      </c>
      <c r="DK92" s="41">
        <f t="shared" si="85"/>
        <v>319</v>
      </c>
      <c r="DL92" s="30">
        <f t="shared" si="81"/>
        <v>467.5</v>
      </c>
    </row>
    <row r="93" spans="1:116" ht="16" x14ac:dyDescent="0.4">
      <c r="A93" s="18">
        <v>2054</v>
      </c>
      <c r="B93" s="14">
        <v>50204936.517177105</v>
      </c>
      <c r="C93" s="40">
        <v>15612179.440156</v>
      </c>
      <c r="D93" s="107"/>
      <c r="E93" s="40">
        <f t="shared" si="62"/>
        <v>600468.44000599999</v>
      </c>
      <c r="F93" s="40">
        <f t="shared" si="54"/>
        <v>300234.22000299999</v>
      </c>
      <c r="G93" s="40">
        <f t="shared" si="79"/>
        <v>450351.33000449999</v>
      </c>
      <c r="H93" s="40">
        <v>523094.898514</v>
      </c>
      <c r="I93" s="40">
        <f t="shared" si="55"/>
        <v>261547.449257</v>
      </c>
      <c r="J93" s="40">
        <v>634640.87018900004</v>
      </c>
      <c r="K93" s="40">
        <f t="shared" si="56"/>
        <v>317320.43509450002</v>
      </c>
      <c r="L93" s="40">
        <v>644265.094468</v>
      </c>
      <c r="M93" s="40">
        <f t="shared" si="57"/>
        <v>322132.547234</v>
      </c>
      <c r="N93" s="40"/>
      <c r="O93" s="40">
        <f t="shared" si="78"/>
        <v>507311.90353201295</v>
      </c>
      <c r="P93" s="35"/>
      <c r="Q93" s="11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109"/>
      <c r="AG93" s="109"/>
      <c r="AH93" s="109"/>
      <c r="AI93" s="109"/>
      <c r="AJ93" s="109"/>
      <c r="AK93" s="109"/>
      <c r="AL93" s="109"/>
      <c r="AM93" s="109"/>
      <c r="AN93" s="109"/>
      <c r="AO93" s="35"/>
      <c r="AP93" s="109"/>
      <c r="AQ93" s="109"/>
      <c r="AR93" s="109"/>
      <c r="AS93" s="109"/>
      <c r="AT93" s="109"/>
      <c r="AU93" s="35"/>
      <c r="AV93" s="35"/>
      <c r="AW93" s="35"/>
      <c r="AX93" s="3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46"/>
      <c r="DC93" s="35"/>
      <c r="DD93" s="35"/>
      <c r="DE93" s="35"/>
      <c r="DF93" s="35"/>
      <c r="DG93" s="30">
        <f t="shared" si="80"/>
        <v>416.64000000000004</v>
      </c>
      <c r="DH93" s="41">
        <f t="shared" si="82"/>
        <v>466.64000000000004</v>
      </c>
      <c r="DI93" s="41">
        <f t="shared" si="83"/>
        <v>366.64000000000004</v>
      </c>
      <c r="DJ93" s="41">
        <f t="shared" si="84"/>
        <v>516.6400000000001</v>
      </c>
      <c r="DK93" s="41">
        <f t="shared" si="85"/>
        <v>316.64000000000004</v>
      </c>
      <c r="DL93" s="30">
        <f t="shared" si="81"/>
        <v>468.47500000000002</v>
      </c>
    </row>
    <row r="94" spans="1:116" ht="16" x14ac:dyDescent="0.4">
      <c r="A94" s="18">
        <v>2055</v>
      </c>
      <c r="B94" s="14">
        <v>50235787.359512717</v>
      </c>
      <c r="C94" s="40">
        <v>15582843.552056998</v>
      </c>
      <c r="D94" s="107"/>
      <c r="E94" s="40">
        <f t="shared" si="62"/>
        <v>599340.13661757682</v>
      </c>
      <c r="F94" s="40">
        <f t="shared" si="54"/>
        <v>299670.06830878841</v>
      </c>
      <c r="G94" s="40">
        <f t="shared" si="79"/>
        <v>449505.10246318264</v>
      </c>
      <c r="H94" s="40">
        <v>522460.84402299998</v>
      </c>
      <c r="I94" s="40">
        <f t="shared" si="55"/>
        <v>261230.42201149999</v>
      </c>
      <c r="J94" s="40">
        <v>641913.95792800002</v>
      </c>
      <c r="K94" s="40">
        <f t="shared" si="56"/>
        <v>320956.97896400001</v>
      </c>
      <c r="L94" s="40">
        <v>658173.39964600001</v>
      </c>
      <c r="M94" s="40">
        <f t="shared" si="57"/>
        <v>329086.699823</v>
      </c>
      <c r="N94" s="40"/>
      <c r="O94" s="40">
        <f t="shared" si="78"/>
        <v>522531.26063797338</v>
      </c>
      <c r="P94" s="35"/>
      <c r="Q94" s="11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109"/>
      <c r="AG94" s="109"/>
      <c r="AH94" s="109"/>
      <c r="AI94" s="109"/>
      <c r="AJ94" s="109"/>
      <c r="AK94" s="109"/>
      <c r="AL94" s="109"/>
      <c r="AM94" s="109"/>
      <c r="AN94" s="109"/>
      <c r="AO94" s="35"/>
      <c r="AP94" s="109"/>
      <c r="AQ94" s="109"/>
      <c r="AR94" s="109"/>
      <c r="AS94" s="109"/>
      <c r="AT94" s="109"/>
      <c r="AU94" s="35"/>
      <c r="AV94" s="35"/>
      <c r="AW94" s="35"/>
      <c r="AX94" s="3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46"/>
      <c r="DC94" s="35"/>
      <c r="DD94" s="35"/>
      <c r="DE94" s="35"/>
      <c r="DF94" s="35"/>
      <c r="DG94" s="30">
        <f t="shared" si="80"/>
        <v>414.16</v>
      </c>
      <c r="DH94" s="41">
        <f t="shared" si="82"/>
        <v>464.16</v>
      </c>
      <c r="DI94" s="41">
        <f t="shared" si="83"/>
        <v>364.16</v>
      </c>
      <c r="DJ94" s="41">
        <f t="shared" si="84"/>
        <v>514.16000000000008</v>
      </c>
      <c r="DK94" s="41">
        <f t="shared" si="85"/>
        <v>314.16000000000003</v>
      </c>
      <c r="DL94" s="30">
        <f t="shared" si="81"/>
        <v>469.4</v>
      </c>
    </row>
    <row r="95" spans="1:116" ht="16" x14ac:dyDescent="0.4">
      <c r="A95" s="18">
        <v>2056</v>
      </c>
      <c r="B95" s="14">
        <v>50261085.996290706</v>
      </c>
      <c r="C95" s="40">
        <v>15544842.00092</v>
      </c>
      <c r="D95" s="107"/>
      <c r="E95" s="40">
        <f t="shared" si="62"/>
        <v>597878.53849692305</v>
      </c>
      <c r="F95" s="40">
        <f t="shared" si="54"/>
        <v>298939.26924846153</v>
      </c>
      <c r="G95" s="40">
        <f t="shared" si="79"/>
        <v>448408.90387269226</v>
      </c>
      <c r="H95" s="40">
        <v>522641.75681599998</v>
      </c>
      <c r="I95" s="40">
        <f t="shared" si="55"/>
        <v>261320.87840799999</v>
      </c>
      <c r="J95" s="40">
        <v>639302.504923</v>
      </c>
      <c r="K95" s="40">
        <f t="shared" si="56"/>
        <v>319651.2524615</v>
      </c>
      <c r="L95" s="40">
        <v>669215.337528</v>
      </c>
      <c r="M95" s="40">
        <f t="shared" si="57"/>
        <v>334607.668764</v>
      </c>
      <c r="N95" s="40"/>
      <c r="O95" s="40">
        <f t="shared" si="78"/>
        <v>538207.19845711254</v>
      </c>
      <c r="P95" s="35"/>
      <c r="Q95" s="11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109"/>
      <c r="AG95" s="109"/>
      <c r="AH95" s="109"/>
      <c r="AI95" s="109"/>
      <c r="AJ95" s="109"/>
      <c r="AK95" s="109"/>
      <c r="AL95" s="109"/>
      <c r="AM95" s="109"/>
      <c r="AN95" s="109"/>
      <c r="AO95" s="35"/>
      <c r="AP95" s="109"/>
      <c r="AQ95" s="109"/>
      <c r="AR95" s="109"/>
      <c r="AS95" s="109"/>
      <c r="AT95" s="109"/>
      <c r="AU95" s="35"/>
      <c r="AV95" s="35"/>
      <c r="AW95" s="35"/>
      <c r="AX95" s="35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46"/>
      <c r="DC95" s="35"/>
      <c r="DD95" s="35"/>
      <c r="DE95" s="35"/>
      <c r="DF95" s="35"/>
      <c r="DG95" s="30">
        <f t="shared" si="80"/>
        <v>411.56000000000006</v>
      </c>
      <c r="DH95" s="41">
        <f t="shared" si="82"/>
        <v>461.56000000000006</v>
      </c>
      <c r="DI95" s="41">
        <f t="shared" si="83"/>
        <v>361.56000000000006</v>
      </c>
      <c r="DJ95" s="41">
        <f t="shared" si="84"/>
        <v>511.56000000000006</v>
      </c>
      <c r="DK95" s="41">
        <f t="shared" si="85"/>
        <v>311.56000000000006</v>
      </c>
      <c r="DL95" s="30">
        <f t="shared" si="81"/>
        <v>470.27499999999998</v>
      </c>
    </row>
    <row r="96" spans="1:116" ht="16" x14ac:dyDescent="0.4">
      <c r="A96" s="18">
        <v>2057</v>
      </c>
      <c r="B96" s="14">
        <v>50281879.610119931</v>
      </c>
      <c r="C96" s="40">
        <v>15501819.808833003</v>
      </c>
      <c r="D96" s="107"/>
      <c r="E96" s="40">
        <f t="shared" si="62"/>
        <v>596223.8388012693</v>
      </c>
      <c r="F96" s="40">
        <f t="shared" si="54"/>
        <v>298111.91940063465</v>
      </c>
      <c r="G96" s="40">
        <f t="shared" si="79"/>
        <v>447167.87910095195</v>
      </c>
      <c r="H96" s="40">
        <v>523636.94304099999</v>
      </c>
      <c r="I96" s="40">
        <f t="shared" si="55"/>
        <v>261818.4715205</v>
      </c>
      <c r="J96" s="40">
        <v>633805.43188199995</v>
      </c>
      <c r="K96" s="40">
        <f t="shared" si="56"/>
        <v>316902.71594099997</v>
      </c>
      <c r="L96" s="40">
        <v>684166.12041500001</v>
      </c>
      <c r="M96" s="40">
        <f t="shared" si="57"/>
        <v>342083.06020750001</v>
      </c>
      <c r="N96" s="40"/>
      <c r="O96" s="40">
        <f>O95*1.03</f>
        <v>554353.41441082594</v>
      </c>
      <c r="P96" s="35"/>
      <c r="Q96" s="11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109"/>
      <c r="AG96" s="109"/>
      <c r="AH96" s="109"/>
      <c r="AI96" s="109"/>
      <c r="AJ96" s="109"/>
      <c r="AK96" s="109"/>
      <c r="AL96" s="109"/>
      <c r="AM96" s="109"/>
      <c r="AN96" s="109"/>
      <c r="AO96" s="35"/>
      <c r="AP96" s="109"/>
      <c r="AQ96" s="109"/>
      <c r="AR96" s="109"/>
      <c r="AS96" s="109"/>
      <c r="AT96" s="109"/>
      <c r="AU96" s="35"/>
      <c r="AV96" s="35"/>
      <c r="AW96" s="35"/>
      <c r="AX96" s="35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46"/>
      <c r="DC96" s="35"/>
      <c r="DD96" s="35"/>
      <c r="DE96" s="35"/>
      <c r="DF96" s="35"/>
      <c r="DG96" s="30">
        <f t="shared" si="80"/>
        <v>408.84000000000003</v>
      </c>
      <c r="DH96" s="41">
        <f t="shared" si="82"/>
        <v>458.84000000000003</v>
      </c>
      <c r="DI96" s="41">
        <f t="shared" si="83"/>
        <v>358.84000000000003</v>
      </c>
      <c r="DJ96" s="41">
        <f t="shared" si="84"/>
        <v>508.84000000000003</v>
      </c>
      <c r="DK96" s="41">
        <f t="shared" si="85"/>
        <v>308.84000000000003</v>
      </c>
      <c r="DL96" s="30">
        <f t="shared" si="81"/>
        <v>471.1</v>
      </c>
    </row>
    <row r="97" spans="1:116" ht="16" x14ac:dyDescent="0.4">
      <c r="A97" s="18">
        <v>2058</v>
      </c>
      <c r="B97" s="14">
        <v>50299207.62650498</v>
      </c>
      <c r="C97" s="40">
        <v>15450615.752732001</v>
      </c>
      <c r="D97" s="107"/>
      <c r="E97" s="40">
        <f t="shared" si="62"/>
        <v>594254.45202815393</v>
      </c>
      <c r="F97" s="40">
        <f t="shared" si="54"/>
        <v>297127.22601407696</v>
      </c>
      <c r="G97" s="40">
        <f t="shared" si="79"/>
        <v>445690.83902111545</v>
      </c>
      <c r="H97" s="40">
        <v>525454.15762900002</v>
      </c>
      <c r="I97" s="40">
        <f t="shared" si="55"/>
        <v>262727.07881450001</v>
      </c>
      <c r="J97" s="40">
        <v>619480.81557099998</v>
      </c>
      <c r="K97" s="40">
        <f t="shared" si="56"/>
        <v>309740.40778549999</v>
      </c>
      <c r="L97" s="40">
        <v>692929.28563399997</v>
      </c>
      <c r="M97" s="40">
        <f t="shared" si="57"/>
        <v>346464.64281699999</v>
      </c>
      <c r="N97" s="40"/>
      <c r="O97" s="40">
        <f t="shared" si="78"/>
        <v>570984.01684315072</v>
      </c>
      <c r="P97" s="35"/>
      <c r="Q97" s="11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109"/>
      <c r="AG97" s="109"/>
      <c r="AH97" s="109"/>
      <c r="AI97" s="109"/>
      <c r="AJ97" s="109"/>
      <c r="AK97" s="109"/>
      <c r="AL97" s="109"/>
      <c r="AM97" s="109"/>
      <c r="AN97" s="109"/>
      <c r="AO97" s="35"/>
      <c r="AP97" s="109"/>
      <c r="AQ97" s="109"/>
      <c r="AR97" s="109"/>
      <c r="AS97" s="109"/>
      <c r="AT97" s="109"/>
      <c r="AU97" s="35"/>
      <c r="AV97" s="35"/>
      <c r="AW97" s="35"/>
      <c r="AX97" s="35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46"/>
      <c r="DC97" s="35"/>
      <c r="DD97" s="35"/>
      <c r="DE97" s="35"/>
      <c r="DF97" s="35"/>
      <c r="DG97" s="30">
        <f t="shared" si="80"/>
        <v>406</v>
      </c>
      <c r="DH97" s="41">
        <f t="shared" si="82"/>
        <v>456</v>
      </c>
      <c r="DI97" s="41">
        <f t="shared" si="83"/>
        <v>356</v>
      </c>
      <c r="DJ97" s="41">
        <f t="shared" si="84"/>
        <v>506</v>
      </c>
      <c r="DK97" s="41">
        <f t="shared" si="85"/>
        <v>306</v>
      </c>
      <c r="DL97" s="30">
        <f t="shared" si="81"/>
        <v>471.875</v>
      </c>
    </row>
    <row r="98" spans="1:116" ht="16" x14ac:dyDescent="0.4">
      <c r="A98" s="18">
        <v>2059</v>
      </c>
      <c r="B98" s="14">
        <v>50314376.397701398</v>
      </c>
      <c r="C98" s="40">
        <v>15398059.945600001</v>
      </c>
      <c r="D98" s="107"/>
      <c r="E98" s="40">
        <f t="shared" si="62"/>
        <v>592233.07483076933</v>
      </c>
      <c r="F98" s="40">
        <f t="shared" si="54"/>
        <v>296116.53741538466</v>
      </c>
      <c r="G98" s="40">
        <f t="shared" si="79"/>
        <v>444174.806123077</v>
      </c>
      <c r="H98" s="40">
        <v>528064.38300000003</v>
      </c>
      <c r="I98" s="40">
        <f t="shared" si="55"/>
        <v>264032.19150000002</v>
      </c>
      <c r="J98" s="40">
        <v>602555.25508899998</v>
      </c>
      <c r="K98" s="40">
        <f t="shared" si="56"/>
        <v>301277.62754449999</v>
      </c>
      <c r="L98" s="40">
        <v>714080.26184699999</v>
      </c>
      <c r="M98" s="40">
        <f t="shared" si="57"/>
        <v>357040.13092349999</v>
      </c>
      <c r="N98" s="40"/>
      <c r="O98" s="40">
        <f t="shared" si="78"/>
        <v>588113.53734844527</v>
      </c>
      <c r="P98" s="35"/>
      <c r="Q98" s="11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109"/>
      <c r="AG98" s="109"/>
      <c r="AH98" s="109"/>
      <c r="AI98" s="109"/>
      <c r="AJ98" s="109"/>
      <c r="AK98" s="109"/>
      <c r="AL98" s="109"/>
      <c r="AM98" s="109"/>
      <c r="AN98" s="109"/>
      <c r="AO98" s="35"/>
      <c r="AP98" s="109"/>
      <c r="AQ98" s="109"/>
      <c r="AR98" s="109"/>
      <c r="AS98" s="109"/>
      <c r="AT98" s="109"/>
      <c r="AU98" s="35"/>
      <c r="AV98" s="35"/>
      <c r="AW98" s="35"/>
      <c r="AX98" s="35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46"/>
      <c r="DC98" s="35"/>
      <c r="DD98" s="35"/>
      <c r="DE98" s="35"/>
      <c r="DF98" s="35"/>
      <c r="DG98" s="30">
        <f t="shared" si="80"/>
        <v>403.03999999999996</v>
      </c>
      <c r="DH98" s="41">
        <f t="shared" si="82"/>
        <v>453.03999999999996</v>
      </c>
      <c r="DI98" s="41">
        <f t="shared" si="83"/>
        <v>353.03999999999996</v>
      </c>
      <c r="DJ98" s="41">
        <f t="shared" si="84"/>
        <v>503.03999999999996</v>
      </c>
      <c r="DK98" s="41">
        <f t="shared" si="85"/>
        <v>303.03999999999996</v>
      </c>
      <c r="DL98" s="30">
        <f t="shared" si="81"/>
        <v>472.6</v>
      </c>
    </row>
    <row r="99" spans="1:116" ht="16" x14ac:dyDescent="0.4">
      <c r="A99" s="18">
        <v>2060</v>
      </c>
      <c r="B99" s="14">
        <v>50328697.880063541</v>
      </c>
      <c r="C99" s="40">
        <v>15332317.269176999</v>
      </c>
      <c r="D99" s="107"/>
      <c r="E99" s="40">
        <f t="shared" si="62"/>
        <v>589704.51035296149</v>
      </c>
      <c r="F99" s="40">
        <f t="shared" si="54"/>
        <v>294852.25517648074</v>
      </c>
      <c r="G99" s="40">
        <f t="shared" ref="G99:G109" si="86">F99*1.5</f>
        <v>442278.38276472111</v>
      </c>
      <c r="H99" s="40">
        <v>531462.60153700004</v>
      </c>
      <c r="I99" s="40">
        <f t="shared" si="55"/>
        <v>265731.30076850002</v>
      </c>
      <c r="J99" s="40">
        <v>592057.68133799999</v>
      </c>
      <c r="K99" s="40">
        <f t="shared" si="56"/>
        <v>296028.840669</v>
      </c>
      <c r="L99" s="40">
        <v>695210.74487699999</v>
      </c>
      <c r="M99" s="40">
        <f t="shared" si="57"/>
        <v>347605.3724385</v>
      </c>
      <c r="N99" s="40"/>
      <c r="O99" s="40">
        <f t="shared" si="78"/>
        <v>605756.94346889865</v>
      </c>
      <c r="P99" s="35"/>
      <c r="Q99" s="11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109"/>
      <c r="AG99" s="109"/>
      <c r="AH99" s="109"/>
      <c r="AI99" s="109"/>
      <c r="AJ99" s="109"/>
      <c r="AK99" s="109"/>
      <c r="AL99" s="109"/>
      <c r="AM99" s="109"/>
      <c r="AN99" s="109"/>
      <c r="AO99" s="35"/>
      <c r="AP99" s="109"/>
      <c r="AQ99" s="109"/>
      <c r="AR99" s="109"/>
      <c r="AS99" s="109"/>
      <c r="AT99" s="109"/>
      <c r="AU99" s="35"/>
      <c r="AV99" s="35"/>
      <c r="AW99" s="35"/>
      <c r="AX99" s="35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46"/>
      <c r="DC99" s="35"/>
      <c r="DD99" s="35"/>
      <c r="DE99" s="35"/>
      <c r="DF99" s="35"/>
      <c r="DG99" s="30">
        <f t="shared" ref="DG99:DG109" si="87">-0.06*((A99-1963)^2)+8.5*(A99-1963)+140</f>
        <v>399.96000000000004</v>
      </c>
      <c r="DH99" s="41">
        <f t="shared" si="82"/>
        <v>449.96000000000004</v>
      </c>
      <c r="DI99" s="41">
        <f t="shared" si="83"/>
        <v>349.96000000000004</v>
      </c>
      <c r="DJ99" s="41">
        <f t="shared" si="84"/>
        <v>499.96000000000004</v>
      </c>
      <c r="DK99" s="41">
        <f t="shared" si="85"/>
        <v>299.96000000000004</v>
      </c>
      <c r="DL99" s="30">
        <f t="shared" ref="DL99:DL109" si="88">-0.025*((A99-1963)^2)+5.5*(A99-1963)+175</f>
        <v>473.27499999999998</v>
      </c>
    </row>
    <row r="100" spans="1:116" ht="16" x14ac:dyDescent="0.4">
      <c r="A100" s="18">
        <v>2061</v>
      </c>
      <c r="B100" s="14">
        <v>50343453.207908727</v>
      </c>
      <c r="C100" s="40">
        <v>15292938.406192001</v>
      </c>
      <c r="D100" s="107"/>
      <c r="E100" s="40">
        <f t="shared" si="62"/>
        <v>588189.93869969237</v>
      </c>
      <c r="F100" s="40">
        <f t="shared" si="54"/>
        <v>294094.96934984619</v>
      </c>
      <c r="G100" s="40">
        <f t="shared" si="86"/>
        <v>441142.45402476925</v>
      </c>
      <c r="H100" s="40">
        <v>535658.90596700006</v>
      </c>
      <c r="I100" s="40">
        <f t="shared" si="55"/>
        <v>267829.45298350003</v>
      </c>
      <c r="J100" s="40">
        <v>590764.09168399998</v>
      </c>
      <c r="K100" s="40">
        <f t="shared" si="56"/>
        <v>295382.04584199999</v>
      </c>
      <c r="L100" s="40">
        <v>690424.02158099995</v>
      </c>
      <c r="M100" s="40">
        <f t="shared" si="57"/>
        <v>345212.01079049997</v>
      </c>
      <c r="N100" s="40"/>
      <c r="O100" s="40">
        <f t="shared" si="78"/>
        <v>623929.65177296568</v>
      </c>
      <c r="P100" s="35"/>
      <c r="Q100" s="11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35"/>
      <c r="AP100" s="109"/>
      <c r="AQ100" s="109"/>
      <c r="AR100" s="109"/>
      <c r="AS100" s="109"/>
      <c r="AT100" s="109"/>
      <c r="AU100" s="35"/>
      <c r="AV100" s="35"/>
      <c r="AW100" s="35"/>
      <c r="AX100" s="35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46"/>
      <c r="DC100" s="35"/>
      <c r="DD100" s="35"/>
      <c r="DE100" s="35"/>
      <c r="DF100" s="35"/>
      <c r="DG100" s="30">
        <f t="shared" si="87"/>
        <v>396.76</v>
      </c>
      <c r="DH100" s="41">
        <f t="shared" si="82"/>
        <v>446.76</v>
      </c>
      <c r="DI100" s="41">
        <f t="shared" si="83"/>
        <v>346.76</v>
      </c>
      <c r="DJ100" s="41">
        <f t="shared" ref="DJ100:DJ109" si="89">DG100+100</f>
        <v>496.76</v>
      </c>
      <c r="DK100" s="41">
        <f t="shared" ref="DK100:DK109" si="90">DG100-100</f>
        <v>296.76</v>
      </c>
      <c r="DL100" s="30">
        <f t="shared" si="88"/>
        <v>473.9</v>
      </c>
    </row>
    <row r="101" spans="1:116" ht="16" x14ac:dyDescent="0.4">
      <c r="A101" s="18">
        <v>2062</v>
      </c>
      <c r="B101" s="14">
        <v>50359999.063408405</v>
      </c>
      <c r="C101" s="40">
        <v>15265908.189541997</v>
      </c>
      <c r="D101" s="107"/>
      <c r="E101" s="40">
        <f t="shared" si="62"/>
        <v>587150.31498238456</v>
      </c>
      <c r="F101" s="40">
        <f t="shared" si="54"/>
        <v>293575.15749119228</v>
      </c>
      <c r="G101" s="40">
        <f t="shared" si="86"/>
        <v>440362.73623678845</v>
      </c>
      <c r="H101" s="40">
        <v>540644.09927100001</v>
      </c>
      <c r="I101" s="40">
        <f t="shared" si="55"/>
        <v>270322.04963550001</v>
      </c>
      <c r="J101" s="40">
        <v>588298.29584200005</v>
      </c>
      <c r="K101" s="40">
        <f t="shared" si="56"/>
        <v>294149.14792100003</v>
      </c>
      <c r="L101" s="40">
        <v>690374.09718699998</v>
      </c>
      <c r="M101" s="40">
        <f t="shared" si="57"/>
        <v>345187.04859349999</v>
      </c>
      <c r="N101" s="40"/>
      <c r="O101" s="40">
        <f t="shared" si="78"/>
        <v>642647.54132615472</v>
      </c>
      <c r="P101" s="35"/>
      <c r="Q101" s="11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35"/>
      <c r="AP101" s="109"/>
      <c r="AQ101" s="109"/>
      <c r="AR101" s="109"/>
      <c r="AS101" s="109"/>
      <c r="AT101" s="109"/>
      <c r="AU101" s="35"/>
      <c r="AV101" s="35"/>
      <c r="AW101" s="35"/>
      <c r="AX101" s="35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0">
        <f t="shared" si="87"/>
        <v>393.44000000000005</v>
      </c>
      <c r="DH101" s="41">
        <f t="shared" si="82"/>
        <v>443.44000000000005</v>
      </c>
      <c r="DI101" s="41">
        <f t="shared" si="83"/>
        <v>343.44000000000005</v>
      </c>
      <c r="DJ101" s="41">
        <f t="shared" si="89"/>
        <v>493.44000000000005</v>
      </c>
      <c r="DK101" s="41">
        <f t="shared" si="90"/>
        <v>293.44000000000005</v>
      </c>
      <c r="DL101" s="30">
        <f t="shared" si="88"/>
        <v>474.47500000000002</v>
      </c>
    </row>
    <row r="102" spans="1:116" ht="16" x14ac:dyDescent="0.4">
      <c r="A102" s="18">
        <v>2063</v>
      </c>
      <c r="B102" s="14">
        <v>50379523.408799686</v>
      </c>
      <c r="C102" s="40">
        <v>15246362.933799002</v>
      </c>
      <c r="D102" s="107"/>
      <c r="E102" s="40">
        <f t="shared" si="62"/>
        <v>586398.57437688473</v>
      </c>
      <c r="F102" s="40">
        <f t="shared" si="54"/>
        <v>293199.28718844237</v>
      </c>
      <c r="G102" s="40">
        <f t="shared" si="86"/>
        <v>439798.93078266352</v>
      </c>
      <c r="H102" s="40">
        <v>546368.08150099998</v>
      </c>
      <c r="I102" s="40">
        <f t="shared" si="55"/>
        <v>273184.04075049999</v>
      </c>
      <c r="J102" s="40">
        <v>586545.58936900005</v>
      </c>
      <c r="K102" s="40">
        <f t="shared" si="56"/>
        <v>293272.79468450003</v>
      </c>
      <c r="L102" s="40">
        <v>678735.50010900002</v>
      </c>
      <c r="M102" s="40">
        <f t="shared" si="57"/>
        <v>339367.75005450001</v>
      </c>
      <c r="N102" s="40"/>
      <c r="O102" s="40">
        <f t="shared" si="78"/>
        <v>661926.96756593941</v>
      </c>
      <c r="P102" s="35"/>
      <c r="Q102" s="11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35"/>
      <c r="AP102" s="109"/>
      <c r="AQ102" s="109"/>
      <c r="AR102" s="109"/>
      <c r="AS102" s="109"/>
      <c r="AT102" s="109"/>
      <c r="AU102" s="35"/>
      <c r="AV102" s="35"/>
      <c r="AW102" s="35"/>
      <c r="AX102" s="35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0">
        <f t="shared" si="87"/>
        <v>390</v>
      </c>
      <c r="DH102" s="41">
        <f t="shared" si="82"/>
        <v>440</v>
      </c>
      <c r="DI102" s="41">
        <f t="shared" si="83"/>
        <v>340</v>
      </c>
      <c r="DJ102" s="41">
        <f t="shared" si="89"/>
        <v>490</v>
      </c>
      <c r="DK102" s="41">
        <f t="shared" si="90"/>
        <v>290</v>
      </c>
      <c r="DL102" s="30">
        <f t="shared" si="88"/>
        <v>475</v>
      </c>
    </row>
    <row r="103" spans="1:116" ht="16" x14ac:dyDescent="0.4">
      <c r="A103" s="18">
        <v>2064</v>
      </c>
      <c r="B103" s="14">
        <v>50403160.170872502</v>
      </c>
      <c r="C103" s="40">
        <v>15245547.482651999</v>
      </c>
      <c r="D103" s="107"/>
      <c r="E103" s="40">
        <f t="shared" si="62"/>
        <v>586367.21087123069</v>
      </c>
      <c r="F103" s="40">
        <f t="shared" si="54"/>
        <v>293183.60543561535</v>
      </c>
      <c r="G103" s="40">
        <f t="shared" si="86"/>
        <v>439775.40815342299</v>
      </c>
      <c r="H103" s="40">
        <v>552744.28050600004</v>
      </c>
      <c r="I103" s="40">
        <f t="shared" si="55"/>
        <v>276372.14025300002</v>
      </c>
      <c r="J103" s="40">
        <v>585614.43457000004</v>
      </c>
      <c r="K103" s="40">
        <f t="shared" si="56"/>
        <v>292807.21728500002</v>
      </c>
      <c r="L103" s="40">
        <v>660833.55361199996</v>
      </c>
      <c r="M103" s="40">
        <f t="shared" si="57"/>
        <v>330416.77680599998</v>
      </c>
      <c r="N103" s="40"/>
      <c r="O103" s="40">
        <f t="shared" si="78"/>
        <v>681784.77659291762</v>
      </c>
      <c r="P103" s="35"/>
      <c r="Q103" s="11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35"/>
      <c r="AP103" s="109"/>
      <c r="AQ103" s="109"/>
      <c r="AR103" s="109"/>
      <c r="AS103" s="109"/>
      <c r="AT103" s="109"/>
      <c r="AU103" s="35"/>
      <c r="AV103" s="35"/>
      <c r="AW103" s="35"/>
      <c r="AX103" s="35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0">
        <f t="shared" si="87"/>
        <v>386.44000000000005</v>
      </c>
      <c r="DH103" s="41">
        <f t="shared" si="82"/>
        <v>436.44000000000005</v>
      </c>
      <c r="DI103" s="41">
        <f t="shared" si="83"/>
        <v>336.44000000000005</v>
      </c>
      <c r="DJ103" s="41">
        <f t="shared" si="89"/>
        <v>486.44000000000005</v>
      </c>
      <c r="DK103" s="41">
        <f t="shared" si="90"/>
        <v>286.44000000000005</v>
      </c>
      <c r="DL103" s="30">
        <f t="shared" si="88"/>
        <v>475.47500000000002</v>
      </c>
    </row>
    <row r="104" spans="1:116" ht="16" x14ac:dyDescent="0.4">
      <c r="A104" s="18">
        <v>2065</v>
      </c>
      <c r="B104" s="14">
        <v>50431968.111927852</v>
      </c>
      <c r="C104" s="40">
        <v>15269196.808126001</v>
      </c>
      <c r="D104" s="107"/>
      <c r="E104" s="40">
        <f t="shared" si="62"/>
        <v>587276.80031253851</v>
      </c>
      <c r="F104" s="40">
        <f t="shared" si="54"/>
        <v>293638.40015626926</v>
      </c>
      <c r="G104" s="40">
        <f t="shared" si="86"/>
        <v>440457.60023440386</v>
      </c>
      <c r="H104" s="40">
        <v>559645.17728099995</v>
      </c>
      <c r="I104" s="40">
        <f t="shared" si="55"/>
        <v>279822.58864049998</v>
      </c>
      <c r="J104" s="40">
        <v>585495.56062600005</v>
      </c>
      <c r="K104" s="40">
        <f t="shared" si="56"/>
        <v>292747.78031300002</v>
      </c>
      <c r="L104" s="40">
        <v>668111.38271399995</v>
      </c>
      <c r="M104" s="40">
        <f t="shared" si="57"/>
        <v>334055.69135699997</v>
      </c>
      <c r="N104" s="40"/>
      <c r="O104" s="40">
        <f t="shared" si="78"/>
        <v>702238.31989070517</v>
      </c>
      <c r="P104" s="35"/>
      <c r="Q104" s="11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35"/>
      <c r="AP104" s="109"/>
      <c r="AQ104" s="109"/>
      <c r="AR104" s="109"/>
      <c r="AS104" s="109"/>
      <c r="AT104" s="109"/>
      <c r="AU104" s="35"/>
      <c r="AV104" s="35"/>
      <c r="AW104" s="35"/>
      <c r="AX104" s="35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0">
        <f t="shared" si="87"/>
        <v>382.76</v>
      </c>
      <c r="DH104" s="41">
        <f t="shared" si="82"/>
        <v>432.76</v>
      </c>
      <c r="DI104" s="41">
        <f t="shared" si="83"/>
        <v>332.76</v>
      </c>
      <c r="DJ104" s="41">
        <f t="shared" si="89"/>
        <v>482.76</v>
      </c>
      <c r="DK104" s="41">
        <f t="shared" si="90"/>
        <v>282.76</v>
      </c>
      <c r="DL104" s="30">
        <f t="shared" si="88"/>
        <v>475.9</v>
      </c>
    </row>
    <row r="105" spans="1:116" ht="16" x14ac:dyDescent="0.4">
      <c r="A105" s="18">
        <v>2066</v>
      </c>
      <c r="B105" s="14">
        <v>50467212.829404324</v>
      </c>
      <c r="C105" s="40">
        <v>15291475.850505002</v>
      </c>
      <c r="D105" s="107"/>
      <c r="E105" s="40">
        <f t="shared" si="62"/>
        <v>588133.68655788468</v>
      </c>
      <c r="F105" s="40">
        <f t="shared" si="54"/>
        <v>294066.84327894234</v>
      </c>
      <c r="G105" s="40">
        <f t="shared" si="86"/>
        <v>441100.26491841348</v>
      </c>
      <c r="H105" s="40">
        <v>566149.76716499997</v>
      </c>
      <c r="I105" s="40">
        <f t="shared" si="55"/>
        <v>283074.88358249998</v>
      </c>
      <c r="J105" s="40">
        <v>586171.34084399999</v>
      </c>
      <c r="K105" s="40">
        <f t="shared" si="56"/>
        <v>293085.670422</v>
      </c>
      <c r="L105" s="40">
        <v>665830.42997599998</v>
      </c>
      <c r="M105" s="40">
        <f t="shared" si="57"/>
        <v>332915.21498799999</v>
      </c>
      <c r="N105" s="40"/>
      <c r="O105" s="40">
        <f t="shared" si="78"/>
        <v>723305.46948742634</v>
      </c>
      <c r="P105" s="35"/>
      <c r="Q105" s="11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35"/>
      <c r="AP105" s="109"/>
      <c r="AQ105" s="109"/>
      <c r="AR105" s="109"/>
      <c r="AS105" s="109"/>
      <c r="AT105" s="109"/>
      <c r="AU105" s="35"/>
      <c r="AV105" s="35"/>
      <c r="AW105" s="35"/>
      <c r="AX105" s="35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0">
        <f t="shared" si="87"/>
        <v>378.96000000000004</v>
      </c>
      <c r="DH105" s="41">
        <f t="shared" si="82"/>
        <v>428.96000000000004</v>
      </c>
      <c r="DI105" s="41">
        <f t="shared" si="83"/>
        <v>328.96000000000004</v>
      </c>
      <c r="DJ105" s="41">
        <f t="shared" si="89"/>
        <v>478.96000000000004</v>
      </c>
      <c r="DK105" s="41">
        <f t="shared" si="90"/>
        <v>278.96000000000004</v>
      </c>
      <c r="DL105" s="30">
        <f t="shared" si="88"/>
        <v>476.27499999999998</v>
      </c>
    </row>
    <row r="106" spans="1:116" ht="16" x14ac:dyDescent="0.4">
      <c r="A106" s="18">
        <v>2067</v>
      </c>
      <c r="B106" s="14">
        <v>50509906.803743988</v>
      </c>
      <c r="C106" s="40">
        <v>15321136.472655</v>
      </c>
      <c r="D106" s="107"/>
      <c r="E106" s="40">
        <f t="shared" ref="E106:E109" si="91">C106/26</f>
        <v>589274.47971750004</v>
      </c>
      <c r="F106" s="40">
        <f t="shared" ref="F106:F109" si="92">E106/2</f>
        <v>294637.23985875002</v>
      </c>
      <c r="G106" s="40">
        <f t="shared" si="86"/>
        <v>441955.85978812503</v>
      </c>
      <c r="H106" s="40">
        <v>572749.20403999998</v>
      </c>
      <c r="I106" s="40">
        <f t="shared" ref="I106:I109" si="93">H106/2</f>
        <v>286374.60201999999</v>
      </c>
      <c r="J106" s="40">
        <v>587641.95743900002</v>
      </c>
      <c r="K106" s="40">
        <f t="shared" ref="K106:K109" si="94">J106/2</f>
        <v>293820.97871950001</v>
      </c>
      <c r="L106" s="40">
        <v>660813.28320900002</v>
      </c>
      <c r="M106" s="40">
        <f t="shared" ref="M106:M109" si="95">L106/2</f>
        <v>330406.64160450001</v>
      </c>
      <c r="N106" s="40"/>
      <c r="O106" s="40">
        <f t="shared" si="78"/>
        <v>745004.63357204909</v>
      </c>
      <c r="P106" s="35"/>
      <c r="Q106" s="11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35"/>
      <c r="AP106" s="109"/>
      <c r="AQ106" s="109"/>
      <c r="AR106" s="109"/>
      <c r="AS106" s="109"/>
      <c r="AT106" s="109"/>
      <c r="AU106" s="35"/>
      <c r="AV106" s="35"/>
      <c r="AW106" s="35"/>
      <c r="AX106" s="35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0">
        <f t="shared" si="87"/>
        <v>375.04000000000008</v>
      </c>
      <c r="DH106" s="41">
        <f t="shared" si="82"/>
        <v>425.04000000000008</v>
      </c>
      <c r="DI106" s="41">
        <f t="shared" si="83"/>
        <v>325.04000000000008</v>
      </c>
      <c r="DJ106" s="41">
        <f t="shared" si="89"/>
        <v>475.04000000000008</v>
      </c>
      <c r="DK106" s="41">
        <f t="shared" si="90"/>
        <v>275.04000000000008</v>
      </c>
      <c r="DL106" s="30">
        <f t="shared" si="88"/>
        <v>476.59999999999997</v>
      </c>
    </row>
    <row r="107" spans="1:116" ht="16" x14ac:dyDescent="0.4">
      <c r="A107" s="18">
        <v>2068</v>
      </c>
      <c r="B107" s="14">
        <v>50560885.739680126</v>
      </c>
      <c r="C107" s="40">
        <v>15360029.999605</v>
      </c>
      <c r="D107" s="107"/>
      <c r="E107" s="40">
        <f t="shared" si="91"/>
        <v>590770.38460019231</v>
      </c>
      <c r="F107" s="40">
        <f t="shared" si="92"/>
        <v>295385.19230009615</v>
      </c>
      <c r="G107" s="40">
        <f t="shared" si="86"/>
        <v>443077.78845014423</v>
      </c>
      <c r="H107" s="40">
        <v>579244.57840500004</v>
      </c>
      <c r="I107" s="40">
        <f t="shared" si="93"/>
        <v>289622.28920250002</v>
      </c>
      <c r="J107" s="40">
        <v>589915.11751200003</v>
      </c>
      <c r="K107" s="40">
        <f t="shared" si="94"/>
        <v>294957.55875600001</v>
      </c>
      <c r="L107" s="40">
        <v>647299.58405900002</v>
      </c>
      <c r="M107" s="40">
        <f t="shared" si="95"/>
        <v>323649.79202950001</v>
      </c>
      <c r="N107" s="40"/>
      <c r="O107" s="40">
        <f t="shared" si="78"/>
        <v>767354.77257921058</v>
      </c>
      <c r="P107" s="35"/>
      <c r="Q107" s="11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35"/>
      <c r="AP107" s="109"/>
      <c r="AQ107" s="109"/>
      <c r="AR107" s="109"/>
      <c r="AS107" s="109"/>
      <c r="AT107" s="109"/>
      <c r="AU107" s="35"/>
      <c r="AV107" s="35"/>
      <c r="AW107" s="35"/>
      <c r="AX107" s="35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0">
        <f t="shared" si="87"/>
        <v>371</v>
      </c>
      <c r="DH107" s="41">
        <f t="shared" si="82"/>
        <v>421</v>
      </c>
      <c r="DI107" s="41">
        <f t="shared" si="83"/>
        <v>321</v>
      </c>
      <c r="DJ107" s="41">
        <f t="shared" si="89"/>
        <v>471</v>
      </c>
      <c r="DK107" s="41">
        <f t="shared" si="90"/>
        <v>271</v>
      </c>
      <c r="DL107" s="30">
        <f t="shared" si="88"/>
        <v>476.875</v>
      </c>
    </row>
    <row r="108" spans="1:116" ht="16" x14ac:dyDescent="0.4">
      <c r="A108" s="18">
        <v>2069</v>
      </c>
      <c r="B108" s="14">
        <v>50621035.150276914</v>
      </c>
      <c r="C108" s="40">
        <v>15415713.370708</v>
      </c>
      <c r="D108" s="107"/>
      <c r="E108" s="40">
        <f t="shared" si="91"/>
        <v>592912.05271953845</v>
      </c>
      <c r="F108" s="40">
        <f t="shared" si="92"/>
        <v>296456.02635976922</v>
      </c>
      <c r="G108" s="40">
        <f t="shared" si="86"/>
        <v>444684.03953965381</v>
      </c>
      <c r="H108" s="40">
        <v>585443.35030000005</v>
      </c>
      <c r="I108" s="40">
        <f t="shared" si="93"/>
        <v>292721.67515000002</v>
      </c>
      <c r="J108" s="40">
        <v>592964.33088200004</v>
      </c>
      <c r="K108" s="40">
        <f t="shared" si="94"/>
        <v>296482.16544100002</v>
      </c>
      <c r="L108" s="40">
        <v>631249.16354600003</v>
      </c>
      <c r="M108" s="40">
        <f t="shared" si="95"/>
        <v>315624.58177300001</v>
      </c>
      <c r="N108" s="40"/>
      <c r="O108" s="40">
        <f t="shared" si="78"/>
        <v>790375.41575658694</v>
      </c>
      <c r="P108" s="35"/>
      <c r="Q108" s="11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35"/>
      <c r="AP108" s="109"/>
      <c r="AQ108" s="109"/>
      <c r="AR108" s="109"/>
      <c r="AS108" s="109"/>
      <c r="AT108" s="109"/>
      <c r="AU108" s="35"/>
      <c r="AV108" s="35"/>
      <c r="AW108" s="35"/>
      <c r="AX108" s="35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0">
        <f t="shared" si="87"/>
        <v>366.84000000000003</v>
      </c>
      <c r="DH108" s="41">
        <f t="shared" si="82"/>
        <v>416.84000000000003</v>
      </c>
      <c r="DI108" s="41">
        <f t="shared" si="83"/>
        <v>316.84000000000003</v>
      </c>
      <c r="DJ108" s="41">
        <f t="shared" si="89"/>
        <v>466.84000000000003</v>
      </c>
      <c r="DK108" s="41">
        <f t="shared" si="90"/>
        <v>266.84000000000003</v>
      </c>
      <c r="DL108" s="30">
        <f t="shared" si="88"/>
        <v>477.09999999999997</v>
      </c>
    </row>
    <row r="109" spans="1:116" ht="16" x14ac:dyDescent="0.4">
      <c r="A109" s="18">
        <v>2070</v>
      </c>
      <c r="B109" s="14">
        <v>50690990.215817258</v>
      </c>
      <c r="C109" s="40">
        <v>15489799.994334999</v>
      </c>
      <c r="D109" s="107"/>
      <c r="E109" s="40">
        <f t="shared" si="91"/>
        <v>595761.53824365383</v>
      </c>
      <c r="F109" s="40">
        <f t="shared" si="92"/>
        <v>297880.76912182692</v>
      </c>
      <c r="G109" s="40">
        <f t="shared" si="86"/>
        <v>446821.15368274041</v>
      </c>
      <c r="H109" s="40">
        <v>591170.35224299994</v>
      </c>
      <c r="I109" s="40">
        <f t="shared" si="93"/>
        <v>295585.17612149997</v>
      </c>
      <c r="J109" s="40">
        <v>596784.95242700004</v>
      </c>
      <c r="K109" s="40">
        <f t="shared" si="94"/>
        <v>298392.47621350002</v>
      </c>
      <c r="L109" s="40">
        <v>621442.19025300001</v>
      </c>
      <c r="M109" s="40">
        <f t="shared" si="95"/>
        <v>310721.0951265</v>
      </c>
      <c r="N109" s="40"/>
      <c r="O109" s="40">
        <f t="shared" si="78"/>
        <v>814086.67822928459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35"/>
      <c r="AP109" s="109"/>
      <c r="AQ109" s="109"/>
      <c r="AR109" s="109"/>
      <c r="AS109" s="109"/>
      <c r="AT109" s="109"/>
      <c r="AU109" s="35"/>
      <c r="AV109" s="35"/>
      <c r="AW109" s="35"/>
      <c r="AX109" s="35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0">
        <f t="shared" si="87"/>
        <v>362.56000000000006</v>
      </c>
      <c r="DH109" s="41">
        <f t="shared" si="82"/>
        <v>412.56000000000006</v>
      </c>
      <c r="DI109" s="41">
        <f t="shared" si="83"/>
        <v>312.56000000000006</v>
      </c>
      <c r="DJ109" s="41">
        <f t="shared" si="89"/>
        <v>462.56000000000006</v>
      </c>
      <c r="DK109" s="41">
        <f t="shared" si="90"/>
        <v>262.56000000000006</v>
      </c>
      <c r="DL109" s="30">
        <f t="shared" si="88"/>
        <v>477.27499999999998</v>
      </c>
    </row>
    <row r="110" spans="1:116" x14ac:dyDescent="0.35">
      <c r="T110"/>
      <c r="CS110" s="1"/>
      <c r="CT110"/>
      <c r="DL110" s="76"/>
    </row>
    <row r="111" spans="1:116" x14ac:dyDescent="0.35">
      <c r="T111"/>
      <c r="CS111" s="1"/>
      <c r="CT111"/>
      <c r="DL111" s="76"/>
    </row>
    <row r="112" spans="1:116" x14ac:dyDescent="0.35">
      <c r="T112"/>
      <c r="CS112" s="1"/>
      <c r="CT112"/>
      <c r="DL112" s="76"/>
    </row>
    <row r="113" spans="20:116" x14ac:dyDescent="0.35">
      <c r="T113"/>
      <c r="CS113" s="1"/>
      <c r="CT113"/>
      <c r="DL113" s="76"/>
    </row>
    <row r="114" spans="20:116" x14ac:dyDescent="0.35">
      <c r="T114"/>
      <c r="CS114" s="1"/>
      <c r="CT114"/>
      <c r="DL114" s="76"/>
    </row>
    <row r="115" spans="20:116" x14ac:dyDescent="0.35">
      <c r="T115"/>
      <c r="CS115" s="1"/>
      <c r="CT115"/>
      <c r="DL115" s="76"/>
    </row>
    <row r="116" spans="20:116" x14ac:dyDescent="0.35">
      <c r="T116"/>
      <c r="CS116" s="1"/>
      <c r="CT116"/>
      <c r="DL116" s="76"/>
    </row>
    <row r="117" spans="20:116" x14ac:dyDescent="0.35">
      <c r="T117"/>
      <c r="CS117" s="1"/>
      <c r="CT117"/>
      <c r="DL117" s="76"/>
    </row>
    <row r="118" spans="20:116" x14ac:dyDescent="0.35">
      <c r="T118"/>
      <c r="CS118" s="1"/>
      <c r="CT118"/>
      <c r="DL118" s="76"/>
    </row>
    <row r="119" spans="20:116" x14ac:dyDescent="0.35">
      <c r="T119"/>
      <c r="CS119" s="1"/>
      <c r="CT119"/>
      <c r="DL119" s="76"/>
    </row>
    <row r="121" spans="20:116" x14ac:dyDescent="0.35">
      <c r="T121"/>
      <c r="CS121" s="1"/>
      <c r="CT121"/>
      <c r="DL121" s="76"/>
    </row>
    <row r="122" spans="20:116" x14ac:dyDescent="0.35">
      <c r="T122"/>
      <c r="CS122" s="1"/>
      <c r="CT122"/>
      <c r="DL122" s="76"/>
    </row>
    <row r="123" spans="20:116" x14ac:dyDescent="0.35">
      <c r="T123"/>
      <c r="CS123" s="1"/>
      <c r="CT123"/>
      <c r="DL123" s="76"/>
    </row>
    <row r="124" spans="20:116" x14ac:dyDescent="0.35">
      <c r="T124"/>
      <c r="CS124" s="1"/>
      <c r="CT124"/>
      <c r="DL124" s="76"/>
    </row>
    <row r="125" spans="20:116" x14ac:dyDescent="0.35">
      <c r="T125"/>
      <c r="CS125" s="1"/>
      <c r="CT125"/>
      <c r="DL125" s="76"/>
    </row>
    <row r="126" spans="20:116" x14ac:dyDescent="0.35">
      <c r="T126"/>
      <c r="CS126" s="1"/>
      <c r="CT126"/>
      <c r="DL126" s="76"/>
    </row>
    <row r="127" spans="20:116" x14ac:dyDescent="0.35">
      <c r="T127"/>
      <c r="CS127" s="1"/>
      <c r="CT127"/>
      <c r="DL127" s="76"/>
    </row>
    <row r="128" spans="20:116" x14ac:dyDescent="0.35">
      <c r="T128"/>
      <c r="CS128" s="1"/>
      <c r="CT128"/>
      <c r="DL128" s="76"/>
    </row>
    <row r="129" spans="20:116" x14ac:dyDescent="0.35">
      <c r="T129"/>
      <c r="CS129" s="1"/>
      <c r="CT129"/>
      <c r="DL129" s="76"/>
    </row>
    <row r="130" spans="20:116" x14ac:dyDescent="0.35">
      <c r="T130"/>
      <c r="CS130" s="1"/>
      <c r="CT130"/>
      <c r="DL130" s="76"/>
    </row>
    <row r="131" spans="20:116" x14ac:dyDescent="0.35">
      <c r="T131"/>
      <c r="CS131" s="1"/>
      <c r="CT131"/>
      <c r="DL131" s="76"/>
    </row>
    <row r="133" spans="20:116" x14ac:dyDescent="0.35">
      <c r="T133"/>
      <c r="CS133" s="1"/>
      <c r="CT133"/>
      <c r="DL133" s="76"/>
    </row>
    <row r="134" spans="20:116" x14ac:dyDescent="0.35">
      <c r="T134"/>
      <c r="CS134" s="1"/>
      <c r="CT134"/>
      <c r="DL134" s="76"/>
    </row>
    <row r="135" spans="20:116" x14ac:dyDescent="0.35">
      <c r="T135"/>
      <c r="CS135" s="1"/>
      <c r="CT135"/>
      <c r="DL135" s="76"/>
    </row>
    <row r="136" spans="20:116" x14ac:dyDescent="0.35">
      <c r="T136"/>
      <c r="CS136" s="1"/>
      <c r="CT136"/>
      <c r="DL136" s="76"/>
    </row>
    <row r="137" spans="20:116" x14ac:dyDescent="0.35">
      <c r="T137"/>
      <c r="CS137" s="1"/>
      <c r="CT137"/>
      <c r="DL137" s="76"/>
    </row>
    <row r="138" spans="20:116" x14ac:dyDescent="0.35">
      <c r="T138"/>
      <c r="CS138" s="1"/>
      <c r="CT138"/>
      <c r="DL138" s="76"/>
    </row>
    <row r="139" spans="20:116" x14ac:dyDescent="0.35">
      <c r="T139"/>
      <c r="CS139" s="1"/>
      <c r="CT139"/>
      <c r="DL139" s="76"/>
    </row>
    <row r="140" spans="20:116" x14ac:dyDescent="0.35">
      <c r="T140"/>
      <c r="CS140" s="1"/>
      <c r="CT140"/>
      <c r="DL140" s="76"/>
    </row>
    <row r="141" spans="20:116" x14ac:dyDescent="0.35">
      <c r="T141"/>
      <c r="CS141" s="1"/>
      <c r="CT141"/>
      <c r="DL141" s="76"/>
    </row>
    <row r="142" spans="20:116" x14ac:dyDescent="0.35">
      <c r="T142"/>
      <c r="CS142" s="1"/>
      <c r="CT142"/>
      <c r="DL142" s="76"/>
    </row>
    <row r="143" spans="20:116" x14ac:dyDescent="0.35">
      <c r="T143"/>
      <c r="CS143" s="1"/>
      <c r="CT143"/>
      <c r="DL143" s="76"/>
    </row>
    <row r="145" spans="20:116" x14ac:dyDescent="0.35">
      <c r="T145"/>
      <c r="CS145" s="1"/>
      <c r="CT145"/>
      <c r="DL145" s="76"/>
    </row>
    <row r="146" spans="20:116" x14ac:dyDescent="0.35">
      <c r="T146"/>
      <c r="CS146" s="1"/>
      <c r="CT146"/>
      <c r="DL146" s="76"/>
    </row>
    <row r="147" spans="20:116" x14ac:dyDescent="0.35">
      <c r="T147"/>
      <c r="CS147" s="1"/>
      <c r="CT147"/>
      <c r="DL147" s="76"/>
    </row>
    <row r="148" spans="20:116" x14ac:dyDescent="0.35">
      <c r="T148"/>
      <c r="CS148" s="1"/>
      <c r="CT148"/>
      <c r="DL148" s="76"/>
    </row>
    <row r="149" spans="20:116" x14ac:dyDescent="0.35">
      <c r="T149"/>
      <c r="CS149" s="1"/>
      <c r="CT149"/>
      <c r="DL149" s="76"/>
    </row>
    <row r="150" spans="20:116" x14ac:dyDescent="0.35">
      <c r="T150"/>
      <c r="CS150" s="1"/>
      <c r="CT150"/>
      <c r="DL150" s="76"/>
    </row>
    <row r="151" spans="20:116" x14ac:dyDescent="0.35">
      <c r="T151"/>
      <c r="CS151" s="1"/>
      <c r="CT151"/>
      <c r="DL151" s="76"/>
    </row>
    <row r="152" spans="20:116" x14ac:dyDescent="0.35">
      <c r="T152"/>
      <c r="CS152" s="1"/>
      <c r="CT152"/>
      <c r="DL152" s="76"/>
    </row>
    <row r="153" spans="20:116" x14ac:dyDescent="0.35">
      <c r="T153"/>
      <c r="CS153" s="1"/>
      <c r="CT153"/>
      <c r="DL153" s="76"/>
    </row>
    <row r="154" spans="20:116" x14ac:dyDescent="0.35">
      <c r="T154"/>
      <c r="CS154" s="1"/>
      <c r="CT154"/>
      <c r="DL154" s="76"/>
    </row>
    <row r="155" spans="20:116" x14ac:dyDescent="0.35">
      <c r="T155"/>
      <c r="CS155" s="1"/>
      <c r="CT155"/>
      <c r="DL155" s="76"/>
    </row>
    <row r="157" spans="20:116" x14ac:dyDescent="0.35">
      <c r="T157"/>
      <c r="CS157" s="1"/>
      <c r="CT157"/>
      <c r="DL157" s="76"/>
    </row>
    <row r="158" spans="20:116" x14ac:dyDescent="0.35">
      <c r="T158"/>
      <c r="CS158" s="1"/>
      <c r="CT158"/>
      <c r="DL158" s="76"/>
    </row>
    <row r="159" spans="20:116" x14ac:dyDescent="0.35">
      <c r="T159"/>
      <c r="CS159" s="1"/>
      <c r="CT159"/>
      <c r="DL159" s="76"/>
    </row>
    <row r="160" spans="20:116" x14ac:dyDescent="0.35">
      <c r="T160"/>
      <c r="CS160" s="1"/>
      <c r="CT160"/>
      <c r="DL160" s="76"/>
    </row>
    <row r="161" spans="20:116" x14ac:dyDescent="0.35">
      <c r="T161"/>
      <c r="CS161" s="1"/>
      <c r="CT161"/>
      <c r="DL161" s="76"/>
    </row>
    <row r="162" spans="20:116" x14ac:dyDescent="0.35">
      <c r="T162"/>
      <c r="CS162" s="1"/>
      <c r="CT162"/>
      <c r="DL162" s="76"/>
    </row>
    <row r="163" spans="20:116" x14ac:dyDescent="0.35">
      <c r="T163"/>
      <c r="CS163" s="1"/>
      <c r="CT163"/>
      <c r="DL163" s="76"/>
    </row>
    <row r="164" spans="20:116" x14ac:dyDescent="0.35">
      <c r="T164"/>
      <c r="CS164" s="1"/>
      <c r="CT164"/>
      <c r="DL164" s="76"/>
    </row>
    <row r="165" spans="20:116" x14ac:dyDescent="0.35">
      <c r="T165"/>
      <c r="CS165" s="1"/>
      <c r="CT165"/>
      <c r="DL165" s="76"/>
    </row>
    <row r="166" spans="20:116" x14ac:dyDescent="0.35">
      <c r="T166"/>
      <c r="CS166" s="1"/>
      <c r="CT166"/>
      <c r="DL166" s="76"/>
    </row>
    <row r="167" spans="20:116" x14ac:dyDescent="0.35">
      <c r="T167"/>
      <c r="CS167" s="1"/>
      <c r="CT167"/>
      <c r="DL167" s="76"/>
    </row>
    <row r="169" spans="20:116" x14ac:dyDescent="0.35">
      <c r="T169"/>
      <c r="CS169" s="1"/>
      <c r="CT169"/>
      <c r="DL169" s="76"/>
    </row>
    <row r="170" spans="20:116" x14ac:dyDescent="0.35">
      <c r="T170"/>
      <c r="CS170" s="1"/>
      <c r="CT170"/>
      <c r="DL170" s="76"/>
    </row>
    <row r="171" spans="20:116" x14ac:dyDescent="0.35">
      <c r="T171"/>
      <c r="CS171" s="1"/>
      <c r="CT171"/>
      <c r="DL171" s="76"/>
    </row>
    <row r="172" spans="20:116" x14ac:dyDescent="0.35">
      <c r="T172"/>
      <c r="CS172" s="1"/>
      <c r="CT172"/>
      <c r="DL172" s="76"/>
    </row>
    <row r="173" spans="20:116" x14ac:dyDescent="0.35">
      <c r="T173"/>
      <c r="CS173" s="1"/>
      <c r="CT173"/>
      <c r="DL173" s="76"/>
    </row>
    <row r="174" spans="20:116" x14ac:dyDescent="0.35">
      <c r="T174"/>
      <c r="CS174" s="1"/>
      <c r="CT174"/>
      <c r="DL174" s="76"/>
    </row>
    <row r="175" spans="20:116" x14ac:dyDescent="0.35">
      <c r="T175"/>
      <c r="CS175" s="1"/>
      <c r="CT175"/>
      <c r="DL175" s="76"/>
    </row>
    <row r="176" spans="20:116" x14ac:dyDescent="0.35">
      <c r="T176"/>
      <c r="CS176" s="1"/>
      <c r="CT176"/>
      <c r="DL176" s="76"/>
    </row>
    <row r="177" spans="20:116" x14ac:dyDescent="0.35">
      <c r="T177"/>
      <c r="CS177" s="1"/>
      <c r="CT177"/>
      <c r="DL177" s="76"/>
    </row>
    <row r="178" spans="20:116" x14ac:dyDescent="0.35">
      <c r="T178"/>
      <c r="CS178" s="1"/>
      <c r="CT178"/>
      <c r="DL178" s="76"/>
    </row>
    <row r="179" spans="20:116" x14ac:dyDescent="0.35">
      <c r="T179"/>
      <c r="CS179" s="1"/>
      <c r="CT179"/>
      <c r="DL179" s="76"/>
    </row>
    <row r="181" spans="20:116" x14ac:dyDescent="0.35">
      <c r="T181"/>
      <c r="CS181" s="1"/>
      <c r="CT181"/>
      <c r="DL181" s="76"/>
    </row>
    <row r="182" spans="20:116" x14ac:dyDescent="0.35">
      <c r="T182"/>
      <c r="CS182" s="1"/>
      <c r="CT182"/>
      <c r="DL182" s="76"/>
    </row>
    <row r="183" spans="20:116" x14ac:dyDescent="0.35">
      <c r="T183"/>
      <c r="CS183" s="1"/>
      <c r="CT183"/>
      <c r="DL183" s="76"/>
    </row>
    <row r="184" spans="20:116" x14ac:dyDescent="0.35">
      <c r="T184"/>
      <c r="CS184" s="1"/>
      <c r="CT184"/>
      <c r="DL184" s="76"/>
    </row>
    <row r="185" spans="20:116" x14ac:dyDescent="0.35">
      <c r="T185"/>
      <c r="CS185" s="1"/>
      <c r="CT185"/>
      <c r="DL185" s="76"/>
    </row>
    <row r="186" spans="20:116" x14ac:dyDescent="0.35">
      <c r="T186"/>
      <c r="CS186" s="1"/>
      <c r="CT186"/>
      <c r="DL186" s="76"/>
    </row>
    <row r="187" spans="20:116" x14ac:dyDescent="0.35">
      <c r="T187"/>
      <c r="CS187" s="1"/>
      <c r="CT187"/>
      <c r="DL187" s="76"/>
    </row>
    <row r="188" spans="20:116" x14ac:dyDescent="0.35">
      <c r="T188"/>
      <c r="CS188" s="1"/>
      <c r="CT188"/>
      <c r="DL188" s="76"/>
    </row>
    <row r="189" spans="20:116" x14ac:dyDescent="0.35">
      <c r="T189"/>
      <c r="CS189" s="1"/>
      <c r="CT189"/>
      <c r="DL189" s="76"/>
    </row>
    <row r="190" spans="20:116" x14ac:dyDescent="0.35">
      <c r="T190"/>
      <c r="CS190" s="1"/>
      <c r="CT190"/>
      <c r="DL190" s="76"/>
    </row>
    <row r="191" spans="20:116" x14ac:dyDescent="0.35">
      <c r="T191"/>
      <c r="CS191" s="1"/>
      <c r="CT191"/>
      <c r="DL191" s="76"/>
    </row>
    <row r="193" spans="20:116" x14ac:dyDescent="0.35">
      <c r="T193"/>
      <c r="CS193" s="1"/>
      <c r="CT193"/>
      <c r="DL193" s="76"/>
    </row>
    <row r="194" spans="20:116" x14ac:dyDescent="0.35">
      <c r="T194"/>
      <c r="CS194" s="1"/>
      <c r="CT194"/>
      <c r="DL194" s="76"/>
    </row>
    <row r="195" spans="20:116" x14ac:dyDescent="0.35">
      <c r="T195"/>
      <c r="CS195" s="1"/>
      <c r="CT195"/>
      <c r="DL195" s="76"/>
    </row>
    <row r="196" spans="20:116" x14ac:dyDescent="0.35">
      <c r="T196"/>
      <c r="CS196" s="1"/>
      <c r="CT196"/>
      <c r="DL196" s="76"/>
    </row>
    <row r="197" spans="20:116" x14ac:dyDescent="0.35">
      <c r="T197"/>
      <c r="CS197" s="1"/>
      <c r="CT197"/>
      <c r="DL197" s="76"/>
    </row>
    <row r="198" spans="20:116" x14ac:dyDescent="0.35">
      <c r="T198"/>
      <c r="CS198" s="1"/>
      <c r="CT198"/>
      <c r="DL198" s="76"/>
    </row>
    <row r="199" spans="20:116" x14ac:dyDescent="0.35">
      <c r="T199"/>
      <c r="CS199" s="1"/>
      <c r="CT199"/>
      <c r="DL199" s="76"/>
    </row>
    <row r="200" spans="20:116" x14ac:dyDescent="0.35">
      <c r="T200"/>
      <c r="CS200" s="1"/>
      <c r="CT200"/>
      <c r="DL200" s="76"/>
    </row>
    <row r="201" spans="20:116" x14ac:dyDescent="0.35">
      <c r="T201"/>
      <c r="CS201" s="1"/>
      <c r="CT201"/>
      <c r="DL201" s="76"/>
    </row>
    <row r="202" spans="20:116" x14ac:dyDescent="0.35">
      <c r="T202"/>
      <c r="CS202" s="1"/>
      <c r="CT202"/>
      <c r="DL202" s="76"/>
    </row>
    <row r="203" spans="20:116" x14ac:dyDescent="0.35">
      <c r="T203"/>
      <c r="CS203" s="1"/>
      <c r="CT203"/>
      <c r="DL203" s="76"/>
    </row>
    <row r="205" spans="20:116" x14ac:dyDescent="0.35">
      <c r="T205"/>
      <c r="CS205" s="1"/>
      <c r="CT205"/>
      <c r="DL205" s="76"/>
    </row>
    <row r="206" spans="20:116" x14ac:dyDescent="0.35">
      <c r="T206"/>
      <c r="CS206" s="1"/>
      <c r="CT206"/>
      <c r="DL206" s="76"/>
    </row>
    <row r="207" spans="20:116" x14ac:dyDescent="0.35">
      <c r="T207"/>
      <c r="CS207" s="1"/>
      <c r="CT207"/>
      <c r="DL207" s="76"/>
    </row>
    <row r="208" spans="20:116" x14ac:dyDescent="0.35">
      <c r="T208"/>
      <c r="CS208" s="1"/>
      <c r="CT208"/>
      <c r="DL208" s="76"/>
    </row>
    <row r="209" spans="20:116" x14ac:dyDescent="0.35">
      <c r="T209"/>
      <c r="CS209" s="1"/>
      <c r="CT209"/>
      <c r="DL209" s="76"/>
    </row>
    <row r="210" spans="20:116" x14ac:dyDescent="0.35">
      <c r="T210"/>
      <c r="CS210" s="1"/>
      <c r="CT210"/>
      <c r="DL210" s="76"/>
    </row>
    <row r="211" spans="20:116" x14ac:dyDescent="0.35">
      <c r="T211"/>
      <c r="CS211" s="1"/>
      <c r="CT211"/>
      <c r="DL211" s="76"/>
    </row>
    <row r="212" spans="20:116" x14ac:dyDescent="0.35">
      <c r="T212"/>
      <c r="CS212" s="1"/>
      <c r="CT212"/>
      <c r="DL212" s="76"/>
    </row>
    <row r="213" spans="20:116" x14ac:dyDescent="0.35">
      <c r="T213"/>
      <c r="CS213" s="1"/>
      <c r="CT213"/>
      <c r="DL213" s="76"/>
    </row>
    <row r="214" spans="20:116" x14ac:dyDescent="0.35">
      <c r="T214"/>
      <c r="CS214" s="1"/>
      <c r="CT214"/>
      <c r="DL214" s="76"/>
    </row>
    <row r="215" spans="20:116" x14ac:dyDescent="0.35">
      <c r="T215"/>
      <c r="CS215" s="1"/>
      <c r="CT215"/>
      <c r="DL215" s="76"/>
    </row>
    <row r="217" spans="20:116" x14ac:dyDescent="0.35">
      <c r="T217"/>
      <c r="CS217" s="1"/>
      <c r="CT217"/>
      <c r="DL217" s="76"/>
    </row>
    <row r="218" spans="20:116" x14ac:dyDescent="0.35">
      <c r="T218"/>
      <c r="CS218" s="1"/>
      <c r="CT218"/>
      <c r="DL218" s="76"/>
    </row>
    <row r="219" spans="20:116" x14ac:dyDescent="0.35">
      <c r="T219"/>
      <c r="CS219" s="1"/>
      <c r="CT219"/>
      <c r="DL219" s="76"/>
    </row>
    <row r="220" spans="20:116" x14ac:dyDescent="0.35">
      <c r="T220"/>
      <c r="CS220" s="1"/>
      <c r="CT220"/>
      <c r="DL220" s="76"/>
    </row>
    <row r="221" spans="20:116" x14ac:dyDescent="0.35">
      <c r="T221"/>
      <c r="CS221" s="1"/>
      <c r="CT221"/>
      <c r="DL221" s="76"/>
    </row>
    <row r="222" spans="20:116" x14ac:dyDescent="0.35">
      <c r="T222"/>
      <c r="CS222" s="1"/>
      <c r="CT222"/>
      <c r="DL222" s="76"/>
    </row>
    <row r="223" spans="20:116" x14ac:dyDescent="0.35">
      <c r="T223"/>
      <c r="CS223" s="1"/>
      <c r="CT223"/>
      <c r="DL223" s="76"/>
    </row>
    <row r="224" spans="20:116" x14ac:dyDescent="0.35">
      <c r="T224"/>
      <c r="CS224" s="1"/>
      <c r="CT224"/>
      <c r="DL224" s="76"/>
    </row>
    <row r="225" spans="20:116" x14ac:dyDescent="0.35">
      <c r="T225"/>
      <c r="CS225" s="1"/>
      <c r="CT225"/>
      <c r="DL225" s="76"/>
    </row>
    <row r="226" spans="20:116" x14ac:dyDescent="0.35">
      <c r="T226"/>
      <c r="CS226" s="1"/>
      <c r="CT226"/>
      <c r="DL226" s="76"/>
    </row>
    <row r="227" spans="20:116" x14ac:dyDescent="0.35">
      <c r="T227"/>
      <c r="CS227" s="1"/>
      <c r="CT227"/>
      <c r="DL227" s="76"/>
    </row>
    <row r="229" spans="20:116" x14ac:dyDescent="0.35">
      <c r="T229"/>
      <c r="CS229" s="1"/>
      <c r="CT229"/>
      <c r="DL229" s="76"/>
    </row>
    <row r="230" spans="20:116" x14ac:dyDescent="0.35">
      <c r="T230"/>
      <c r="CS230" s="1"/>
      <c r="CT230"/>
      <c r="DL230" s="76"/>
    </row>
    <row r="231" spans="20:116" x14ac:dyDescent="0.35">
      <c r="T231"/>
      <c r="CS231" s="1"/>
      <c r="CT231"/>
      <c r="DL231" s="76"/>
    </row>
    <row r="232" spans="20:116" x14ac:dyDescent="0.35">
      <c r="T232"/>
      <c r="CS232" s="1"/>
      <c r="CT232"/>
      <c r="DL232" s="76"/>
    </row>
    <row r="233" spans="20:116" x14ac:dyDescent="0.35">
      <c r="T233"/>
      <c r="CS233" s="1"/>
      <c r="CT233"/>
      <c r="DL233" s="76"/>
    </row>
    <row r="234" spans="20:116" x14ac:dyDescent="0.35">
      <c r="T234"/>
      <c r="CS234" s="1"/>
      <c r="CT234"/>
      <c r="DL234" s="76"/>
    </row>
    <row r="235" spans="20:116" x14ac:dyDescent="0.35">
      <c r="T235"/>
      <c r="CS235" s="1"/>
      <c r="CT235"/>
      <c r="DL235" s="76"/>
    </row>
    <row r="236" spans="20:116" x14ac:dyDescent="0.35">
      <c r="T236"/>
      <c r="CS236" s="1"/>
      <c r="CT236"/>
      <c r="DL236" s="76"/>
    </row>
    <row r="237" spans="20:116" x14ac:dyDescent="0.35">
      <c r="T237"/>
      <c r="CS237" s="1"/>
      <c r="CT237"/>
      <c r="DL237" s="76"/>
    </row>
    <row r="238" spans="20:116" x14ac:dyDescent="0.35">
      <c r="T238"/>
      <c r="CS238" s="1"/>
      <c r="CT238"/>
      <c r="DL238" s="76"/>
    </row>
    <row r="239" spans="20:116" x14ac:dyDescent="0.35">
      <c r="T239"/>
      <c r="CS239" s="1"/>
      <c r="CT239"/>
      <c r="DL239" s="76"/>
    </row>
    <row r="241" spans="20:116" x14ac:dyDescent="0.35">
      <c r="T241"/>
      <c r="CS241" s="1"/>
      <c r="CT241"/>
      <c r="DL241" s="76"/>
    </row>
    <row r="242" spans="20:116" x14ac:dyDescent="0.35">
      <c r="T242"/>
      <c r="CS242" s="1"/>
      <c r="CT242"/>
      <c r="DL242" s="76"/>
    </row>
    <row r="243" spans="20:116" x14ac:dyDescent="0.35">
      <c r="T243"/>
      <c r="CS243" s="1"/>
      <c r="CT243"/>
      <c r="DL243" s="76"/>
    </row>
    <row r="244" spans="20:116" x14ac:dyDescent="0.35">
      <c r="T244"/>
      <c r="CS244" s="1"/>
      <c r="CT244"/>
      <c r="DL244" s="76"/>
    </row>
    <row r="245" spans="20:116" x14ac:dyDescent="0.35">
      <c r="T245"/>
      <c r="CS245" s="1"/>
      <c r="CT245"/>
      <c r="DL245" s="76"/>
    </row>
    <row r="246" spans="20:116" x14ac:dyDescent="0.35">
      <c r="T246"/>
      <c r="CS246" s="1"/>
      <c r="CT246"/>
      <c r="DL246" s="76"/>
    </row>
    <row r="247" spans="20:116" x14ac:dyDescent="0.35">
      <c r="T247"/>
      <c r="CS247" s="1"/>
      <c r="CT247"/>
      <c r="DL247" s="76"/>
    </row>
    <row r="248" spans="20:116" x14ac:dyDescent="0.35">
      <c r="T248"/>
      <c r="CS248" s="1"/>
      <c r="CT248"/>
      <c r="DL248" s="76"/>
    </row>
    <row r="249" spans="20:116" x14ac:dyDescent="0.35">
      <c r="T249"/>
      <c r="CS249" s="1"/>
      <c r="CT249"/>
      <c r="DL249" s="76"/>
    </row>
    <row r="250" spans="20:116" x14ac:dyDescent="0.35">
      <c r="T250"/>
      <c r="CS250" s="1"/>
      <c r="CT250"/>
      <c r="DL250" s="76"/>
    </row>
    <row r="251" spans="20:116" x14ac:dyDescent="0.35">
      <c r="T251"/>
      <c r="CS251" s="1"/>
      <c r="CT251"/>
      <c r="DL251" s="76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937A-1E0F-4ADF-B1DF-65595A6CD4E4}">
  <dimension ref="A1:S66"/>
  <sheetViews>
    <sheetView topLeftCell="A51" zoomScale="93" zoomScaleNormal="93" workbookViewId="0">
      <selection activeCell="P14" sqref="P14"/>
    </sheetView>
  </sheetViews>
  <sheetFormatPr defaultRowHeight="14.5" x14ac:dyDescent="0.35"/>
  <cols>
    <col min="1" max="1" width="10.90625" style="62" customWidth="1"/>
    <col min="3" max="3" width="11.54296875" customWidth="1"/>
    <col min="4" max="4" width="17.08984375" customWidth="1"/>
    <col min="5" max="5" width="13.54296875" customWidth="1"/>
    <col min="6" max="6" width="12.36328125" customWidth="1"/>
    <col min="7" max="7" width="9" customWidth="1"/>
    <col min="8" max="8" width="11.81640625" customWidth="1"/>
    <col min="15" max="15" width="28.453125" customWidth="1"/>
    <col min="16" max="16" width="25" customWidth="1"/>
    <col min="17" max="18" width="8.7265625" customWidth="1"/>
  </cols>
  <sheetData>
    <row r="1" spans="1:16" ht="37" customHeight="1" x14ac:dyDescent="0.4">
      <c r="A1" s="56" t="s">
        <v>105</v>
      </c>
      <c r="B1" s="55" t="s">
        <v>94</v>
      </c>
      <c r="C1" s="56" t="s">
        <v>91</v>
      </c>
      <c r="D1" s="56" t="s">
        <v>209</v>
      </c>
      <c r="E1" s="56" t="s">
        <v>210</v>
      </c>
      <c r="F1" s="54" t="s">
        <v>95</v>
      </c>
      <c r="G1" s="54" t="s">
        <v>96</v>
      </c>
      <c r="H1" s="56" t="s">
        <v>211</v>
      </c>
      <c r="I1" s="58" t="s">
        <v>212</v>
      </c>
      <c r="J1" s="58" t="s">
        <v>213</v>
      </c>
      <c r="K1" s="58" t="s">
        <v>214</v>
      </c>
      <c r="L1" s="59" t="s">
        <v>215</v>
      </c>
      <c r="M1" s="59" t="s">
        <v>216</v>
      </c>
      <c r="N1" s="59" t="s">
        <v>217</v>
      </c>
      <c r="O1" s="136" t="s">
        <v>218</v>
      </c>
      <c r="P1" s="137"/>
    </row>
    <row r="2" spans="1:16" ht="16" x14ac:dyDescent="0.4">
      <c r="A2" s="60" t="s">
        <v>52</v>
      </c>
      <c r="B2" s="6">
        <v>145.935</v>
      </c>
      <c r="C2" s="7">
        <v>8.42</v>
      </c>
      <c r="D2" s="6">
        <f>AVERAGE(I2:K2)</f>
        <v>1995.6666666666667</v>
      </c>
      <c r="E2" s="6">
        <f>AVERAGE(L2:N2)</f>
        <v>1756</v>
      </c>
      <c r="F2" s="6">
        <v>230023</v>
      </c>
      <c r="G2" s="6">
        <f t="shared" ref="G2:G33" si="0">ABS(((E2*100/D2)-100)*-1)</f>
        <v>12.009353599465513</v>
      </c>
      <c r="H2" s="6">
        <f>D2</f>
        <v>1995.6666666666667</v>
      </c>
      <c r="I2" s="52">
        <v>1980</v>
      </c>
      <c r="J2" s="52">
        <v>1984</v>
      </c>
      <c r="K2" s="53">
        <v>2023</v>
      </c>
      <c r="L2" s="50">
        <v>1756</v>
      </c>
      <c r="M2" s="50">
        <v>1756</v>
      </c>
      <c r="N2" s="50">
        <v>1756</v>
      </c>
      <c r="O2" s="4" t="s">
        <v>65</v>
      </c>
      <c r="P2" s="9">
        <v>855700</v>
      </c>
    </row>
    <row r="3" spans="1:16" ht="16" x14ac:dyDescent="0.4">
      <c r="A3" s="61" t="s">
        <v>51</v>
      </c>
      <c r="B3" s="6">
        <v>150.10300000000001</v>
      </c>
      <c r="C3" s="7">
        <v>7.93</v>
      </c>
      <c r="D3" s="6">
        <f t="shared" ref="D3:D62" si="1">AVERAGE(I3:K3)</f>
        <v>2037.3333333333333</v>
      </c>
      <c r="E3" s="6">
        <f t="shared" ref="E3:E62" si="2">AVERAGE(L3:N3)</f>
        <v>1810.0966666666666</v>
      </c>
      <c r="F3" s="6">
        <v>202585</v>
      </c>
      <c r="G3" s="6">
        <f t="shared" si="0"/>
        <v>11.153632198952877</v>
      </c>
      <c r="H3" s="6">
        <f t="shared" ref="H3:H34" si="3">D3+(E3-E2)</f>
        <v>2091.4299999999998</v>
      </c>
      <c r="I3" s="52">
        <v>2015</v>
      </c>
      <c r="J3" s="52">
        <v>2044</v>
      </c>
      <c r="K3" s="53">
        <v>2053</v>
      </c>
      <c r="L3" s="57">
        <v>1773.54</v>
      </c>
      <c r="M3" s="57">
        <v>1806.79</v>
      </c>
      <c r="N3" s="51">
        <v>1849.96</v>
      </c>
      <c r="O3" s="4" t="s">
        <v>64</v>
      </c>
      <c r="P3" s="9">
        <v>572400</v>
      </c>
    </row>
    <row r="4" spans="1:16" ht="16" x14ac:dyDescent="0.4">
      <c r="A4" s="61" t="s">
        <v>50</v>
      </c>
      <c r="B4" s="6">
        <v>151.71899999999999</v>
      </c>
      <c r="C4" s="7">
        <v>8.01</v>
      </c>
      <c r="D4" s="6">
        <f t="shared" si="1"/>
        <v>2031</v>
      </c>
      <c r="E4" s="6">
        <f t="shared" si="2"/>
        <v>1782.9466666666667</v>
      </c>
      <c r="F4" s="6">
        <v>184326</v>
      </c>
      <c r="G4" s="6">
        <f t="shared" si="0"/>
        <v>12.213359592975536</v>
      </c>
      <c r="H4" s="6">
        <f t="shared" si="3"/>
        <v>2003.8500000000001</v>
      </c>
      <c r="I4" s="52">
        <v>2045</v>
      </c>
      <c r="J4" s="52">
        <v>2026</v>
      </c>
      <c r="K4" s="53">
        <v>2022</v>
      </c>
      <c r="L4" s="57">
        <v>1886.68</v>
      </c>
      <c r="M4" s="57">
        <v>1661.57</v>
      </c>
      <c r="N4" s="51">
        <v>1800.59</v>
      </c>
      <c r="O4" s="4" t="s">
        <v>63</v>
      </c>
      <c r="P4" s="9">
        <v>1766500</v>
      </c>
    </row>
    <row r="5" spans="1:16" ht="16" x14ac:dyDescent="0.4">
      <c r="A5" s="61" t="s">
        <v>49</v>
      </c>
      <c r="B5" s="6">
        <v>150.63999999999999</v>
      </c>
      <c r="C5" s="7">
        <v>8.57</v>
      </c>
      <c r="D5" s="6">
        <f t="shared" si="1"/>
        <v>2036</v>
      </c>
      <c r="E5" s="6">
        <f t="shared" si="2"/>
        <v>1812.3799999999999</v>
      </c>
      <c r="F5" s="6">
        <v>158366</v>
      </c>
      <c r="G5" s="6">
        <f t="shared" si="0"/>
        <v>10.983300589390964</v>
      </c>
      <c r="H5" s="6">
        <f t="shared" si="3"/>
        <v>2065.4333333333334</v>
      </c>
      <c r="I5" s="52">
        <v>2039</v>
      </c>
      <c r="J5" s="52">
        <v>2046</v>
      </c>
      <c r="K5" s="53">
        <v>2023</v>
      </c>
      <c r="L5" s="57">
        <v>1784.15</v>
      </c>
      <c r="M5" s="57">
        <v>1800.89</v>
      </c>
      <c r="N5" s="57">
        <v>1852.1</v>
      </c>
      <c r="O5" s="4" t="s">
        <v>62</v>
      </c>
      <c r="P5" s="9">
        <v>6459300</v>
      </c>
    </row>
    <row r="6" spans="1:16" ht="16" x14ac:dyDescent="0.4">
      <c r="A6" s="61" t="s">
        <v>48</v>
      </c>
      <c r="B6" s="6">
        <v>150.08199999999999</v>
      </c>
      <c r="C6" s="7">
        <v>9.6</v>
      </c>
      <c r="D6" s="6">
        <f t="shared" si="1"/>
        <v>2013</v>
      </c>
      <c r="E6" s="6">
        <f t="shared" si="2"/>
        <v>1779.1966666666667</v>
      </c>
      <c r="F6" s="6">
        <v>162267</v>
      </c>
      <c r="G6" s="6">
        <f t="shared" si="0"/>
        <v>11.614671303195877</v>
      </c>
      <c r="H6" s="6">
        <f t="shared" si="3"/>
        <v>1979.8166666666668</v>
      </c>
      <c r="I6" s="52">
        <v>2011</v>
      </c>
      <c r="J6" s="52">
        <v>2009</v>
      </c>
      <c r="K6" s="53">
        <v>2019</v>
      </c>
      <c r="L6" s="57">
        <v>1790.49</v>
      </c>
      <c r="M6" s="57">
        <v>1758.3</v>
      </c>
      <c r="N6" s="57">
        <v>1788.8</v>
      </c>
      <c r="O6" s="4" t="s">
        <v>61</v>
      </c>
      <c r="P6" s="9">
        <v>5642500</v>
      </c>
    </row>
    <row r="7" spans="1:16" ht="16" x14ac:dyDescent="0.4">
      <c r="A7" s="61" t="s">
        <v>47</v>
      </c>
      <c r="B7" s="6">
        <v>149.61799999999999</v>
      </c>
      <c r="C7" s="7">
        <v>10.36</v>
      </c>
      <c r="D7" s="6">
        <f t="shared" si="1"/>
        <v>2014.6666666666667</v>
      </c>
      <c r="E7" s="6">
        <f t="shared" si="2"/>
        <v>1788.04</v>
      </c>
      <c r="F7" s="6">
        <v>150981</v>
      </c>
      <c r="G7" s="6">
        <f t="shared" si="0"/>
        <v>11.248841826604902</v>
      </c>
      <c r="H7" s="6">
        <f t="shared" si="3"/>
        <v>2023.51</v>
      </c>
      <c r="I7" s="52">
        <v>2023</v>
      </c>
      <c r="J7" s="52">
        <v>2013</v>
      </c>
      <c r="K7" s="53">
        <v>2008</v>
      </c>
      <c r="L7" s="57">
        <v>1791.67</v>
      </c>
      <c r="M7" s="57">
        <v>1765.94</v>
      </c>
      <c r="N7" s="57">
        <v>1806.51</v>
      </c>
      <c r="O7" s="4" t="s">
        <v>60</v>
      </c>
      <c r="P7" s="9">
        <v>4913300</v>
      </c>
    </row>
    <row r="8" spans="1:16" ht="16" x14ac:dyDescent="0.4">
      <c r="A8" s="61" t="s">
        <v>46</v>
      </c>
      <c r="B8" s="6">
        <v>147.13399999999999</v>
      </c>
      <c r="C8" s="7">
        <v>11.23</v>
      </c>
      <c r="D8" s="6">
        <f t="shared" si="1"/>
        <v>1959.3333333333333</v>
      </c>
      <c r="E8" s="6">
        <f t="shared" si="2"/>
        <v>1730.74</v>
      </c>
      <c r="F8" s="6">
        <v>128773</v>
      </c>
      <c r="G8" s="6">
        <f t="shared" si="0"/>
        <v>11.666893501190884</v>
      </c>
      <c r="H8" s="6">
        <f t="shared" si="3"/>
        <v>1902.0333333333333</v>
      </c>
      <c r="I8" s="52">
        <v>1979</v>
      </c>
      <c r="J8" s="52">
        <v>1953</v>
      </c>
      <c r="K8" s="53">
        <v>1946</v>
      </c>
      <c r="L8" s="57">
        <v>1799.46</v>
      </c>
      <c r="M8" s="57">
        <v>1648.27</v>
      </c>
      <c r="N8" s="57">
        <v>1744.49</v>
      </c>
      <c r="O8" s="4" t="s">
        <v>66</v>
      </c>
      <c r="P8" s="70">
        <f>AVERAGE(Yearly!BS60)*20</f>
        <v>1885000</v>
      </c>
    </row>
    <row r="9" spans="1:16" ht="16" x14ac:dyDescent="0.4">
      <c r="A9" s="61" t="s">
        <v>45</v>
      </c>
      <c r="B9" s="6">
        <v>142.511</v>
      </c>
      <c r="C9" s="7">
        <v>13.79</v>
      </c>
      <c r="D9" s="6">
        <f t="shared" si="1"/>
        <v>1934</v>
      </c>
      <c r="E9" s="6">
        <f t="shared" si="2"/>
        <v>1736.1933333333334</v>
      </c>
      <c r="F9" s="6">
        <v>110059</v>
      </c>
      <c r="G9" s="6">
        <f t="shared" si="0"/>
        <v>10.22785246466735</v>
      </c>
      <c r="H9" s="6">
        <f t="shared" si="3"/>
        <v>1939.4533333333334</v>
      </c>
      <c r="I9" s="52">
        <v>1938</v>
      </c>
      <c r="J9" s="52">
        <v>1943</v>
      </c>
      <c r="K9" s="53">
        <v>1921</v>
      </c>
      <c r="L9" s="57">
        <v>1765.74</v>
      </c>
      <c r="M9" s="57">
        <v>1687.57</v>
      </c>
      <c r="N9" s="57">
        <v>1755.27</v>
      </c>
      <c r="O9" s="4" t="s">
        <v>97</v>
      </c>
      <c r="P9" s="9">
        <f>SUM(P2:P8)</f>
        <v>22094700</v>
      </c>
    </row>
    <row r="10" spans="1:16" ht="16" x14ac:dyDescent="0.4">
      <c r="A10" s="61" t="s">
        <v>44</v>
      </c>
      <c r="B10" s="6">
        <v>138.69300000000001</v>
      </c>
      <c r="C10" s="7">
        <v>17.239999999999998</v>
      </c>
      <c r="D10" s="6">
        <f t="shared" si="1"/>
        <v>1922</v>
      </c>
      <c r="E10" s="6">
        <f t="shared" si="2"/>
        <v>1695.5100000000002</v>
      </c>
      <c r="F10" s="6">
        <v>106523</v>
      </c>
      <c r="G10" s="6">
        <f t="shared" si="0"/>
        <v>11.784079084287185</v>
      </c>
      <c r="H10" s="6">
        <f t="shared" si="3"/>
        <v>1881.3166666666668</v>
      </c>
      <c r="I10" s="52">
        <v>1921</v>
      </c>
      <c r="J10" s="52">
        <v>1918</v>
      </c>
      <c r="K10" s="53">
        <v>1927</v>
      </c>
      <c r="L10" s="57">
        <v>1708.89</v>
      </c>
      <c r="M10" s="57">
        <v>1677.76</v>
      </c>
      <c r="N10" s="57">
        <v>1699.88</v>
      </c>
      <c r="O10" s="2"/>
      <c r="P10" s="2"/>
    </row>
    <row r="11" spans="1:16" ht="16" x14ac:dyDescent="0.4">
      <c r="A11" s="61" t="s">
        <v>43</v>
      </c>
      <c r="B11" s="6">
        <v>138.08199999999999</v>
      </c>
      <c r="C11" s="7">
        <v>17.77</v>
      </c>
      <c r="D11" s="6">
        <f t="shared" si="1"/>
        <v>1911.6666666666667</v>
      </c>
      <c r="E11" s="6">
        <f t="shared" si="2"/>
        <v>1700.39</v>
      </c>
      <c r="F11" s="6">
        <v>97788</v>
      </c>
      <c r="G11" s="6">
        <f t="shared" si="0"/>
        <v>11.051961639058419</v>
      </c>
      <c r="H11" s="6">
        <f t="shared" si="3"/>
        <v>1916.5466666666666</v>
      </c>
      <c r="I11" s="52">
        <v>1921</v>
      </c>
      <c r="J11" s="52">
        <v>1913</v>
      </c>
      <c r="K11" s="53">
        <v>1901</v>
      </c>
      <c r="L11" s="57">
        <v>1698.65</v>
      </c>
      <c r="M11" s="57">
        <v>1698.04</v>
      </c>
      <c r="N11" s="57">
        <v>1704.48</v>
      </c>
    </row>
    <row r="12" spans="1:16" ht="16" x14ac:dyDescent="0.4">
      <c r="A12" s="61" t="s">
        <v>42</v>
      </c>
      <c r="B12" s="6">
        <v>136.845</v>
      </c>
      <c r="C12" s="7">
        <v>17.75</v>
      </c>
      <c r="D12" s="6">
        <f t="shared" si="1"/>
        <v>1886</v>
      </c>
      <c r="E12" s="6">
        <f t="shared" si="2"/>
        <v>1666.6266666666668</v>
      </c>
      <c r="F12" s="6">
        <v>109084</v>
      </c>
      <c r="G12" s="6">
        <f t="shared" si="0"/>
        <v>11.631671968893585</v>
      </c>
      <c r="H12" s="6">
        <f t="shared" si="3"/>
        <v>1852.2366666666667</v>
      </c>
      <c r="I12" s="52">
        <v>1897</v>
      </c>
      <c r="J12" s="52">
        <v>1883</v>
      </c>
      <c r="K12" s="53">
        <v>1878</v>
      </c>
      <c r="L12" s="57">
        <v>1719.54</v>
      </c>
      <c r="M12" s="57">
        <v>1570.93</v>
      </c>
      <c r="N12" s="57">
        <v>1709.41</v>
      </c>
      <c r="O12" s="49"/>
      <c r="P12" s="49"/>
    </row>
    <row r="13" spans="1:16" ht="16" x14ac:dyDescent="0.4">
      <c r="A13" s="61" t="s">
        <v>41</v>
      </c>
      <c r="B13" s="6">
        <v>136.31299999999999</v>
      </c>
      <c r="C13" s="7">
        <v>18.66</v>
      </c>
      <c r="D13" s="6">
        <f t="shared" si="1"/>
        <v>1876.6666666666667</v>
      </c>
      <c r="E13" s="6">
        <f t="shared" si="2"/>
        <v>1687.4466666666667</v>
      </c>
      <c r="F13" s="6">
        <v>99998</v>
      </c>
      <c r="G13" s="6">
        <f t="shared" si="0"/>
        <v>10.08277087033747</v>
      </c>
      <c r="H13" s="6">
        <f t="shared" si="3"/>
        <v>1897.4866666666667</v>
      </c>
      <c r="I13" s="52">
        <v>1878</v>
      </c>
      <c r="J13" s="52">
        <v>1879</v>
      </c>
      <c r="K13" s="53">
        <v>1873</v>
      </c>
      <c r="L13" s="57">
        <v>1654.49</v>
      </c>
      <c r="M13" s="57">
        <v>1674.7</v>
      </c>
      <c r="N13" s="57">
        <v>1733.15</v>
      </c>
    </row>
    <row r="14" spans="1:16" ht="16" x14ac:dyDescent="0.4">
      <c r="A14" s="61" t="s">
        <v>40</v>
      </c>
      <c r="B14" s="6">
        <v>134.626</v>
      </c>
      <c r="C14" s="7">
        <v>19.84</v>
      </c>
      <c r="D14" s="6">
        <f t="shared" si="1"/>
        <v>1877.3333333333333</v>
      </c>
      <c r="E14" s="6">
        <f t="shared" si="2"/>
        <v>1685.6233333333332</v>
      </c>
      <c r="F14" s="6">
        <v>116483</v>
      </c>
      <c r="G14" s="6">
        <f t="shared" si="0"/>
        <v>10.211825284090921</v>
      </c>
      <c r="H14" s="6">
        <f t="shared" si="3"/>
        <v>1875.5099999999998</v>
      </c>
      <c r="I14" s="52">
        <v>1873</v>
      </c>
      <c r="J14" s="52">
        <v>1871</v>
      </c>
      <c r="K14" s="53">
        <v>1888</v>
      </c>
      <c r="L14" s="57">
        <v>1701.22</v>
      </c>
      <c r="M14" s="57">
        <v>1687.45</v>
      </c>
      <c r="N14" s="57">
        <v>1668.2</v>
      </c>
    </row>
    <row r="15" spans="1:16" ht="16" x14ac:dyDescent="0.4">
      <c r="A15" s="61" t="s">
        <v>39</v>
      </c>
      <c r="B15" s="6">
        <v>136.79</v>
      </c>
      <c r="C15" s="7">
        <v>19.89</v>
      </c>
      <c r="D15" s="6">
        <f t="shared" si="1"/>
        <v>1905.6666666666667</v>
      </c>
      <c r="E15" s="6">
        <f t="shared" si="2"/>
        <v>1701.6766666666665</v>
      </c>
      <c r="F15" s="6">
        <v>109139</v>
      </c>
      <c r="G15" s="6">
        <f t="shared" si="0"/>
        <v>10.704390414553103</v>
      </c>
      <c r="H15" s="6">
        <f t="shared" si="3"/>
        <v>1921.72</v>
      </c>
      <c r="I15" s="52">
        <v>1898</v>
      </c>
      <c r="J15" s="52">
        <v>1909</v>
      </c>
      <c r="K15" s="53">
        <v>1910</v>
      </c>
      <c r="L15" s="57">
        <v>1678.72</v>
      </c>
      <c r="M15" s="57">
        <v>1675.8</v>
      </c>
      <c r="N15" s="57">
        <v>1750.51</v>
      </c>
    </row>
    <row r="16" spans="1:16" ht="16" x14ac:dyDescent="0.4">
      <c r="A16" s="61" t="s">
        <v>38</v>
      </c>
      <c r="B16" s="6">
        <v>133.846</v>
      </c>
      <c r="C16" s="7">
        <v>19.59</v>
      </c>
      <c r="D16" s="6">
        <f t="shared" si="1"/>
        <v>1927.3333333333333</v>
      </c>
      <c r="E16" s="6">
        <f t="shared" si="2"/>
        <v>1576.0966666666666</v>
      </c>
      <c r="F16" s="6">
        <v>123241</v>
      </c>
      <c r="G16" s="6">
        <f t="shared" si="0"/>
        <v>18.223970944309926</v>
      </c>
      <c r="H16" s="6">
        <f t="shared" si="3"/>
        <v>1801.7533333333333</v>
      </c>
      <c r="I16" s="52">
        <v>1931</v>
      </c>
      <c r="J16" s="52">
        <v>1924</v>
      </c>
      <c r="K16" s="53">
        <v>1927</v>
      </c>
      <c r="L16" s="57">
        <v>1636.3</v>
      </c>
      <c r="M16" s="57">
        <v>1484.71</v>
      </c>
      <c r="N16" s="57">
        <v>1607.28</v>
      </c>
    </row>
    <row r="17" spans="1:19" ht="16" x14ac:dyDescent="0.4">
      <c r="A17" s="61" t="s">
        <v>37</v>
      </c>
      <c r="B17" s="6">
        <v>133.71799999999999</v>
      </c>
      <c r="C17" s="7">
        <v>20.11</v>
      </c>
      <c r="D17" s="6">
        <f t="shared" si="1"/>
        <v>1955.3333333333333</v>
      </c>
      <c r="E17" s="6">
        <f t="shared" si="2"/>
        <v>1624.0633333333335</v>
      </c>
      <c r="F17" s="6">
        <v>90728</v>
      </c>
      <c r="G17" s="6">
        <f t="shared" si="0"/>
        <v>16.941868394135696</v>
      </c>
      <c r="H17" s="6">
        <f t="shared" si="3"/>
        <v>2003.3000000000002</v>
      </c>
      <c r="I17" s="52">
        <v>1943</v>
      </c>
      <c r="J17" s="52">
        <v>1960</v>
      </c>
      <c r="K17" s="53">
        <v>1963</v>
      </c>
      <c r="L17" s="57">
        <v>1606.9</v>
      </c>
      <c r="M17" s="57">
        <v>1607.69</v>
      </c>
      <c r="N17" s="57">
        <v>1657.6</v>
      </c>
    </row>
    <row r="18" spans="1:19" ht="16" x14ac:dyDescent="0.4">
      <c r="A18" s="61" t="s">
        <v>36</v>
      </c>
      <c r="B18" s="6">
        <v>129.059</v>
      </c>
      <c r="C18" s="7">
        <v>21.08</v>
      </c>
      <c r="D18" s="6">
        <f t="shared" si="1"/>
        <v>1970</v>
      </c>
      <c r="E18" s="6">
        <f t="shared" si="2"/>
        <v>1563.7700000000002</v>
      </c>
      <c r="F18" s="6">
        <v>122933</v>
      </c>
      <c r="G18" s="6">
        <f t="shared" si="0"/>
        <v>20.620812182741105</v>
      </c>
      <c r="H18" s="6">
        <f t="shared" si="3"/>
        <v>1909.7066666666667</v>
      </c>
      <c r="I18" s="52">
        <v>1963</v>
      </c>
      <c r="J18" s="52">
        <v>1963</v>
      </c>
      <c r="K18" s="53">
        <v>1984</v>
      </c>
      <c r="L18" s="57">
        <v>1589.82</v>
      </c>
      <c r="M18" s="57">
        <v>1515.44</v>
      </c>
      <c r="N18" s="57">
        <v>1586.05</v>
      </c>
    </row>
    <row r="19" spans="1:19" ht="16" x14ac:dyDescent="0.4">
      <c r="A19" s="61" t="s">
        <v>35</v>
      </c>
      <c r="B19" s="6">
        <v>127.52800000000001</v>
      </c>
      <c r="C19" s="7">
        <v>20.64</v>
      </c>
      <c r="D19" s="6">
        <f t="shared" si="1"/>
        <v>1983</v>
      </c>
      <c r="E19" s="6">
        <f t="shared" si="2"/>
        <v>1555.29</v>
      </c>
      <c r="F19" s="6">
        <v>83440</v>
      </c>
      <c r="G19" s="6">
        <f t="shared" si="0"/>
        <v>21.568835098335853</v>
      </c>
      <c r="H19" s="6">
        <f t="shared" si="3"/>
        <v>1974.5199999999998</v>
      </c>
      <c r="I19" s="52">
        <v>1983</v>
      </c>
      <c r="J19" s="52">
        <v>1984</v>
      </c>
      <c r="K19" s="53">
        <v>1982</v>
      </c>
      <c r="L19" s="57">
        <v>1602.62</v>
      </c>
      <c r="M19" s="57">
        <v>1522.65</v>
      </c>
      <c r="N19" s="57">
        <v>1540.6</v>
      </c>
    </row>
    <row r="20" spans="1:19" ht="16" x14ac:dyDescent="0.4">
      <c r="A20" s="61" t="s">
        <v>34</v>
      </c>
      <c r="B20" s="6">
        <v>123.94799999999999</v>
      </c>
      <c r="C20" s="7">
        <v>21.28</v>
      </c>
      <c r="D20" s="6">
        <f t="shared" si="1"/>
        <v>1961</v>
      </c>
      <c r="E20" s="6">
        <f t="shared" si="2"/>
        <v>1507.0066666666664</v>
      </c>
      <c r="F20" s="6">
        <v>80736</v>
      </c>
      <c r="G20" s="6">
        <f t="shared" si="0"/>
        <v>23.151113377528475</v>
      </c>
      <c r="H20" s="6">
        <f t="shared" si="3"/>
        <v>1912.7166666666665</v>
      </c>
      <c r="I20" s="52">
        <v>1976</v>
      </c>
      <c r="J20" s="52">
        <v>1965</v>
      </c>
      <c r="K20" s="53">
        <v>1942</v>
      </c>
      <c r="L20" s="57">
        <v>1575.97</v>
      </c>
      <c r="M20" s="57">
        <v>1444.06</v>
      </c>
      <c r="N20" s="57">
        <v>1500.99</v>
      </c>
    </row>
    <row r="21" spans="1:19" ht="16" x14ac:dyDescent="0.4">
      <c r="A21" s="61" t="s">
        <v>33</v>
      </c>
      <c r="B21" s="6">
        <v>118.782</v>
      </c>
      <c r="C21" s="7">
        <v>22.56</v>
      </c>
      <c r="D21" s="6">
        <f t="shared" si="1"/>
        <v>1929.3333333333333</v>
      </c>
      <c r="E21" s="6">
        <f t="shared" si="2"/>
        <v>1501.37</v>
      </c>
      <c r="F21" s="6">
        <v>72715</v>
      </c>
      <c r="G21" s="6">
        <f t="shared" si="0"/>
        <v>22.181928127159637</v>
      </c>
      <c r="H21" s="6">
        <f t="shared" si="3"/>
        <v>1923.6966666666667</v>
      </c>
      <c r="I21" s="52">
        <v>1940</v>
      </c>
      <c r="J21" s="52">
        <v>1935</v>
      </c>
      <c r="K21" s="53">
        <v>1913</v>
      </c>
      <c r="L21" s="57">
        <v>1432</v>
      </c>
      <c r="M21" s="57">
        <v>1453.04</v>
      </c>
      <c r="N21" s="57">
        <v>1619.07</v>
      </c>
    </row>
    <row r="22" spans="1:19" ht="16" x14ac:dyDescent="0.4">
      <c r="A22" s="61" t="s">
        <v>32</v>
      </c>
      <c r="B22" s="6">
        <v>112.861</v>
      </c>
      <c r="C22" s="7">
        <v>24.19</v>
      </c>
      <c r="D22" s="6">
        <f t="shared" si="1"/>
        <v>1879</v>
      </c>
      <c r="E22" s="6">
        <f t="shared" si="2"/>
        <v>1379.1233333333332</v>
      </c>
      <c r="F22" s="6">
        <v>88884</v>
      </c>
      <c r="G22" s="6">
        <f t="shared" si="0"/>
        <v>26.6033351073266</v>
      </c>
      <c r="H22" s="6">
        <f t="shared" si="3"/>
        <v>1756.7533333333333</v>
      </c>
      <c r="I22" s="52">
        <v>1902</v>
      </c>
      <c r="J22" s="52">
        <v>1877</v>
      </c>
      <c r="K22" s="53">
        <v>1858</v>
      </c>
      <c r="L22" s="57">
        <v>1349.22</v>
      </c>
      <c r="M22" s="57">
        <v>1431.61</v>
      </c>
      <c r="N22" s="57">
        <v>1356.54</v>
      </c>
    </row>
    <row r="23" spans="1:19" ht="16" x14ac:dyDescent="0.4">
      <c r="A23" s="61" t="s">
        <v>31</v>
      </c>
      <c r="B23" s="6">
        <v>109.187</v>
      </c>
      <c r="C23" s="7">
        <v>24.4</v>
      </c>
      <c r="D23" s="6">
        <f t="shared" si="1"/>
        <v>1830</v>
      </c>
      <c r="E23" s="6">
        <f t="shared" si="2"/>
        <v>1373.6200000000001</v>
      </c>
      <c r="F23" s="6">
        <v>73857</v>
      </c>
      <c r="G23" s="6">
        <f t="shared" si="0"/>
        <v>24.938797814207646</v>
      </c>
      <c r="H23" s="6">
        <f t="shared" si="3"/>
        <v>1824.4966666666669</v>
      </c>
      <c r="I23" s="52">
        <v>1846</v>
      </c>
      <c r="J23" s="52">
        <v>1828</v>
      </c>
      <c r="K23" s="53">
        <v>1816</v>
      </c>
      <c r="L23" s="57">
        <v>1363.87</v>
      </c>
      <c r="M23" s="57">
        <v>1343.72</v>
      </c>
      <c r="N23" s="57">
        <v>1413.27</v>
      </c>
    </row>
    <row r="24" spans="1:19" ht="16" x14ac:dyDescent="0.4">
      <c r="A24" s="61" t="s">
        <v>30</v>
      </c>
      <c r="B24" s="6">
        <v>105.07299999999999</v>
      </c>
      <c r="C24" s="7">
        <v>24.79</v>
      </c>
      <c r="D24" s="6">
        <f t="shared" si="1"/>
        <v>1770.3333333333333</v>
      </c>
      <c r="E24" s="6">
        <f t="shared" si="2"/>
        <v>1336.68</v>
      </c>
      <c r="F24" s="6">
        <v>80964</v>
      </c>
      <c r="G24" s="6">
        <f t="shared" si="0"/>
        <v>24.495575221238937</v>
      </c>
      <c r="H24" s="6">
        <f t="shared" si="3"/>
        <v>1733.3933333333332</v>
      </c>
      <c r="I24" s="52">
        <v>1800</v>
      </c>
      <c r="J24" s="52">
        <v>1771</v>
      </c>
      <c r="K24" s="53">
        <v>1740</v>
      </c>
      <c r="L24" s="57">
        <v>1437.51</v>
      </c>
      <c r="M24" s="57">
        <v>1210.53</v>
      </c>
      <c r="N24" s="57">
        <v>1362</v>
      </c>
    </row>
    <row r="25" spans="1:19" ht="16" x14ac:dyDescent="0.4">
      <c r="A25" s="61" t="s">
        <v>29</v>
      </c>
      <c r="B25" s="6">
        <v>103.593</v>
      </c>
      <c r="C25" s="7">
        <v>25.77</v>
      </c>
      <c r="D25" s="6">
        <f t="shared" si="1"/>
        <v>1729.3333333333333</v>
      </c>
      <c r="E25" s="6">
        <f t="shared" si="2"/>
        <v>1344.37</v>
      </c>
      <c r="F25" s="6">
        <v>74829</v>
      </c>
      <c r="G25" s="6">
        <f t="shared" si="0"/>
        <v>22.260794140323824</v>
      </c>
      <c r="H25" s="6">
        <f t="shared" si="3"/>
        <v>1737.0233333333331</v>
      </c>
      <c r="I25" s="52">
        <v>1742</v>
      </c>
      <c r="J25" s="52">
        <v>1734</v>
      </c>
      <c r="K25" s="53">
        <v>1712</v>
      </c>
      <c r="L25" s="57">
        <v>1345.8</v>
      </c>
      <c r="M25" s="57">
        <v>1298.78</v>
      </c>
      <c r="N25" s="57">
        <v>1388.53</v>
      </c>
    </row>
    <row r="26" spans="1:19" ht="16" x14ac:dyDescent="0.4">
      <c r="A26" s="61" t="s">
        <v>28</v>
      </c>
      <c r="B26" s="6">
        <v>96.768000000000001</v>
      </c>
      <c r="C26" s="7">
        <v>26.94</v>
      </c>
      <c r="D26" s="6">
        <f t="shared" si="1"/>
        <v>1681.6666666666667</v>
      </c>
      <c r="E26" s="6">
        <f t="shared" si="2"/>
        <v>1226.9333333333334</v>
      </c>
      <c r="F26" s="6">
        <v>97473</v>
      </c>
      <c r="G26" s="6">
        <f t="shared" si="0"/>
        <v>27.0406342913776</v>
      </c>
      <c r="H26" s="6">
        <f t="shared" si="3"/>
        <v>1564.2300000000002</v>
      </c>
      <c r="I26" s="52">
        <v>1687</v>
      </c>
      <c r="J26" s="52">
        <v>1682</v>
      </c>
      <c r="K26" s="53">
        <v>1676</v>
      </c>
      <c r="L26" s="57">
        <v>1187.8900000000001</v>
      </c>
      <c r="M26" s="57">
        <v>1181.25</v>
      </c>
      <c r="N26" s="57">
        <v>1311.66</v>
      </c>
    </row>
    <row r="27" spans="1:19" ht="16" x14ac:dyDescent="0.4">
      <c r="A27" s="61" t="s">
        <v>27</v>
      </c>
      <c r="B27" s="6">
        <v>96.040999999999997</v>
      </c>
      <c r="C27" s="7">
        <v>26.06</v>
      </c>
      <c r="D27" s="6">
        <f t="shared" si="1"/>
        <v>1656.3333333333333</v>
      </c>
      <c r="E27" s="6">
        <f t="shared" si="2"/>
        <v>1250.3999999999999</v>
      </c>
      <c r="F27" s="6">
        <v>74373</v>
      </c>
      <c r="G27" s="6">
        <f t="shared" si="0"/>
        <v>24.507949285570547</v>
      </c>
      <c r="H27" s="6">
        <f t="shared" si="3"/>
        <v>1679.7999999999997</v>
      </c>
      <c r="I27" s="52">
        <v>1663</v>
      </c>
      <c r="J27" s="52">
        <v>1658</v>
      </c>
      <c r="K27" s="53">
        <v>1648</v>
      </c>
      <c r="L27" s="57">
        <v>1208.21</v>
      </c>
      <c r="M27" s="57">
        <v>1256.21</v>
      </c>
      <c r="N27" s="57">
        <v>1286.78</v>
      </c>
    </row>
    <row r="28" spans="1:19" ht="16" x14ac:dyDescent="0.4">
      <c r="A28" s="61" t="s">
        <v>26</v>
      </c>
      <c r="B28" s="6">
        <v>96.742000000000004</v>
      </c>
      <c r="C28" s="7">
        <v>25.65</v>
      </c>
      <c r="D28" s="6">
        <f t="shared" si="1"/>
        <v>1632.3333333333333</v>
      </c>
      <c r="E28" s="6">
        <f t="shared" si="2"/>
        <v>1246.6133333333335</v>
      </c>
      <c r="F28" s="6">
        <v>73373</v>
      </c>
      <c r="G28" s="6">
        <f t="shared" si="0"/>
        <v>23.629977537267706</v>
      </c>
      <c r="H28" s="6">
        <f t="shared" si="3"/>
        <v>1628.5466666666669</v>
      </c>
      <c r="I28" s="52">
        <v>1644</v>
      </c>
      <c r="J28" s="52">
        <v>1630</v>
      </c>
      <c r="K28" s="53">
        <v>1623</v>
      </c>
      <c r="L28" s="57">
        <v>1300.8800000000001</v>
      </c>
      <c r="M28" s="57">
        <v>1215.54</v>
      </c>
      <c r="N28" s="57">
        <v>1223.42</v>
      </c>
      <c r="O28" s="49"/>
      <c r="P28" s="49"/>
      <c r="Q28" s="49"/>
      <c r="R28" s="49"/>
      <c r="S28" s="49"/>
    </row>
    <row r="29" spans="1:19" ht="16" x14ac:dyDescent="0.4">
      <c r="A29" s="61" t="s">
        <v>25</v>
      </c>
      <c r="B29" s="6">
        <v>95.512</v>
      </c>
      <c r="C29" s="7">
        <v>25.73</v>
      </c>
      <c r="D29" s="6">
        <f t="shared" si="1"/>
        <v>1608.3333333333333</v>
      </c>
      <c r="E29" s="6">
        <f t="shared" si="2"/>
        <v>1250.2166666666667</v>
      </c>
      <c r="F29" s="6">
        <v>67374</v>
      </c>
      <c r="G29" s="6">
        <f t="shared" si="0"/>
        <v>22.266321243523308</v>
      </c>
      <c r="H29" s="6">
        <f t="shared" si="3"/>
        <v>1611.9366666666665</v>
      </c>
      <c r="I29" s="52">
        <v>1611</v>
      </c>
      <c r="J29" s="52">
        <v>1608</v>
      </c>
      <c r="K29" s="53">
        <v>1606</v>
      </c>
      <c r="L29" s="57">
        <v>1269.1300000000001</v>
      </c>
      <c r="M29" s="57">
        <v>1212.81</v>
      </c>
      <c r="N29" s="57">
        <v>1268.71</v>
      </c>
    </row>
    <row r="30" spans="1:19" ht="16" x14ac:dyDescent="0.4">
      <c r="A30" s="61" t="s">
        <v>24</v>
      </c>
      <c r="B30" s="6">
        <v>95.207999999999998</v>
      </c>
      <c r="C30" s="7">
        <v>25.93</v>
      </c>
      <c r="D30" s="6">
        <f t="shared" si="1"/>
        <v>1593</v>
      </c>
      <c r="E30" s="6">
        <f t="shared" si="2"/>
        <v>1280.5033333333333</v>
      </c>
      <c r="F30" s="6">
        <v>82940</v>
      </c>
      <c r="G30" s="6">
        <f t="shared" si="0"/>
        <v>19.616865453023649</v>
      </c>
      <c r="H30" s="6">
        <f t="shared" si="3"/>
        <v>1623.2866666666666</v>
      </c>
      <c r="I30" s="52">
        <v>1603</v>
      </c>
      <c r="J30" s="52">
        <v>1602</v>
      </c>
      <c r="K30" s="53">
        <v>1574</v>
      </c>
      <c r="L30" s="57">
        <v>1312.64</v>
      </c>
      <c r="M30" s="57">
        <v>1230.1199999999999</v>
      </c>
      <c r="N30" s="57">
        <v>1298.75</v>
      </c>
    </row>
    <row r="31" spans="1:19" ht="16" x14ac:dyDescent="0.4">
      <c r="A31" s="61" t="s">
        <v>23</v>
      </c>
      <c r="B31" s="6">
        <v>96.805000000000007</v>
      </c>
      <c r="C31" s="7">
        <v>24.47</v>
      </c>
      <c r="D31" s="6">
        <f t="shared" si="1"/>
        <v>1561.6666666666667</v>
      </c>
      <c r="E31" s="6">
        <f t="shared" si="2"/>
        <v>1252.5166666666667</v>
      </c>
      <c r="F31" s="6">
        <v>78814</v>
      </c>
      <c r="G31" s="6">
        <f t="shared" si="0"/>
        <v>19.796157950907158</v>
      </c>
      <c r="H31" s="6">
        <f t="shared" si="3"/>
        <v>1533.68</v>
      </c>
      <c r="I31" s="52">
        <v>1555</v>
      </c>
      <c r="J31" s="52">
        <v>1567</v>
      </c>
      <c r="K31" s="53">
        <v>1563</v>
      </c>
      <c r="L31" s="57">
        <v>1236.6099999999999</v>
      </c>
      <c r="M31" s="57">
        <v>1257.8</v>
      </c>
      <c r="N31" s="57">
        <v>1263.1400000000001</v>
      </c>
    </row>
    <row r="32" spans="1:19" ht="16" x14ac:dyDescent="0.4">
      <c r="A32" s="61" t="s">
        <v>22</v>
      </c>
      <c r="B32" s="6">
        <v>97.001999999999995</v>
      </c>
      <c r="C32" s="7">
        <v>23.67</v>
      </c>
      <c r="D32" s="6">
        <f t="shared" si="1"/>
        <v>1551.6666666666667</v>
      </c>
      <c r="E32" s="6">
        <f t="shared" si="2"/>
        <v>1221.8433333333335</v>
      </c>
      <c r="F32" s="6">
        <v>79356</v>
      </c>
      <c r="G32" s="6">
        <f t="shared" si="0"/>
        <v>21.256068743286789</v>
      </c>
      <c r="H32" s="6">
        <f t="shared" si="3"/>
        <v>1520.9933333333336</v>
      </c>
      <c r="I32" s="52">
        <v>1562</v>
      </c>
      <c r="J32" s="52">
        <v>1550</v>
      </c>
      <c r="K32" s="53">
        <v>1543</v>
      </c>
      <c r="L32" s="57">
        <v>1277.4000000000001</v>
      </c>
      <c r="M32" s="57">
        <v>1166.1099999999999</v>
      </c>
      <c r="N32" s="57">
        <v>1222.02</v>
      </c>
    </row>
    <row r="33" spans="1:14" ht="16" x14ac:dyDescent="0.4">
      <c r="A33" s="61" t="s">
        <v>21</v>
      </c>
      <c r="B33" s="6">
        <v>97.194000000000003</v>
      </c>
      <c r="C33" s="7">
        <v>23.7</v>
      </c>
      <c r="D33" s="6">
        <f t="shared" si="1"/>
        <v>1556</v>
      </c>
      <c r="E33" s="6">
        <f t="shared" si="2"/>
        <v>1245.4933333333331</v>
      </c>
      <c r="F33" s="6">
        <v>77720</v>
      </c>
      <c r="G33" s="6">
        <f t="shared" si="0"/>
        <v>19.955441302485013</v>
      </c>
      <c r="H33" s="6">
        <f t="shared" si="3"/>
        <v>1579.6499999999996</v>
      </c>
      <c r="I33" s="52">
        <v>1546</v>
      </c>
      <c r="J33" s="52">
        <v>1559</v>
      </c>
      <c r="K33" s="53">
        <v>1563</v>
      </c>
      <c r="L33" s="57">
        <v>1229.83</v>
      </c>
      <c r="M33" s="57">
        <v>1232.74</v>
      </c>
      <c r="N33" s="57">
        <v>1273.9100000000001</v>
      </c>
    </row>
    <row r="34" spans="1:14" ht="16" x14ac:dyDescent="0.4">
      <c r="A34" s="61" t="s">
        <v>20</v>
      </c>
      <c r="B34" s="6">
        <v>96.650999999999996</v>
      </c>
      <c r="C34" s="7">
        <v>23.78</v>
      </c>
      <c r="D34" s="6">
        <f t="shared" si="1"/>
        <v>1551.3333333333333</v>
      </c>
      <c r="E34" s="6">
        <f t="shared" si="2"/>
        <v>1246.6166666666666</v>
      </c>
      <c r="F34" s="6">
        <v>90748</v>
      </c>
      <c r="G34" s="6">
        <f t="shared" ref="G34:G61" si="4">ABS(((E34*100/D34)-100)*-1)</f>
        <v>19.642243231628711</v>
      </c>
      <c r="H34" s="6">
        <f t="shared" si="3"/>
        <v>1552.4566666666667</v>
      </c>
      <c r="I34" s="52">
        <v>1554</v>
      </c>
      <c r="J34" s="52">
        <v>1549</v>
      </c>
      <c r="K34" s="53">
        <v>1551</v>
      </c>
      <c r="L34" s="57">
        <v>1277.72</v>
      </c>
      <c r="M34" s="57">
        <v>1225.57</v>
      </c>
      <c r="N34" s="57">
        <v>1236.56</v>
      </c>
    </row>
    <row r="35" spans="1:14" ht="16" x14ac:dyDescent="0.4">
      <c r="A35" s="61" t="s">
        <v>19</v>
      </c>
      <c r="B35" s="6">
        <v>100.687</v>
      </c>
      <c r="C35" s="7">
        <v>22.37</v>
      </c>
      <c r="D35" s="6">
        <f t="shared" si="1"/>
        <v>1549</v>
      </c>
      <c r="E35" s="6">
        <f t="shared" si="2"/>
        <v>1301.2366666666667</v>
      </c>
      <c r="F35" s="6">
        <v>87612</v>
      </c>
      <c r="G35" s="6">
        <f t="shared" si="4"/>
        <v>15.995050570260375</v>
      </c>
      <c r="H35" s="6">
        <f t="shared" ref="H35:H62" si="5">D35+(E35-E34)</f>
        <v>1603.6200000000001</v>
      </c>
      <c r="I35" s="52">
        <v>1548</v>
      </c>
      <c r="J35" s="52">
        <v>1552</v>
      </c>
      <c r="K35" s="53">
        <v>1547</v>
      </c>
      <c r="L35" s="57">
        <v>1307.98</v>
      </c>
      <c r="M35" s="57">
        <v>1280.53</v>
      </c>
      <c r="N35" s="57">
        <v>1315.2</v>
      </c>
    </row>
    <row r="36" spans="1:14" ht="16" x14ac:dyDescent="0.4">
      <c r="A36" s="61" t="s">
        <v>18</v>
      </c>
      <c r="B36" s="6">
        <v>101.358</v>
      </c>
      <c r="C36" s="7">
        <v>21.18</v>
      </c>
      <c r="D36" s="6">
        <f t="shared" si="1"/>
        <v>1530.6666666666667</v>
      </c>
      <c r="E36" s="6">
        <f t="shared" si="2"/>
        <v>1254.8799999999999</v>
      </c>
      <c r="F36" s="6">
        <v>93115</v>
      </c>
      <c r="G36" s="6">
        <f t="shared" si="4"/>
        <v>18.017421602787465</v>
      </c>
      <c r="H36" s="6">
        <f t="shared" si="5"/>
        <v>1484.31</v>
      </c>
      <c r="I36" s="52">
        <v>1544</v>
      </c>
      <c r="J36" s="52">
        <v>1526</v>
      </c>
      <c r="K36" s="53">
        <v>1522</v>
      </c>
      <c r="L36" s="57">
        <v>1320.46</v>
      </c>
      <c r="M36" s="57">
        <v>1163.08</v>
      </c>
      <c r="N36" s="57">
        <v>1281.0999999999999</v>
      </c>
    </row>
    <row r="37" spans="1:14" ht="16" x14ac:dyDescent="0.4">
      <c r="A37" s="61" t="s">
        <v>17</v>
      </c>
      <c r="B37" s="6">
        <v>101.30500000000001</v>
      </c>
      <c r="C37" s="7">
        <v>20.9</v>
      </c>
      <c r="D37" s="6">
        <f t="shared" si="1"/>
        <v>1526.3333333333333</v>
      </c>
      <c r="E37" s="6">
        <f t="shared" si="2"/>
        <v>1283.5133333333333</v>
      </c>
      <c r="F37" s="6">
        <v>84081</v>
      </c>
      <c r="G37" s="6">
        <f t="shared" si="4"/>
        <v>15.908713692946051</v>
      </c>
      <c r="H37" s="6">
        <f t="shared" si="5"/>
        <v>1554.9666666666667</v>
      </c>
      <c r="I37" s="52">
        <v>1525</v>
      </c>
      <c r="J37" s="52">
        <v>1526</v>
      </c>
      <c r="K37" s="53">
        <v>1528</v>
      </c>
      <c r="L37" s="57">
        <v>1255.8900000000001</v>
      </c>
      <c r="M37" s="57">
        <v>1281.94</v>
      </c>
      <c r="N37" s="57">
        <v>1312.71</v>
      </c>
    </row>
    <row r="38" spans="1:14" ht="16" x14ac:dyDescent="0.4">
      <c r="A38" s="61" t="s">
        <v>16</v>
      </c>
      <c r="B38" s="6">
        <v>102.77500000000001</v>
      </c>
      <c r="C38" s="7">
        <v>21</v>
      </c>
      <c r="D38" s="6">
        <f t="shared" si="1"/>
        <v>1525.6666666666667</v>
      </c>
      <c r="E38" s="6">
        <f t="shared" si="2"/>
        <v>1299.5466666666664</v>
      </c>
      <c r="F38" s="6">
        <v>99620</v>
      </c>
      <c r="G38" s="6">
        <f t="shared" si="4"/>
        <v>14.821061830893612</v>
      </c>
      <c r="H38" s="6">
        <f t="shared" si="5"/>
        <v>1541.6999999999998</v>
      </c>
      <c r="I38" s="52">
        <v>1524</v>
      </c>
      <c r="J38" s="52">
        <v>1526</v>
      </c>
      <c r="K38" s="53">
        <v>1527</v>
      </c>
      <c r="L38" s="57">
        <v>1331.29</v>
      </c>
      <c r="M38" s="57">
        <v>1273.03</v>
      </c>
      <c r="N38" s="57">
        <v>1294.32</v>
      </c>
    </row>
    <row r="39" spans="1:14" ht="16" x14ac:dyDescent="0.4">
      <c r="A39" s="61" t="s">
        <v>15</v>
      </c>
      <c r="B39" s="6">
        <v>104.601</v>
      </c>
      <c r="C39" s="7">
        <v>20</v>
      </c>
      <c r="D39" s="6">
        <f t="shared" si="1"/>
        <v>1518.3333333333333</v>
      </c>
      <c r="E39" s="6">
        <f t="shared" si="2"/>
        <v>1319.3233333333335</v>
      </c>
      <c r="F39" s="6">
        <v>108662</v>
      </c>
      <c r="G39" s="6">
        <f t="shared" si="4"/>
        <v>13.107135016465406</v>
      </c>
      <c r="H39" s="6">
        <f t="shared" si="5"/>
        <v>1538.1100000000004</v>
      </c>
      <c r="I39" s="52">
        <v>1524</v>
      </c>
      <c r="J39" s="52">
        <v>1516</v>
      </c>
      <c r="K39" s="53">
        <v>1515</v>
      </c>
      <c r="L39" s="57">
        <v>1304.6600000000001</v>
      </c>
      <c r="M39" s="57">
        <v>1313.93</v>
      </c>
      <c r="N39" s="57">
        <v>1339.38</v>
      </c>
    </row>
    <row r="40" spans="1:14" ht="16" x14ac:dyDescent="0.4">
      <c r="A40" s="61" t="s">
        <v>14</v>
      </c>
      <c r="B40" s="6">
        <v>105.431</v>
      </c>
      <c r="C40" s="7">
        <v>18.91</v>
      </c>
      <c r="D40" s="6">
        <f t="shared" si="1"/>
        <v>1506</v>
      </c>
      <c r="E40" s="6">
        <f t="shared" si="2"/>
        <v>1265.42</v>
      </c>
      <c r="F40" s="6">
        <v>103640</v>
      </c>
      <c r="G40" s="6">
        <f t="shared" si="4"/>
        <v>15.974767596281538</v>
      </c>
      <c r="H40" s="6">
        <f t="shared" si="5"/>
        <v>1452.0966666666666</v>
      </c>
      <c r="I40" s="52">
        <v>1509</v>
      </c>
      <c r="J40" s="52">
        <v>1512</v>
      </c>
      <c r="K40" s="53">
        <v>1497</v>
      </c>
      <c r="L40" s="57">
        <v>1340.07</v>
      </c>
      <c r="M40" s="57">
        <v>1156.1600000000001</v>
      </c>
      <c r="N40" s="57">
        <v>1300.03</v>
      </c>
    </row>
    <row r="41" spans="1:14" ht="16" x14ac:dyDescent="0.4">
      <c r="A41" s="61" t="s">
        <v>13</v>
      </c>
      <c r="B41" s="6">
        <v>105.848</v>
      </c>
      <c r="C41" s="7">
        <v>18.63</v>
      </c>
      <c r="D41" s="6">
        <f t="shared" si="1"/>
        <v>1507.6666666666667</v>
      </c>
      <c r="E41" s="6">
        <f t="shared" si="2"/>
        <v>1332.8966666666668</v>
      </c>
      <c r="F41" s="6">
        <v>93463</v>
      </c>
      <c r="G41" s="6">
        <f t="shared" si="4"/>
        <v>11.592084899403048</v>
      </c>
      <c r="H41" s="6">
        <f t="shared" si="5"/>
        <v>1575.1433333333334</v>
      </c>
      <c r="I41" s="52">
        <v>1496</v>
      </c>
      <c r="J41" s="52">
        <v>1506</v>
      </c>
      <c r="K41" s="53">
        <v>1521</v>
      </c>
      <c r="L41" s="57">
        <v>1341.26</v>
      </c>
      <c r="M41" s="57">
        <v>1299.7</v>
      </c>
      <c r="N41" s="57">
        <v>1357.73</v>
      </c>
    </row>
    <row r="42" spans="1:14" ht="16" x14ac:dyDescent="0.4">
      <c r="A42" s="61" t="s">
        <v>12</v>
      </c>
      <c r="B42" s="6">
        <v>108.239</v>
      </c>
      <c r="C42" s="7">
        <v>18.75</v>
      </c>
      <c r="D42" s="6">
        <f t="shared" si="1"/>
        <v>1525.3333333333333</v>
      </c>
      <c r="E42" s="6">
        <f t="shared" si="2"/>
        <v>1354.97</v>
      </c>
      <c r="F42" s="6">
        <v>114965</v>
      </c>
      <c r="G42" s="6">
        <f t="shared" si="4"/>
        <v>11.168924825174827</v>
      </c>
      <c r="H42" s="6">
        <f t="shared" si="5"/>
        <v>1547.4066666666665</v>
      </c>
      <c r="I42" s="52">
        <v>1524</v>
      </c>
      <c r="J42" s="52">
        <v>1522</v>
      </c>
      <c r="K42" s="53">
        <v>1530</v>
      </c>
      <c r="L42" s="57">
        <v>1368.55</v>
      </c>
      <c r="M42" s="57">
        <v>1349.41</v>
      </c>
      <c r="N42" s="57">
        <v>1346.95</v>
      </c>
    </row>
    <row r="43" spans="1:14" ht="16" x14ac:dyDescent="0.4">
      <c r="A43" s="61" t="s">
        <v>11</v>
      </c>
      <c r="B43" s="6">
        <v>110.41</v>
      </c>
      <c r="C43" s="7">
        <v>17.22</v>
      </c>
      <c r="D43" s="6">
        <f t="shared" si="1"/>
        <v>1538.3333333333333</v>
      </c>
      <c r="E43" s="6">
        <f t="shared" si="2"/>
        <v>1390.4066666666668</v>
      </c>
      <c r="F43" s="6">
        <v>121395</v>
      </c>
      <c r="G43" s="6">
        <f t="shared" si="4"/>
        <v>9.6160346695557735</v>
      </c>
      <c r="H43" s="6">
        <f t="shared" si="5"/>
        <v>1573.77</v>
      </c>
      <c r="I43" s="52">
        <v>1537</v>
      </c>
      <c r="J43" s="52">
        <v>1535</v>
      </c>
      <c r="K43" s="53">
        <v>1543</v>
      </c>
      <c r="L43" s="57">
        <v>1411.97</v>
      </c>
      <c r="M43" s="57">
        <v>1363.87</v>
      </c>
      <c r="N43" s="57">
        <v>1395.38</v>
      </c>
    </row>
    <row r="44" spans="1:14" ht="16" x14ac:dyDescent="0.4">
      <c r="A44" s="61" t="s">
        <v>10</v>
      </c>
      <c r="B44" s="6">
        <v>112.44199999999999</v>
      </c>
      <c r="C44" s="7">
        <v>16.38</v>
      </c>
      <c r="D44" s="6">
        <f t="shared" si="1"/>
        <v>1549.6666666666667</v>
      </c>
      <c r="E44" s="6">
        <f t="shared" si="2"/>
        <v>1353.1233333333332</v>
      </c>
      <c r="F44" s="6">
        <v>120069</v>
      </c>
      <c r="G44" s="6">
        <f t="shared" si="4"/>
        <v>12.68294256829428</v>
      </c>
      <c r="H44" s="6">
        <f t="shared" si="5"/>
        <v>1512.3833333333332</v>
      </c>
      <c r="I44" s="52">
        <v>1564</v>
      </c>
      <c r="J44" s="52">
        <v>1551</v>
      </c>
      <c r="K44" s="53">
        <v>1534</v>
      </c>
      <c r="L44" s="57">
        <v>1440.58</v>
      </c>
      <c r="M44" s="57">
        <v>1225.26</v>
      </c>
      <c r="N44" s="57">
        <v>1393.53</v>
      </c>
    </row>
    <row r="45" spans="1:14" ht="16" x14ac:dyDescent="0.4">
      <c r="A45" s="61" t="s">
        <v>9</v>
      </c>
      <c r="B45" s="6">
        <v>113.45699999999999</v>
      </c>
      <c r="C45" s="7">
        <v>16.55</v>
      </c>
      <c r="D45" s="6">
        <f t="shared" si="1"/>
        <v>1552</v>
      </c>
      <c r="E45" s="6">
        <f t="shared" si="2"/>
        <v>1369.5666666666666</v>
      </c>
      <c r="F45" s="6">
        <v>111215</v>
      </c>
      <c r="G45" s="6">
        <f t="shared" si="4"/>
        <v>11.754725085910664</v>
      </c>
      <c r="H45" s="6">
        <f t="shared" si="5"/>
        <v>1568.4433333333334</v>
      </c>
      <c r="I45" s="52">
        <v>1544</v>
      </c>
      <c r="J45" s="52">
        <v>1555</v>
      </c>
      <c r="K45" s="53">
        <v>1557</v>
      </c>
      <c r="L45" s="57">
        <v>1371.99</v>
      </c>
      <c r="M45" s="57">
        <v>1356.08</v>
      </c>
      <c r="N45" s="57">
        <v>1380.63</v>
      </c>
    </row>
    <row r="46" spans="1:14" ht="16" x14ac:dyDescent="0.4">
      <c r="A46" s="61" t="s">
        <v>8</v>
      </c>
      <c r="B46" s="6">
        <v>114.994</v>
      </c>
      <c r="C46" s="7">
        <v>16.739999999999998</v>
      </c>
      <c r="D46" s="6">
        <f t="shared" si="1"/>
        <v>1589</v>
      </c>
      <c r="E46" s="6">
        <f t="shared" si="2"/>
        <v>1372.1333333333332</v>
      </c>
      <c r="F46" s="6">
        <v>129164</v>
      </c>
      <c r="G46" s="6">
        <f t="shared" si="4"/>
        <v>13.64799664359137</v>
      </c>
      <c r="H46" s="6">
        <f t="shared" si="5"/>
        <v>1591.5666666666666</v>
      </c>
      <c r="I46" s="52">
        <v>1570</v>
      </c>
      <c r="J46" s="52">
        <v>1590</v>
      </c>
      <c r="K46" s="53">
        <v>1607</v>
      </c>
      <c r="L46" s="57">
        <v>1388.17</v>
      </c>
      <c r="M46" s="57">
        <v>1363.29</v>
      </c>
      <c r="N46" s="57">
        <v>1364.94</v>
      </c>
    </row>
    <row r="47" spans="1:14" ht="16" x14ac:dyDescent="0.4">
      <c r="A47" s="61" t="s">
        <v>7</v>
      </c>
      <c r="B47" s="6">
        <v>117.941</v>
      </c>
      <c r="C47" s="7">
        <v>15.28</v>
      </c>
      <c r="D47" s="6">
        <f t="shared" si="1"/>
        <v>1622</v>
      </c>
      <c r="E47" s="6">
        <f t="shared" si="2"/>
        <v>1413.0166666666667</v>
      </c>
      <c r="F47" s="6">
        <v>134405</v>
      </c>
      <c r="G47" s="6">
        <f t="shared" si="4"/>
        <v>12.88429921907111</v>
      </c>
      <c r="H47" s="6">
        <f t="shared" si="5"/>
        <v>1662.8833333333334</v>
      </c>
      <c r="I47" s="52">
        <v>1612</v>
      </c>
      <c r="J47" s="52">
        <v>1619</v>
      </c>
      <c r="K47" s="53">
        <v>1635</v>
      </c>
      <c r="L47" s="57">
        <v>1431.43</v>
      </c>
      <c r="M47" s="57">
        <v>1386.2</v>
      </c>
      <c r="N47" s="57">
        <v>1421.42</v>
      </c>
    </row>
    <row r="48" spans="1:14" ht="16" x14ac:dyDescent="0.4">
      <c r="A48" s="61" t="s">
        <v>6</v>
      </c>
      <c r="B48" s="6">
        <v>120.491</v>
      </c>
      <c r="C48" s="7">
        <v>14.55</v>
      </c>
      <c r="D48" s="6">
        <f t="shared" si="1"/>
        <v>1659</v>
      </c>
      <c r="E48" s="6">
        <f t="shared" si="2"/>
        <v>1403.5733333333335</v>
      </c>
      <c r="F48" s="6">
        <v>134156</v>
      </c>
      <c r="G48" s="6">
        <f t="shared" si="4"/>
        <v>15.396423548322275</v>
      </c>
      <c r="H48" s="6">
        <f t="shared" si="5"/>
        <v>1649.5566666666668</v>
      </c>
      <c r="I48" s="52">
        <v>1650</v>
      </c>
      <c r="J48" s="52">
        <v>1661</v>
      </c>
      <c r="K48" s="53">
        <v>1666</v>
      </c>
      <c r="L48" s="57">
        <v>1468</v>
      </c>
      <c r="M48" s="57">
        <v>1284.31</v>
      </c>
      <c r="N48" s="57">
        <v>1458.41</v>
      </c>
    </row>
    <row r="49" spans="1:14" ht="16" x14ac:dyDescent="0.4">
      <c r="A49" s="61" t="s">
        <v>5</v>
      </c>
      <c r="B49" s="6">
        <v>120.95399999999999</v>
      </c>
      <c r="C49" s="7">
        <v>14.45</v>
      </c>
      <c r="D49" s="6">
        <f t="shared" si="1"/>
        <v>1678.3333333333333</v>
      </c>
      <c r="E49" s="6">
        <f t="shared" si="2"/>
        <v>1422.2366666666667</v>
      </c>
      <c r="F49" s="6">
        <v>120259</v>
      </c>
      <c r="G49" s="6">
        <f t="shared" si="4"/>
        <v>15.258987090367427</v>
      </c>
      <c r="H49" s="6">
        <f t="shared" si="5"/>
        <v>1696.9966666666664</v>
      </c>
      <c r="I49" s="52">
        <v>1666</v>
      </c>
      <c r="J49" s="52">
        <v>1684</v>
      </c>
      <c r="K49" s="53">
        <v>1685</v>
      </c>
      <c r="L49" s="57">
        <v>1396.47</v>
      </c>
      <c r="M49" s="57">
        <v>1411.77</v>
      </c>
      <c r="N49" s="57">
        <v>1458.47</v>
      </c>
    </row>
    <row r="50" spans="1:14" ht="16" x14ac:dyDescent="0.4">
      <c r="A50" s="61" t="s">
        <v>4</v>
      </c>
      <c r="B50" s="6">
        <v>122.758</v>
      </c>
      <c r="C50" s="7">
        <v>14.7</v>
      </c>
      <c r="D50" s="6">
        <f t="shared" si="1"/>
        <v>1694.3333333333333</v>
      </c>
      <c r="E50" s="6">
        <f t="shared" si="2"/>
        <v>1421.96</v>
      </c>
      <c r="F50" s="6">
        <v>135031</v>
      </c>
      <c r="G50" s="6">
        <f t="shared" si="4"/>
        <v>16.07554593743852</v>
      </c>
      <c r="H50" s="6">
        <f t="shared" si="5"/>
        <v>1694.0566666666666</v>
      </c>
      <c r="I50" s="52">
        <v>1686</v>
      </c>
      <c r="J50" s="52">
        <v>1694</v>
      </c>
      <c r="K50" s="53">
        <v>1703</v>
      </c>
      <c r="L50" s="57">
        <v>1452.43</v>
      </c>
      <c r="M50" s="57">
        <v>1386.39</v>
      </c>
      <c r="N50" s="57">
        <v>1427.06</v>
      </c>
    </row>
    <row r="51" spans="1:14" ht="16" x14ac:dyDescent="0.4">
      <c r="A51" s="61" t="s">
        <v>3</v>
      </c>
      <c r="B51" s="6">
        <v>124.175</v>
      </c>
      <c r="C51" s="7">
        <v>14.02</v>
      </c>
      <c r="D51" s="6">
        <f t="shared" si="1"/>
        <v>1718</v>
      </c>
      <c r="E51" s="6">
        <f t="shared" si="2"/>
        <v>1425.34</v>
      </c>
      <c r="F51" s="6">
        <v>130987</v>
      </c>
      <c r="G51" s="6">
        <f t="shared" si="4"/>
        <v>17.034924330617002</v>
      </c>
      <c r="H51" s="6">
        <f t="shared" si="5"/>
        <v>1721.3799999999999</v>
      </c>
      <c r="I51" s="52">
        <v>1709</v>
      </c>
      <c r="J51" s="52">
        <v>1712</v>
      </c>
      <c r="K51" s="53">
        <v>1733</v>
      </c>
      <c r="L51" s="57">
        <v>1417.99</v>
      </c>
      <c r="M51" s="57">
        <v>1408.33</v>
      </c>
      <c r="N51" s="57">
        <v>1449.7</v>
      </c>
    </row>
    <row r="52" spans="1:14" ht="16" x14ac:dyDescent="0.4">
      <c r="A52" s="61" t="s">
        <v>2</v>
      </c>
      <c r="B52" s="6">
        <v>126.13500000000001</v>
      </c>
      <c r="C52" s="7">
        <v>13.92</v>
      </c>
      <c r="D52" s="6">
        <f>AVERAGE(I52:K52)</f>
        <v>1740.6666666666667</v>
      </c>
      <c r="E52" s="6">
        <f t="shared" si="2"/>
        <v>1449.3566666666666</v>
      </c>
      <c r="F52" s="6">
        <v>121256</v>
      </c>
      <c r="G52" s="6">
        <f t="shared" si="4"/>
        <v>16.735541937954821</v>
      </c>
      <c r="H52" s="6">
        <f t="shared" si="5"/>
        <v>1764.6833333333334</v>
      </c>
      <c r="I52" s="52">
        <v>1738</v>
      </c>
      <c r="J52" s="52">
        <v>1749</v>
      </c>
      <c r="K52" s="53">
        <v>1735</v>
      </c>
      <c r="L52" s="57">
        <v>1519.39</v>
      </c>
      <c r="M52" s="57">
        <v>1370.26</v>
      </c>
      <c r="N52" s="57">
        <v>1458.42</v>
      </c>
    </row>
    <row r="53" spans="1:14" ht="16" x14ac:dyDescent="0.4">
      <c r="A53" s="61" t="s">
        <v>1</v>
      </c>
      <c r="B53" s="6">
        <v>125.32</v>
      </c>
      <c r="C53" s="7">
        <v>13.78</v>
      </c>
      <c r="D53" s="6">
        <f t="shared" si="1"/>
        <v>1755</v>
      </c>
      <c r="E53" s="6">
        <f t="shared" si="2"/>
        <v>1449.9433333333334</v>
      </c>
      <c r="F53" s="6">
        <v>116272</v>
      </c>
      <c r="G53" s="6">
        <f t="shared" si="4"/>
        <v>17.382146248812916</v>
      </c>
      <c r="H53" s="6">
        <f t="shared" si="5"/>
        <v>1755.5866666666668</v>
      </c>
      <c r="I53" s="52">
        <v>1741</v>
      </c>
      <c r="J53" s="52">
        <v>1761</v>
      </c>
      <c r="K53" s="53">
        <v>1763</v>
      </c>
      <c r="L53" s="57">
        <v>1427.36</v>
      </c>
      <c r="M53" s="57">
        <v>1444.51</v>
      </c>
      <c r="N53" s="57">
        <v>1477.96</v>
      </c>
    </row>
    <row r="54" spans="1:14" ht="16" x14ac:dyDescent="0.4">
      <c r="A54" s="61" t="s">
        <v>0</v>
      </c>
      <c r="B54" s="6">
        <v>126.69499999999999</v>
      </c>
      <c r="C54" s="7">
        <v>14.41</v>
      </c>
      <c r="D54" s="6">
        <f t="shared" si="1"/>
        <v>1756</v>
      </c>
      <c r="E54" s="6">
        <f t="shared" si="2"/>
        <v>1460.38</v>
      </c>
      <c r="F54" s="6">
        <v>125837</v>
      </c>
      <c r="G54" s="6">
        <f t="shared" si="4"/>
        <v>16.834851936218683</v>
      </c>
      <c r="H54" s="6">
        <f t="shared" si="5"/>
        <v>1766.4366666666667</v>
      </c>
      <c r="I54" s="52">
        <v>1758</v>
      </c>
      <c r="J54" s="52">
        <v>1752</v>
      </c>
      <c r="K54" s="53">
        <v>1758</v>
      </c>
      <c r="L54" s="57">
        <v>1492</v>
      </c>
      <c r="M54" s="57">
        <v>1439.14</v>
      </c>
      <c r="N54" s="57">
        <v>1450</v>
      </c>
    </row>
    <row r="55" spans="1:14" ht="16" x14ac:dyDescent="0.4">
      <c r="A55" s="61" t="s">
        <v>53</v>
      </c>
      <c r="B55" s="6">
        <v>126.79900000000001</v>
      </c>
      <c r="C55" s="7">
        <v>15.33</v>
      </c>
      <c r="D55" s="6">
        <f t="shared" si="1"/>
        <v>1711</v>
      </c>
      <c r="E55" s="6">
        <f t="shared" si="2"/>
        <v>1477.6666666666667</v>
      </c>
      <c r="F55" s="6">
        <v>74657</v>
      </c>
      <c r="G55" s="6">
        <f t="shared" si="4"/>
        <v>13.637249172024141</v>
      </c>
      <c r="H55" s="6">
        <f t="shared" si="5"/>
        <v>1728.2866666666666</v>
      </c>
      <c r="I55" s="52">
        <v>1753</v>
      </c>
      <c r="J55" s="52">
        <v>1730</v>
      </c>
      <c r="K55" s="53">
        <v>1650</v>
      </c>
      <c r="L55" s="57">
        <v>1513</v>
      </c>
      <c r="M55" s="57">
        <v>1482</v>
      </c>
      <c r="N55" s="57">
        <v>1438</v>
      </c>
    </row>
    <row r="56" spans="1:14" ht="16" x14ac:dyDescent="0.4">
      <c r="A56" s="61" t="s">
        <v>54</v>
      </c>
      <c r="B56" s="6">
        <v>128.255</v>
      </c>
      <c r="C56" s="7">
        <v>16.260000000000002</v>
      </c>
      <c r="D56" s="6">
        <f t="shared" si="1"/>
        <v>1718</v>
      </c>
      <c r="E56" s="6">
        <f t="shared" si="2"/>
        <v>1369.3333333333333</v>
      </c>
      <c r="F56" s="6">
        <v>101887</v>
      </c>
      <c r="G56" s="6">
        <f t="shared" si="4"/>
        <v>20.294916569654646</v>
      </c>
      <c r="H56" s="6">
        <f t="shared" si="5"/>
        <v>1609.6666666666665</v>
      </c>
      <c r="I56" s="52">
        <v>1677</v>
      </c>
      <c r="J56" s="52">
        <v>1735</v>
      </c>
      <c r="K56" s="53">
        <v>1742</v>
      </c>
      <c r="L56" s="51">
        <v>1443</v>
      </c>
      <c r="M56" s="51">
        <v>1293</v>
      </c>
      <c r="N56" s="51">
        <v>1372</v>
      </c>
    </row>
    <row r="57" spans="1:14" ht="16" x14ac:dyDescent="0.4">
      <c r="A57" s="61" t="s">
        <v>55</v>
      </c>
      <c r="B57" s="6">
        <v>127.179</v>
      </c>
      <c r="C57" s="7">
        <v>16.13</v>
      </c>
      <c r="D57" s="6">
        <f t="shared" si="1"/>
        <v>1766.6666666666667</v>
      </c>
      <c r="E57" s="6">
        <f t="shared" si="2"/>
        <v>1409.6666666666667</v>
      </c>
      <c r="F57" s="6">
        <v>113367</v>
      </c>
      <c r="G57" s="10">
        <f t="shared" si="4"/>
        <v>20.207547169811306</v>
      </c>
      <c r="H57" s="6">
        <f t="shared" si="5"/>
        <v>1807.0000000000002</v>
      </c>
      <c r="I57" s="52">
        <v>1752</v>
      </c>
      <c r="J57" s="52">
        <v>1769</v>
      </c>
      <c r="K57" s="53">
        <v>1779</v>
      </c>
      <c r="L57" s="51">
        <v>1374</v>
      </c>
      <c r="M57" s="50">
        <v>1393</v>
      </c>
      <c r="N57" s="50">
        <v>1462</v>
      </c>
    </row>
    <row r="58" spans="1:14" ht="16" x14ac:dyDescent="0.4">
      <c r="A58" s="61" t="s">
        <v>56</v>
      </c>
      <c r="B58" s="6">
        <v>127.831</v>
      </c>
      <c r="C58" s="7">
        <v>15.98</v>
      </c>
      <c r="D58" s="6">
        <f t="shared" si="1"/>
        <v>1780.3333333333333</v>
      </c>
      <c r="E58" s="6">
        <f t="shared" si="2"/>
        <v>1457.6666666666667</v>
      </c>
      <c r="F58" s="6">
        <v>130270</v>
      </c>
      <c r="G58" s="10">
        <f t="shared" si="4"/>
        <v>18.123946826436978</v>
      </c>
      <c r="H58" s="6">
        <f t="shared" si="5"/>
        <v>1828.3333333333333</v>
      </c>
      <c r="I58" s="52">
        <v>1786</v>
      </c>
      <c r="J58" s="52">
        <v>1771</v>
      </c>
      <c r="K58" s="52">
        <v>1784</v>
      </c>
      <c r="L58" s="50">
        <v>1497</v>
      </c>
      <c r="M58" s="50">
        <v>1428</v>
      </c>
      <c r="N58" s="50">
        <v>1448</v>
      </c>
    </row>
    <row r="59" spans="1:14" ht="16" x14ac:dyDescent="0.4">
      <c r="A59" s="61" t="s">
        <v>57</v>
      </c>
      <c r="B59" s="6">
        <v>130.9</v>
      </c>
      <c r="C59" s="7">
        <v>15.26</v>
      </c>
      <c r="D59" s="6">
        <f t="shared" si="1"/>
        <v>1805</v>
      </c>
      <c r="E59" s="6">
        <f t="shared" si="2"/>
        <v>1500</v>
      </c>
      <c r="F59" s="6">
        <v>137445</v>
      </c>
      <c r="G59" s="10">
        <f t="shared" si="4"/>
        <v>16.89750692520775</v>
      </c>
      <c r="H59" s="6">
        <f t="shared" si="5"/>
        <v>1847.3333333333333</v>
      </c>
      <c r="I59" s="52">
        <v>1794</v>
      </c>
      <c r="J59" s="52">
        <v>1805</v>
      </c>
      <c r="K59" s="52">
        <v>1816</v>
      </c>
      <c r="L59" s="50">
        <v>1479</v>
      </c>
      <c r="M59" s="50">
        <v>1489</v>
      </c>
      <c r="N59" s="50">
        <v>1532</v>
      </c>
    </row>
    <row r="60" spans="1:14" ht="16" x14ac:dyDescent="0.4">
      <c r="A60" s="61" t="s">
        <v>58</v>
      </c>
      <c r="B60" s="6">
        <v>133.6</v>
      </c>
      <c r="C60" s="7">
        <v>14.57</v>
      </c>
      <c r="D60" s="6">
        <f t="shared" si="1"/>
        <v>1821.3333333333333</v>
      </c>
      <c r="E60" s="6">
        <f t="shared" si="2"/>
        <v>1515.6666666666667</v>
      </c>
      <c r="F60" s="6">
        <v>153552</v>
      </c>
      <c r="G60" s="10">
        <f t="shared" si="4"/>
        <v>16.782576866764259</v>
      </c>
      <c r="H60" s="6">
        <f t="shared" si="5"/>
        <v>1837</v>
      </c>
      <c r="I60" s="52">
        <v>1826</v>
      </c>
      <c r="J60" s="52">
        <v>1825</v>
      </c>
      <c r="K60" s="52">
        <v>1813</v>
      </c>
      <c r="L60" s="50">
        <v>1578</v>
      </c>
      <c r="M60" s="50">
        <v>1430</v>
      </c>
      <c r="N60" s="50">
        <v>1539</v>
      </c>
    </row>
    <row r="61" spans="1:14" ht="16" x14ac:dyDescent="0.4">
      <c r="A61" s="61" t="s">
        <v>59</v>
      </c>
      <c r="B61" s="6">
        <v>135.291</v>
      </c>
      <c r="C61" s="7">
        <v>13.33</v>
      </c>
      <c r="D61" s="6">
        <f t="shared" si="1"/>
        <v>1825.3333333333333</v>
      </c>
      <c r="E61" s="6">
        <f t="shared" si="2"/>
        <v>1553</v>
      </c>
      <c r="F61" s="6">
        <v>144256</v>
      </c>
      <c r="G61" s="10">
        <f t="shared" si="4"/>
        <v>14.919649379108833</v>
      </c>
      <c r="H61" s="6">
        <f t="shared" si="5"/>
        <v>1862.6666666666665</v>
      </c>
      <c r="I61" s="52">
        <v>1816</v>
      </c>
      <c r="J61" s="52">
        <v>1831</v>
      </c>
      <c r="K61" s="52">
        <v>1829</v>
      </c>
      <c r="L61" s="50">
        <v>1527</v>
      </c>
      <c r="M61" s="50">
        <v>1551</v>
      </c>
      <c r="N61" s="50">
        <v>1581</v>
      </c>
    </row>
    <row r="62" spans="1:14" ht="16" x14ac:dyDescent="0.4">
      <c r="A62" s="61" t="s">
        <v>67</v>
      </c>
      <c r="B62" s="63">
        <v>138.74</v>
      </c>
      <c r="C62" s="64">
        <v>13.65</v>
      </c>
      <c r="D62" s="63">
        <f t="shared" si="1"/>
        <v>1821</v>
      </c>
      <c r="E62" s="63">
        <f t="shared" si="2"/>
        <v>1617</v>
      </c>
      <c r="F62" s="63">
        <v>165579</v>
      </c>
      <c r="G62" s="10">
        <f>ABS(((E62*100/D62)-100)*-1)</f>
        <v>11.202635914332788</v>
      </c>
      <c r="H62" s="6">
        <f t="shared" si="5"/>
        <v>1885</v>
      </c>
      <c r="I62" s="52">
        <v>1824</v>
      </c>
      <c r="J62" s="52">
        <v>1814</v>
      </c>
      <c r="K62" s="52">
        <v>1825</v>
      </c>
      <c r="L62" s="50">
        <v>1651</v>
      </c>
      <c r="M62" s="50">
        <v>1578</v>
      </c>
      <c r="N62" s="50">
        <v>1622</v>
      </c>
    </row>
    <row r="63" spans="1:14" ht="16" x14ac:dyDescent="0.4">
      <c r="A63" s="61" t="s">
        <v>68</v>
      </c>
      <c r="B63" s="63">
        <v>141.43299999999999</v>
      </c>
      <c r="C63" s="64">
        <v>12.48</v>
      </c>
      <c r="D63" s="63">
        <f>AVERAGE(I63:K63)</f>
        <v>1866</v>
      </c>
      <c r="E63" s="63">
        <f>AVERAGE(L63:N63)</f>
        <v>1618.3333333333333</v>
      </c>
      <c r="F63" s="63">
        <v>165418</v>
      </c>
      <c r="G63" s="10">
        <f>ABS(((E63*100/D63)-100)*-1)</f>
        <v>13.272597356198659</v>
      </c>
      <c r="H63" s="6">
        <f>D63+(E63-E62)</f>
        <v>1867.3333333333333</v>
      </c>
      <c r="I63" s="52">
        <v>1853</v>
      </c>
      <c r="J63" s="52">
        <v>1869</v>
      </c>
      <c r="K63" s="52">
        <v>1876</v>
      </c>
      <c r="L63" s="50">
        <v>1607</v>
      </c>
      <c r="M63" s="50">
        <v>1604</v>
      </c>
      <c r="N63" s="50">
        <v>1644</v>
      </c>
    </row>
    <row r="64" spans="1:14" ht="16" x14ac:dyDescent="0.4">
      <c r="A64" s="61" t="s">
        <v>69</v>
      </c>
      <c r="B64" s="6">
        <v>143.86000000000001</v>
      </c>
      <c r="C64" s="7">
        <v>12.67</v>
      </c>
      <c r="D64" s="6">
        <f>AVERAGE(I64:K64)</f>
        <v>1892.3333333333333</v>
      </c>
      <c r="E64" s="63">
        <f>AVERAGE(L64:N64)</f>
        <v>1597</v>
      </c>
      <c r="F64" s="6">
        <v>168380</v>
      </c>
      <c r="G64" s="10">
        <f>ABS(((E64*100/D64)-100)*-1)</f>
        <v>15.606834595737183</v>
      </c>
      <c r="H64" s="6">
        <f>D64+(E64-E63)</f>
        <v>1871</v>
      </c>
      <c r="I64" s="52">
        <v>1888</v>
      </c>
      <c r="J64" s="52">
        <v>1896</v>
      </c>
      <c r="K64" s="52">
        <v>1893</v>
      </c>
      <c r="L64" s="50">
        <v>1695</v>
      </c>
      <c r="M64" s="50">
        <v>1499</v>
      </c>
      <c r="N64" s="50"/>
    </row>
    <row r="65" spans="1:14" ht="16" x14ac:dyDescent="0.4">
      <c r="A65" s="61" t="s">
        <v>70</v>
      </c>
      <c r="B65" s="6"/>
      <c r="C65" s="7"/>
      <c r="D65" s="6">
        <f>AVERAGE(I65:K65)</f>
        <v>1920</v>
      </c>
      <c r="E65" s="6"/>
      <c r="F65" s="6">
        <v>154485</v>
      </c>
      <c r="G65" s="5"/>
      <c r="H65" s="5"/>
      <c r="I65" s="52">
        <v>1910</v>
      </c>
      <c r="J65" s="52">
        <v>1929</v>
      </c>
      <c r="K65" s="52">
        <v>1921</v>
      </c>
      <c r="L65" s="50"/>
      <c r="M65" s="50"/>
      <c r="N65" s="50"/>
    </row>
    <row r="66" spans="1:14" x14ac:dyDescent="0.35">
      <c r="E66" s="135"/>
    </row>
  </sheetData>
  <mergeCells count="1">
    <mergeCell ref="O1:P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07D3-6AB3-4776-A127-BE339ED69CF3}">
  <dimension ref="A1:L47"/>
  <sheetViews>
    <sheetView workbookViewId="0">
      <selection activeCell="C4" sqref="C4"/>
    </sheetView>
  </sheetViews>
  <sheetFormatPr defaultRowHeight="14.5" x14ac:dyDescent="0.35"/>
  <sheetData>
    <row r="1" spans="1:12" s="68" customFormat="1" ht="18.5" x14ac:dyDescent="0.45">
      <c r="A1" s="65" t="s">
        <v>107</v>
      </c>
      <c r="B1" s="65"/>
      <c r="C1" s="65"/>
      <c r="D1" s="65"/>
      <c r="E1" s="65"/>
      <c r="F1" s="65"/>
      <c r="G1" s="65"/>
      <c r="H1" s="65"/>
      <c r="I1" s="65"/>
      <c r="J1" s="67"/>
    </row>
    <row r="2" spans="1:12" s="68" customFormat="1" ht="18.5" x14ac:dyDescent="0.45">
      <c r="A2" s="66" t="s">
        <v>106</v>
      </c>
      <c r="B2" s="66"/>
      <c r="C2" s="66"/>
      <c r="D2" s="66"/>
      <c r="E2" s="66"/>
      <c r="F2" s="66"/>
      <c r="G2" s="66"/>
      <c r="H2" s="66"/>
      <c r="I2" s="66"/>
      <c r="J2" s="69"/>
    </row>
    <row r="11" spans="1:12" x14ac:dyDescent="0.35">
      <c r="I11" s="3"/>
      <c r="J11" s="3"/>
      <c r="K11" s="3"/>
      <c r="L11" s="3"/>
    </row>
    <row r="12" spans="1:12" x14ac:dyDescent="0.35">
      <c r="I12" s="3"/>
      <c r="J12" s="3"/>
      <c r="K12" s="3"/>
      <c r="L12" s="3"/>
    </row>
    <row r="13" spans="1:12" x14ac:dyDescent="0.35">
      <c r="I13" s="3"/>
      <c r="J13" s="3"/>
      <c r="K13" s="3"/>
      <c r="L13" s="3"/>
    </row>
    <row r="14" spans="1:12" x14ac:dyDescent="0.35">
      <c r="I14" s="3"/>
      <c r="J14" s="3"/>
      <c r="K14" s="3"/>
      <c r="L14" s="3"/>
    </row>
    <row r="15" spans="1:12" x14ac:dyDescent="0.35">
      <c r="I15" s="3"/>
      <c r="J15" s="3"/>
      <c r="K15" s="3"/>
      <c r="L15" s="3"/>
    </row>
    <row r="16" spans="1:12" x14ac:dyDescent="0.35">
      <c r="I16" s="3"/>
      <c r="J16" s="3"/>
      <c r="K16" s="3"/>
      <c r="L16" s="3"/>
    </row>
    <row r="17" spans="9:12" x14ac:dyDescent="0.35">
      <c r="I17" s="3"/>
      <c r="J17" s="3"/>
      <c r="K17" s="3"/>
      <c r="L17" s="3"/>
    </row>
    <row r="18" spans="9:12" x14ac:dyDescent="0.35">
      <c r="I18" s="3"/>
      <c r="J18" s="3"/>
      <c r="K18" s="3"/>
      <c r="L18" s="3"/>
    </row>
    <row r="19" spans="9:12" x14ac:dyDescent="0.35">
      <c r="I19" s="3"/>
      <c r="J19" s="3"/>
      <c r="K19" s="3"/>
      <c r="L19" s="3"/>
    </row>
    <row r="20" spans="9:12" x14ac:dyDescent="0.35">
      <c r="I20" s="3"/>
      <c r="J20" s="3"/>
      <c r="K20" s="3"/>
      <c r="L20" s="3"/>
    </row>
    <row r="21" spans="9:12" x14ac:dyDescent="0.35">
      <c r="I21" s="3"/>
      <c r="J21" s="3"/>
      <c r="K21" s="3"/>
      <c r="L21" s="3"/>
    </row>
    <row r="22" spans="9:12" x14ac:dyDescent="0.35">
      <c r="I22" s="3"/>
      <c r="J22" s="3"/>
      <c r="K22" s="3"/>
      <c r="L22" s="3"/>
    </row>
    <row r="23" spans="9:12" x14ac:dyDescent="0.35">
      <c r="I23" s="3"/>
      <c r="J23" s="3"/>
      <c r="K23" s="3"/>
      <c r="L23" s="3"/>
    </row>
    <row r="24" spans="9:12" x14ac:dyDescent="0.35">
      <c r="I24" s="3"/>
      <c r="J24" s="3"/>
      <c r="K24" s="3"/>
      <c r="L24" s="3"/>
    </row>
    <row r="25" spans="9:12" x14ac:dyDescent="0.35">
      <c r="I25" s="3"/>
      <c r="J25" s="3"/>
      <c r="K25" s="3"/>
      <c r="L25" s="3"/>
    </row>
    <row r="26" spans="9:12" x14ac:dyDescent="0.35">
      <c r="I26" s="3"/>
      <c r="J26" s="3"/>
      <c r="K26" s="3"/>
      <c r="L26" s="3"/>
    </row>
    <row r="27" spans="9:12" x14ac:dyDescent="0.35">
      <c r="I27" s="3"/>
      <c r="J27" s="3"/>
      <c r="K27" s="3"/>
      <c r="L27" s="3"/>
    </row>
    <row r="28" spans="9:12" x14ac:dyDescent="0.35">
      <c r="I28" s="3"/>
      <c r="J28" s="3"/>
      <c r="K28" s="3"/>
      <c r="L28" s="3"/>
    </row>
    <row r="29" spans="9:12" x14ac:dyDescent="0.35">
      <c r="I29" s="3"/>
      <c r="J29" s="3"/>
      <c r="K29" s="3"/>
      <c r="L29" s="3"/>
    </row>
    <row r="30" spans="9:12" x14ac:dyDescent="0.35">
      <c r="I30" s="3"/>
      <c r="J30" s="3"/>
      <c r="K30" s="3"/>
      <c r="L30" s="3"/>
    </row>
    <row r="31" spans="9:12" x14ac:dyDescent="0.35">
      <c r="I31" s="3"/>
      <c r="J31" s="3"/>
      <c r="K31" s="3"/>
      <c r="L31" s="3"/>
    </row>
    <row r="32" spans="9:12" x14ac:dyDescent="0.35">
      <c r="I32" s="3"/>
      <c r="J32" s="3"/>
      <c r="K32" s="3"/>
      <c r="L32" s="3"/>
    </row>
    <row r="33" spans="9:12" x14ac:dyDescent="0.35">
      <c r="I33" s="3"/>
      <c r="J33" s="3"/>
      <c r="K33" s="3"/>
      <c r="L33" s="3"/>
    </row>
    <row r="34" spans="9:12" x14ac:dyDescent="0.35">
      <c r="I34" s="3"/>
      <c r="J34" s="3"/>
      <c r="K34" s="3"/>
      <c r="L34" s="3"/>
    </row>
    <row r="35" spans="9:12" x14ac:dyDescent="0.35">
      <c r="I35" s="3"/>
      <c r="J35" s="3"/>
      <c r="K35" s="3"/>
      <c r="L35" s="3"/>
    </row>
    <row r="36" spans="9:12" x14ac:dyDescent="0.35">
      <c r="I36" s="3"/>
      <c r="J36" s="3"/>
      <c r="K36" s="3"/>
      <c r="L36" s="3"/>
    </row>
    <row r="37" spans="9:12" x14ac:dyDescent="0.35">
      <c r="I37" s="3"/>
      <c r="J37" s="3"/>
      <c r="K37" s="3"/>
      <c r="L37" s="3"/>
    </row>
    <row r="38" spans="9:12" x14ac:dyDescent="0.35">
      <c r="I38" s="3"/>
      <c r="J38" s="3"/>
      <c r="K38" s="3"/>
      <c r="L38" s="3"/>
    </row>
    <row r="39" spans="9:12" x14ac:dyDescent="0.35">
      <c r="I39" s="3"/>
      <c r="J39" s="3"/>
      <c r="K39" s="3"/>
      <c r="L39" s="3"/>
    </row>
    <row r="40" spans="9:12" x14ac:dyDescent="0.35">
      <c r="I40" s="3"/>
      <c r="J40" s="3"/>
      <c r="K40" s="3"/>
      <c r="L40" s="3"/>
    </row>
    <row r="41" spans="9:12" x14ac:dyDescent="0.35">
      <c r="I41" s="3"/>
      <c r="J41" s="3"/>
      <c r="K41" s="3"/>
      <c r="L41" s="3"/>
    </row>
    <row r="42" spans="9:12" x14ac:dyDescent="0.35">
      <c r="I42" s="3"/>
      <c r="J42" s="3"/>
      <c r="K42" s="3"/>
      <c r="L42" s="3"/>
    </row>
    <row r="43" spans="9:12" x14ac:dyDescent="0.35">
      <c r="I43" s="3"/>
      <c r="J43" s="3"/>
      <c r="K43" s="3"/>
      <c r="L43" s="3"/>
    </row>
    <row r="44" spans="9:12" x14ac:dyDescent="0.35">
      <c r="I44" s="3"/>
      <c r="J44" s="3"/>
      <c r="K44" s="3"/>
      <c r="L44" s="3"/>
    </row>
    <row r="45" spans="9:12" x14ac:dyDescent="0.35">
      <c r="I45" s="3"/>
      <c r="J45" s="3"/>
      <c r="K45" s="3"/>
      <c r="L45" s="3"/>
    </row>
    <row r="46" spans="9:12" x14ac:dyDescent="0.35">
      <c r="I46" s="3"/>
      <c r="J46" s="3"/>
      <c r="K46" s="3"/>
      <c r="L46" s="3"/>
    </row>
    <row r="47" spans="9:12" x14ac:dyDescent="0.35">
      <c r="I47" s="3"/>
      <c r="J47" s="3"/>
      <c r="K47" s="3"/>
      <c r="L47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Yearly</vt:lpstr>
      <vt:lpstr>Quarterly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Spain Housing</dc:title>
  <dc:subject>Spanish housing market</dc:subject>
  <dc:creator/>
  <cp:keywords>Spain, Housing</cp:keywords>
  <dc:description>@HousingSpanish, spainhousing.xyz</dc:description>
  <cp:lastModifiedBy/>
  <cp:revision>1</cp:revision>
  <dcterms:created xsi:type="dcterms:W3CDTF">2021-01-04T22:15:51Z</dcterms:created>
  <dcterms:modified xsi:type="dcterms:W3CDTF">2023-01-16T18:13:39Z</dcterms:modified>
  <cp:category>Real Estate</cp:category>
  <dc:language/>
</cp:coreProperties>
</file>