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Z:\PUBLICO\12 - ORÇAMENTOS\ORÇAMENTOS - 2022\WILLIAM\"/>
    </mc:Choice>
  </mc:AlternateContent>
  <xr:revisionPtr revIDLastSave="0" documentId="13_ncr:1_{FF416334-410A-47D6-9610-2DE1FE2DDF00}" xr6:coauthVersionLast="47" xr6:coauthVersionMax="47" xr10:uidLastSave="{00000000-0000-0000-0000-000000000000}"/>
  <bookViews>
    <workbookView xWindow="-108" yWindow="-108" windowWidth="23256" windowHeight="12576" tabRatio="917" xr2:uid="{00000000-000D-0000-FFFF-FFFF00000000}"/>
  </bookViews>
  <sheets>
    <sheet name="DADOS" sheetId="22" r:id="rId1"/>
    <sheet name="Cálculo" sheetId="1" r:id="rId2"/>
    <sheet name="Gráficos" sheetId="17" r:id="rId3"/>
    <sheet name="Resumo dos Cálculos" sheetId="19" r:id="rId4"/>
    <sheet name="Dados compilados" sheetId="4" state="hidden" r:id="rId5"/>
    <sheet name="Painel e Inversor" sheetId="3" r:id="rId6"/>
    <sheet name="Temperatura" sheetId="14" state="hidden" r:id="rId7"/>
    <sheet name="Inclinação" sheetId="20" state="hidden" r:id="rId8"/>
    <sheet name="historico" sheetId="21" state="hidden" r:id="rId9"/>
  </sheets>
  <definedNames>
    <definedName name="_xlnm._FilterDatabase" localSheetId="6" hidden="1">Temperatura!$A$7:$Q$298</definedName>
    <definedName name="PerdaPot">'Dados compilados'!#REF!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22" l="1"/>
  <c r="Y59" i="3" l="1"/>
  <c r="AC61" i="3" l="1"/>
  <c r="S37" i="22" l="1"/>
  <c r="R37" i="22"/>
  <c r="Q37" i="22"/>
  <c r="P37" i="22"/>
  <c r="O37" i="22"/>
  <c r="R4" i="3" l="1"/>
  <c r="R5" i="3" s="1"/>
  <c r="D52" i="1"/>
  <c r="Z2" i="22"/>
  <c r="Y2" i="22"/>
  <c r="Q17" i="3" l="1"/>
  <c r="Q18" i="3" s="1"/>
  <c r="P17" i="3"/>
  <c r="P18" i="3" s="1"/>
  <c r="O17" i="3"/>
  <c r="O18" i="3" s="1"/>
  <c r="R18" i="3" l="1"/>
  <c r="R6" i="3"/>
  <c r="R15" i="3"/>
  <c r="R16" i="3"/>
  <c r="R7" i="3"/>
  <c r="R8" i="3"/>
  <c r="R14" i="3"/>
  <c r="R11" i="3"/>
  <c r="R17" i="3"/>
  <c r="B13" i="1" s="1"/>
  <c r="R10" i="3"/>
  <c r="R13" i="3"/>
  <c r="R9" i="3"/>
  <c r="R12" i="3"/>
  <c r="D28" i="22"/>
  <c r="P34" i="22" l="1"/>
  <c r="O34" i="22"/>
  <c r="K98" i="22" l="1"/>
  <c r="E18" i="1" l="1"/>
  <c r="P31" i="22" l="1"/>
  <c r="O31" i="22"/>
  <c r="R117" i="22" l="1"/>
  <c r="R118" i="22" s="1"/>
  <c r="R119" i="22" s="1"/>
  <c r="R120" i="22" s="1"/>
  <c r="R121" i="22" s="1"/>
  <c r="R122" i="22" s="1"/>
  <c r="R123" i="22" s="1"/>
  <c r="R124" i="22" s="1"/>
  <c r="R125" i="22" s="1"/>
  <c r="R126" i="22" s="1"/>
  <c r="R127" i="22" s="1"/>
  <c r="R128" i="22" s="1"/>
  <c r="R129" i="22" s="1"/>
  <c r="R130" i="22" s="1"/>
  <c r="R131" i="22" s="1"/>
  <c r="R132" i="22" s="1"/>
  <c r="R133" i="22" s="1"/>
  <c r="R134" i="22" s="1"/>
  <c r="R135" i="22" s="1"/>
  <c r="R136" i="22" s="1"/>
  <c r="R137" i="22" s="1"/>
  <c r="R138" i="22" s="1"/>
  <c r="R139" i="22" s="1"/>
  <c r="R140" i="22" s="1"/>
  <c r="R141" i="22" s="1"/>
  <c r="R142" i="22" s="1"/>
  <c r="C117" i="22"/>
  <c r="G118" i="22" s="1"/>
  <c r="C118" i="22" s="1"/>
  <c r="G119" i="22" s="1"/>
  <c r="C119" i="22" s="1"/>
  <c r="G120" i="22" s="1"/>
  <c r="C120" i="22" s="1"/>
  <c r="G121" i="22" s="1"/>
  <c r="C121" i="22" s="1"/>
  <c r="G122" i="22" s="1"/>
  <c r="C122" i="22" s="1"/>
  <c r="G123" i="22" s="1"/>
  <c r="C123" i="22" s="1"/>
  <c r="G124" i="22" s="1"/>
  <c r="C124" i="22" s="1"/>
  <c r="G125" i="22" s="1"/>
  <c r="C125" i="22" s="1"/>
  <c r="G126" i="22" s="1"/>
  <c r="C126" i="22" s="1"/>
  <c r="G127" i="22" s="1"/>
  <c r="C127" i="22" s="1"/>
  <c r="G128" i="22" s="1"/>
  <c r="C128" i="22" s="1"/>
  <c r="G129" i="22" s="1"/>
  <c r="C129" i="22" s="1"/>
  <c r="G130" i="22" s="1"/>
  <c r="C130" i="22" s="1"/>
  <c r="G131" i="22" s="1"/>
  <c r="C131" i="22" s="1"/>
  <c r="G132" i="22" s="1"/>
  <c r="C132" i="22" s="1"/>
  <c r="G133" i="22" s="1"/>
  <c r="C133" i="22" s="1"/>
  <c r="G134" i="22" s="1"/>
  <c r="C134" i="22" s="1"/>
  <c r="G135" i="22" s="1"/>
  <c r="C135" i="22" s="1"/>
  <c r="G136" i="22" s="1"/>
  <c r="C136" i="22" s="1"/>
  <c r="G137" i="22" s="1"/>
  <c r="C137" i="22" s="1"/>
  <c r="G138" i="22" s="1"/>
  <c r="C138" i="22" s="1"/>
  <c r="G139" i="22" s="1"/>
  <c r="C139" i="22" s="1"/>
  <c r="G140" i="22" s="1"/>
  <c r="C140" i="22" s="1"/>
  <c r="G141" i="22" s="1"/>
  <c r="C141" i="22" s="1"/>
  <c r="G142" i="22" s="1"/>
  <c r="C142" i="22" s="1"/>
  <c r="K95" i="22"/>
  <c r="C92" i="22" s="1"/>
  <c r="K100" i="22" s="1"/>
  <c r="N17" i="3"/>
  <c r="N18" i="3" s="1"/>
  <c r="M17" i="3"/>
  <c r="M18" i="3" s="1"/>
  <c r="S25" i="22"/>
  <c r="P22" i="22"/>
  <c r="P28" i="22"/>
  <c r="O28" i="22"/>
  <c r="R25" i="22"/>
  <c r="Q25" i="22"/>
  <c r="P25" i="22"/>
  <c r="O25" i="22"/>
  <c r="O22" i="22"/>
  <c r="L17" i="3"/>
  <c r="L18" i="3" s="1"/>
  <c r="K17" i="3"/>
  <c r="K18" i="3" s="1"/>
  <c r="C17" i="22"/>
  <c r="C18" i="22"/>
  <c r="C19" i="22"/>
  <c r="C20" i="22"/>
  <c r="C21" i="22"/>
  <c r="C22" i="22"/>
  <c r="C23" i="22"/>
  <c r="C24" i="22"/>
  <c r="C25" i="22"/>
  <c r="C26" i="22"/>
  <c r="C27" i="22"/>
  <c r="C16" i="22"/>
  <c r="I18" i="3"/>
  <c r="J17" i="3"/>
  <c r="J18" i="3" s="1"/>
  <c r="I29" i="22"/>
  <c r="H29" i="22"/>
  <c r="I28" i="22"/>
  <c r="H28" i="22"/>
  <c r="E29" i="22"/>
  <c r="F29" i="22"/>
  <c r="G29" i="22"/>
  <c r="D29" i="22"/>
  <c r="E28" i="22"/>
  <c r="F28" i="22"/>
  <c r="G28" i="22"/>
  <c r="J108" i="22" l="1"/>
  <c r="J111" i="22" s="1"/>
  <c r="A108" i="22"/>
  <c r="H108" i="22"/>
  <c r="H111" i="22" s="1"/>
  <c r="B108" i="22"/>
  <c r="B111" i="22" s="1"/>
  <c r="L108" i="22"/>
  <c r="L111" i="22" s="1"/>
  <c r="F108" i="22"/>
  <c r="F111" i="22" s="1"/>
  <c r="D108" i="22"/>
  <c r="D111" i="22" s="1"/>
  <c r="K108" i="22"/>
  <c r="K111" i="22" s="1"/>
  <c r="C108" i="22"/>
  <c r="C111" i="22" s="1"/>
  <c r="I108" i="22"/>
  <c r="I111" i="22" s="1"/>
  <c r="G108" i="22"/>
  <c r="G111" i="22" s="1"/>
  <c r="E108" i="22"/>
  <c r="E111" i="22" s="1"/>
  <c r="C28" i="22"/>
  <c r="P19" i="22"/>
  <c r="O19" i="22"/>
  <c r="M108" i="22" l="1"/>
  <c r="M111" i="22" s="1"/>
  <c r="N108" i="22"/>
  <c r="A111" i="22"/>
  <c r="N111" i="22" s="1"/>
  <c r="C52" i="1"/>
  <c r="P10" i="22" l="1"/>
  <c r="O10" i="22"/>
  <c r="P16" i="22" l="1"/>
  <c r="O16" i="22"/>
  <c r="O13" i="22" l="1"/>
  <c r="P13" i="22"/>
  <c r="J2" i="22" l="1"/>
  <c r="B20" i="19" l="1"/>
  <c r="P2" i="22" s="1"/>
  <c r="W2" i="22" s="1"/>
  <c r="D115" i="1" l="1"/>
  <c r="D114" i="1"/>
  <c r="D112" i="1"/>
  <c r="D110" i="1"/>
  <c r="D109" i="1"/>
  <c r="D108" i="1"/>
  <c r="D107" i="1"/>
  <c r="D82" i="1"/>
  <c r="D81" i="1"/>
  <c r="D76" i="1"/>
  <c r="D63" i="1"/>
  <c r="C23" i="1"/>
  <c r="H17" i="3"/>
  <c r="H18" i="3" s="1"/>
  <c r="I74" i="3" l="1"/>
  <c r="I75" i="3"/>
  <c r="B19" i="19"/>
  <c r="I62" i="3"/>
  <c r="I67" i="3"/>
  <c r="I71" i="3"/>
  <c r="I63" i="3"/>
  <c r="I68" i="3"/>
  <c r="I72" i="3"/>
  <c r="I73" i="3"/>
  <c r="I60" i="3"/>
  <c r="I64" i="3"/>
  <c r="I69" i="3"/>
  <c r="I61" i="3"/>
  <c r="I66" i="3"/>
  <c r="I70" i="3"/>
  <c r="F18" i="3"/>
  <c r="B28" i="19" l="1"/>
  <c r="S2" i="22" s="1"/>
  <c r="Y60" i="3"/>
  <c r="B19" i="1"/>
  <c r="L2" i="22"/>
  <c r="V45" i="22" s="1"/>
  <c r="W45" i="22" s="1"/>
  <c r="D111" i="1"/>
  <c r="D113" i="1"/>
  <c r="Y74" i="3" l="1"/>
  <c r="Y68" i="3"/>
  <c r="Y73" i="3"/>
  <c r="Y67" i="3"/>
  <c r="Y65" i="3"/>
  <c r="AC65" i="3" s="1"/>
  <c r="Y70" i="3"/>
  <c r="Y64" i="3"/>
  <c r="Y75" i="3"/>
  <c r="Y69" i="3"/>
  <c r="Y62" i="3"/>
  <c r="Y71" i="3"/>
  <c r="Y66" i="3"/>
  <c r="AC66" i="3" s="1"/>
  <c r="Y72" i="3"/>
  <c r="W99" i="22"/>
  <c r="X45" i="22" s="1"/>
  <c r="X2" i="22" s="1"/>
  <c r="V2" i="22" s="1"/>
  <c r="W98" i="22"/>
  <c r="AC62" i="3"/>
  <c r="AC63" i="3"/>
  <c r="G17" i="3"/>
  <c r="G18" i="3" s="1"/>
  <c r="AC64" i="3" l="1"/>
  <c r="E17" i="1"/>
  <c r="AA2" i="22" s="1"/>
  <c r="C21" i="1"/>
  <c r="D85" i="1" l="1"/>
  <c r="E17" i="3"/>
  <c r="E10" i="3"/>
  <c r="C51" i="1"/>
  <c r="D70" i="1"/>
  <c r="H70" i="1" s="1"/>
  <c r="B21" i="1"/>
  <c r="D116" i="1" s="1"/>
  <c r="B23" i="1" s="1"/>
  <c r="D105" i="1"/>
  <c r="C71" i="22"/>
  <c r="O13" i="4" s="1"/>
  <c r="S2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D13" i="4"/>
  <c r="D15" i="4"/>
  <c r="D16" i="4" s="1"/>
  <c r="E3" i="20"/>
  <c r="G5" i="20"/>
  <c r="H5" i="20" s="1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104" i="20"/>
  <c r="A105" i="20"/>
  <c r="A106" i="20"/>
  <c r="A107" i="20"/>
  <c r="A108" i="20"/>
  <c r="A109" i="20"/>
  <c r="A110" i="20"/>
  <c r="A111" i="20"/>
  <c r="A112" i="20"/>
  <c r="A113" i="20"/>
  <c r="A114" i="20"/>
  <c r="A115" i="20"/>
  <c r="A116" i="20"/>
  <c r="A117" i="20"/>
  <c r="A118" i="20"/>
  <c r="A119" i="20"/>
  <c r="A120" i="20"/>
  <c r="A121" i="20"/>
  <c r="A122" i="20"/>
  <c r="A123" i="20"/>
  <c r="A124" i="20"/>
  <c r="A125" i="20"/>
  <c r="A126" i="20"/>
  <c r="A127" i="20"/>
  <c r="A128" i="20"/>
  <c r="A129" i="20"/>
  <c r="A130" i="20"/>
  <c r="A131" i="20"/>
  <c r="A132" i="20"/>
  <c r="A133" i="20"/>
  <c r="A134" i="20"/>
  <c r="A135" i="20"/>
  <c r="A136" i="20"/>
  <c r="A137" i="20"/>
  <c r="A138" i="20"/>
  <c r="A139" i="20"/>
  <c r="A140" i="20"/>
  <c r="A141" i="20"/>
  <c r="A142" i="20"/>
  <c r="A143" i="20"/>
  <c r="A144" i="20"/>
  <c r="A145" i="20"/>
  <c r="A146" i="20"/>
  <c r="A147" i="20"/>
  <c r="A148" i="20"/>
  <c r="A149" i="20"/>
  <c r="A150" i="20"/>
  <c r="A151" i="20"/>
  <c r="A152" i="20"/>
  <c r="A153" i="20"/>
  <c r="A154" i="20"/>
  <c r="A155" i="20"/>
  <c r="A156" i="20"/>
  <c r="A157" i="20"/>
  <c r="A158" i="20"/>
  <c r="A159" i="20"/>
  <c r="A160" i="20"/>
  <c r="A161" i="20"/>
  <c r="A162" i="20"/>
  <c r="A163" i="20"/>
  <c r="A164" i="20"/>
  <c r="A165" i="20"/>
  <c r="A166" i="20"/>
  <c r="A167" i="20"/>
  <c r="A168" i="20"/>
  <c r="A169" i="20"/>
  <c r="A170" i="20"/>
  <c r="A171" i="20"/>
  <c r="A172" i="20"/>
  <c r="A173" i="20"/>
  <c r="A174" i="20"/>
  <c r="A175" i="20"/>
  <c r="A176" i="20"/>
  <c r="A177" i="20"/>
  <c r="A178" i="20"/>
  <c r="A179" i="20"/>
  <c r="A180" i="20"/>
  <c r="A181" i="20"/>
  <c r="A182" i="20"/>
  <c r="A183" i="20"/>
  <c r="A184" i="20"/>
  <c r="A185" i="20"/>
  <c r="A186" i="20"/>
  <c r="A187" i="20"/>
  <c r="A188" i="20"/>
  <c r="A189" i="20"/>
  <c r="A190" i="20"/>
  <c r="A191" i="20"/>
  <c r="A192" i="20"/>
  <c r="A193" i="20"/>
  <c r="A194" i="20"/>
  <c r="A195" i="20"/>
  <c r="A196" i="20"/>
  <c r="A197" i="20"/>
  <c r="A198" i="20"/>
  <c r="A199" i="20"/>
  <c r="A200" i="20"/>
  <c r="A201" i="20"/>
  <c r="A202" i="20"/>
  <c r="A203" i="20"/>
  <c r="A204" i="20"/>
  <c r="A205" i="20"/>
  <c r="A206" i="20"/>
  <c r="A207" i="20"/>
  <c r="A208" i="20"/>
  <c r="A209" i="20"/>
  <c r="A210" i="20"/>
  <c r="A211" i="20"/>
  <c r="A212" i="20"/>
  <c r="A213" i="20"/>
  <c r="A214" i="20"/>
  <c r="A215" i="20"/>
  <c r="A216" i="20"/>
  <c r="A217" i="20"/>
  <c r="A218" i="20"/>
  <c r="A219" i="20"/>
  <c r="A220" i="20"/>
  <c r="A221" i="20"/>
  <c r="A222" i="20"/>
  <c r="A223" i="20"/>
  <c r="A224" i="20"/>
  <c r="A225" i="20"/>
  <c r="A226" i="20"/>
  <c r="A227" i="20"/>
  <c r="A228" i="20"/>
  <c r="A229" i="20"/>
  <c r="A230" i="20"/>
  <c r="A231" i="20"/>
  <c r="A232" i="20"/>
  <c r="A233" i="20"/>
  <c r="A234" i="20"/>
  <c r="A235" i="20"/>
  <c r="A236" i="20"/>
  <c r="A237" i="20"/>
  <c r="A238" i="20"/>
  <c r="A239" i="20"/>
  <c r="A240" i="20"/>
  <c r="A241" i="20"/>
  <c r="A242" i="20"/>
  <c r="A243" i="20"/>
  <c r="A244" i="20"/>
  <c r="A245" i="20"/>
  <c r="A246" i="20"/>
  <c r="A247" i="20"/>
  <c r="A248" i="20"/>
  <c r="A249" i="20"/>
  <c r="A250" i="20"/>
  <c r="A251" i="20"/>
  <c r="A252" i="20"/>
  <c r="A253" i="20"/>
  <c r="A254" i="20"/>
  <c r="A255" i="20"/>
  <c r="A256" i="20"/>
  <c r="A257" i="20"/>
  <c r="A258" i="20"/>
  <c r="A259" i="20"/>
  <c r="A260" i="20"/>
  <c r="A261" i="20"/>
  <c r="A262" i="20"/>
  <c r="A263" i="20"/>
  <c r="A264" i="20"/>
  <c r="A265" i="20"/>
  <c r="A266" i="20"/>
  <c r="A267" i="20"/>
  <c r="A268" i="20"/>
  <c r="A269" i="20"/>
  <c r="A270" i="20"/>
  <c r="A271" i="20"/>
  <c r="A272" i="20"/>
  <c r="A273" i="20"/>
  <c r="A274" i="20"/>
  <c r="A275" i="20"/>
  <c r="A276" i="20"/>
  <c r="A277" i="20"/>
  <c r="A278" i="20"/>
  <c r="A279" i="20"/>
  <c r="A280" i="20"/>
  <c r="A281" i="20"/>
  <c r="A282" i="20"/>
  <c r="A283" i="20"/>
  <c r="A284" i="20"/>
  <c r="A285" i="20"/>
  <c r="A286" i="20"/>
  <c r="A287" i="20"/>
  <c r="A288" i="20"/>
  <c r="A289" i="20"/>
  <c r="A290" i="20"/>
  <c r="A291" i="20"/>
  <c r="A292" i="20"/>
  <c r="A293" i="20"/>
  <c r="A294" i="20"/>
  <c r="A295" i="20"/>
  <c r="A296" i="20"/>
  <c r="A297" i="20"/>
  <c r="A298" i="20"/>
  <c r="A299" i="20"/>
  <c r="A300" i="20"/>
  <c r="A301" i="20"/>
  <c r="A302" i="20"/>
  <c r="A303" i="20"/>
  <c r="A304" i="20"/>
  <c r="A305" i="20"/>
  <c r="A306" i="20"/>
  <c r="A307" i="20"/>
  <c r="A308" i="20"/>
  <c r="A309" i="20"/>
  <c r="A310" i="20"/>
  <c r="A311" i="20"/>
  <c r="A312" i="20"/>
  <c r="A313" i="20"/>
  <c r="A314" i="20"/>
  <c r="A315" i="20"/>
  <c r="A316" i="20"/>
  <c r="A317" i="20"/>
  <c r="A318" i="20"/>
  <c r="A319" i="20"/>
  <c r="A320" i="20"/>
  <c r="A321" i="20"/>
  <c r="A322" i="20"/>
  <c r="A323" i="20"/>
  <c r="A324" i="20"/>
  <c r="A325" i="20"/>
  <c r="A326" i="20"/>
  <c r="A327" i="20"/>
  <c r="A328" i="20"/>
  <c r="A329" i="20"/>
  <c r="A330" i="20"/>
  <c r="A331" i="20"/>
  <c r="A332" i="20"/>
  <c r="A333" i="20"/>
  <c r="A334" i="20"/>
  <c r="A335" i="20"/>
  <c r="A336" i="20"/>
  <c r="A337" i="20"/>
  <c r="A338" i="20"/>
  <c r="A339" i="20"/>
  <c r="A340" i="20"/>
  <c r="A341" i="20"/>
  <c r="A342" i="20"/>
  <c r="A343" i="20"/>
  <c r="A344" i="20"/>
  <c r="A345" i="20"/>
  <c r="A346" i="20"/>
  <c r="A347" i="20"/>
  <c r="A348" i="20"/>
  <c r="A349" i="20"/>
  <c r="A350" i="20"/>
  <c r="A351" i="20"/>
  <c r="A352" i="20"/>
  <c r="A353" i="20"/>
  <c r="A354" i="20"/>
  <c r="A355" i="20"/>
  <c r="A356" i="20"/>
  <c r="A357" i="20"/>
  <c r="A358" i="20"/>
  <c r="A359" i="20"/>
  <c r="A360" i="20"/>
  <c r="A361" i="20"/>
  <c r="A362" i="20"/>
  <c r="A363" i="20"/>
  <c r="A364" i="20"/>
  <c r="A365" i="20"/>
  <c r="A366" i="20"/>
  <c r="A367" i="20"/>
  <c r="A368" i="20"/>
  <c r="A369" i="20"/>
  <c r="A370" i="20"/>
  <c r="A371" i="20"/>
  <c r="A372" i="20"/>
  <c r="A373" i="20"/>
  <c r="A374" i="20"/>
  <c r="A375" i="20"/>
  <c r="A376" i="20"/>
  <c r="A377" i="20"/>
  <c r="A378" i="20"/>
  <c r="A379" i="20"/>
  <c r="A380" i="20"/>
  <c r="A381" i="20"/>
  <c r="A382" i="20"/>
  <c r="A383" i="20"/>
  <c r="A384" i="20"/>
  <c r="A385" i="20"/>
  <c r="A386" i="20"/>
  <c r="A387" i="20"/>
  <c r="A388" i="20"/>
  <c r="A389" i="20"/>
  <c r="A390" i="20"/>
  <c r="A391" i="20"/>
  <c r="A392" i="20"/>
  <c r="A393" i="20"/>
  <c r="A394" i="20"/>
  <c r="A395" i="20"/>
  <c r="A396" i="20"/>
  <c r="A397" i="20"/>
  <c r="A398" i="20"/>
  <c r="A399" i="20"/>
  <c r="A400" i="20"/>
  <c r="A401" i="20"/>
  <c r="A402" i="20"/>
  <c r="A403" i="20"/>
  <c r="A404" i="20"/>
  <c r="A405" i="20"/>
  <c r="A406" i="20"/>
  <c r="A407" i="20"/>
  <c r="A408" i="20"/>
  <c r="A409" i="20"/>
  <c r="A410" i="20"/>
  <c r="A411" i="20"/>
  <c r="A412" i="20"/>
  <c r="A413" i="20"/>
  <c r="A414" i="20"/>
  <c r="A415" i="20"/>
  <c r="A416" i="20"/>
  <c r="A417" i="20"/>
  <c r="A418" i="20"/>
  <c r="A419" i="20"/>
  <c r="A420" i="20"/>
  <c r="A421" i="20"/>
  <c r="A422" i="20"/>
  <c r="A423" i="20"/>
  <c r="A424" i="20"/>
  <c r="A425" i="20"/>
  <c r="A426" i="20"/>
  <c r="A427" i="20"/>
  <c r="A428" i="20"/>
  <c r="A429" i="20"/>
  <c r="A430" i="20"/>
  <c r="A431" i="20"/>
  <c r="A432" i="20"/>
  <c r="A433" i="20"/>
  <c r="A434" i="20"/>
  <c r="A435" i="20"/>
  <c r="A436" i="20"/>
  <c r="A437" i="20"/>
  <c r="A438" i="20"/>
  <c r="A439" i="20"/>
  <c r="A440" i="20"/>
  <c r="A441" i="20"/>
  <c r="A442" i="20"/>
  <c r="A443" i="20"/>
  <c r="A444" i="20"/>
  <c r="A445" i="20"/>
  <c r="A446" i="20"/>
  <c r="A447" i="20"/>
  <c r="A448" i="20"/>
  <c r="A449" i="20"/>
  <c r="A450" i="20"/>
  <c r="A451" i="20"/>
  <c r="A452" i="20"/>
  <c r="A453" i="20"/>
  <c r="A454" i="20"/>
  <c r="A455" i="20"/>
  <c r="A456" i="20"/>
  <c r="A457" i="20"/>
  <c r="A458" i="20"/>
  <c r="A459" i="20"/>
  <c r="A460" i="20"/>
  <c r="A461" i="20"/>
  <c r="A462" i="20"/>
  <c r="A463" i="20"/>
  <c r="A464" i="20"/>
  <c r="A465" i="20"/>
  <c r="A466" i="20"/>
  <c r="A467" i="20"/>
  <c r="A468" i="20"/>
  <c r="A469" i="20"/>
  <c r="A470" i="20"/>
  <c r="A471" i="20"/>
  <c r="A472" i="20"/>
  <c r="A473" i="20"/>
  <c r="A474" i="20"/>
  <c r="A475" i="20"/>
  <c r="A476" i="20"/>
  <c r="A477" i="20"/>
  <c r="A478" i="20"/>
  <c r="A479" i="20"/>
  <c r="A480" i="20"/>
  <c r="A481" i="20"/>
  <c r="A482" i="20"/>
  <c r="A483" i="20"/>
  <c r="A484" i="20"/>
  <c r="A485" i="20"/>
  <c r="A486" i="20"/>
  <c r="A487" i="20"/>
  <c r="A488" i="20"/>
  <c r="A489" i="20"/>
  <c r="A490" i="20"/>
  <c r="A491" i="20"/>
  <c r="A492" i="20"/>
  <c r="A493" i="20"/>
  <c r="A494" i="20"/>
  <c r="A495" i="20"/>
  <c r="A496" i="20"/>
  <c r="A497" i="20"/>
  <c r="A498" i="20"/>
  <c r="A499" i="20"/>
  <c r="A500" i="20"/>
  <c r="A501" i="20"/>
  <c r="A502" i="20"/>
  <c r="A503" i="20"/>
  <c r="A504" i="20"/>
  <c r="A505" i="20"/>
  <c r="A506" i="20"/>
  <c r="A507" i="20"/>
  <c r="A508" i="20"/>
  <c r="A509" i="20"/>
  <c r="A510" i="20"/>
  <c r="A511" i="20"/>
  <c r="A512" i="20"/>
  <c r="A513" i="20"/>
  <c r="A514" i="20"/>
  <c r="A515" i="20"/>
  <c r="A516" i="20"/>
  <c r="A517" i="20"/>
  <c r="A518" i="20"/>
  <c r="A519" i="20"/>
  <c r="A520" i="20"/>
  <c r="A521" i="20"/>
  <c r="A522" i="20"/>
  <c r="A523" i="20"/>
  <c r="A524" i="20"/>
  <c r="A525" i="20"/>
  <c r="A526" i="20"/>
  <c r="A527" i="20"/>
  <c r="A528" i="20"/>
  <c r="A529" i="20"/>
  <c r="A530" i="20"/>
  <c r="A531" i="20"/>
  <c r="A532" i="20"/>
  <c r="A533" i="20"/>
  <c r="A534" i="20"/>
  <c r="A535" i="20"/>
  <c r="A536" i="20"/>
  <c r="A537" i="20"/>
  <c r="A538" i="20"/>
  <c r="A539" i="20"/>
  <c r="A540" i="20"/>
  <c r="A541" i="20"/>
  <c r="A542" i="20"/>
  <c r="A543" i="20"/>
  <c r="A544" i="20"/>
  <c r="A545" i="20"/>
  <c r="A546" i="20"/>
  <c r="A547" i="20"/>
  <c r="A548" i="20"/>
  <c r="A549" i="20"/>
  <c r="A550" i="20"/>
  <c r="A551" i="20"/>
  <c r="A552" i="20"/>
  <c r="A553" i="20"/>
  <c r="A554" i="20"/>
  <c r="A555" i="20"/>
  <c r="A556" i="20"/>
  <c r="A557" i="20"/>
  <c r="A558" i="20"/>
  <c r="A559" i="20"/>
  <c r="A560" i="20"/>
  <c r="A561" i="20"/>
  <c r="A562" i="20"/>
  <c r="A563" i="20"/>
  <c r="A564" i="20"/>
  <c r="A565" i="20"/>
  <c r="A566" i="20"/>
  <c r="A567" i="20"/>
  <c r="A568" i="20"/>
  <c r="A569" i="20"/>
  <c r="A570" i="20"/>
  <c r="A571" i="20"/>
  <c r="A572" i="20"/>
  <c r="A573" i="20"/>
  <c r="A574" i="20"/>
  <c r="A575" i="20"/>
  <c r="A576" i="20"/>
  <c r="A577" i="20"/>
  <c r="A578" i="20"/>
  <c r="A579" i="20"/>
  <c r="A580" i="20"/>
  <c r="A581" i="20"/>
  <c r="A582" i="20"/>
  <c r="A583" i="20"/>
  <c r="A584" i="20"/>
  <c r="A585" i="20"/>
  <c r="A586" i="20"/>
  <c r="A587" i="20"/>
  <c r="A588" i="20"/>
  <c r="A589" i="20"/>
  <c r="A590" i="20"/>
  <c r="A591" i="20"/>
  <c r="A592" i="20"/>
  <c r="A593" i="20"/>
  <c r="A594" i="20"/>
  <c r="A595" i="20"/>
  <c r="A596" i="20"/>
  <c r="A597" i="20"/>
  <c r="A598" i="20"/>
  <c r="A599" i="20"/>
  <c r="A600" i="20"/>
  <c r="A601" i="20"/>
  <c r="A602" i="20"/>
  <c r="A603" i="20"/>
  <c r="A604" i="20"/>
  <c r="A605" i="20"/>
  <c r="A606" i="20"/>
  <c r="A607" i="20"/>
  <c r="A608" i="20"/>
  <c r="A609" i="20"/>
  <c r="A610" i="20"/>
  <c r="A611" i="20"/>
  <c r="A612" i="20"/>
  <c r="A613" i="20"/>
  <c r="A614" i="20"/>
  <c r="A615" i="20"/>
  <c r="A616" i="20"/>
  <c r="A617" i="20"/>
  <c r="A618" i="20"/>
  <c r="A619" i="20"/>
  <c r="A620" i="20"/>
  <c r="A621" i="20"/>
  <c r="A622" i="20"/>
  <c r="A623" i="20"/>
  <c r="A624" i="20"/>
  <c r="A625" i="20"/>
  <c r="A626" i="20"/>
  <c r="A627" i="20"/>
  <c r="A628" i="20"/>
  <c r="A629" i="20"/>
  <c r="A630" i="20"/>
  <c r="A631" i="20"/>
  <c r="A632" i="20"/>
  <c r="A633" i="20"/>
  <c r="A634" i="20"/>
  <c r="A635" i="20"/>
  <c r="A636" i="20"/>
  <c r="A637" i="20"/>
  <c r="A638" i="20"/>
  <c r="A639" i="20"/>
  <c r="A640" i="20"/>
  <c r="A641" i="20"/>
  <c r="A642" i="20"/>
  <c r="A643" i="20"/>
  <c r="A644" i="20"/>
  <c r="A645" i="20"/>
  <c r="A646" i="20"/>
  <c r="A647" i="20"/>
  <c r="A648" i="20"/>
  <c r="A649" i="20"/>
  <c r="A650" i="20"/>
  <c r="A651" i="20"/>
  <c r="A652" i="20"/>
  <c r="A653" i="20"/>
  <c r="A654" i="20"/>
  <c r="A655" i="20"/>
  <c r="A656" i="20"/>
  <c r="A657" i="20"/>
  <c r="A658" i="20"/>
  <c r="A659" i="20"/>
  <c r="A660" i="20"/>
  <c r="A661" i="20"/>
  <c r="A662" i="20"/>
  <c r="A663" i="20"/>
  <c r="A664" i="20"/>
  <c r="A665" i="20"/>
  <c r="A666" i="20"/>
  <c r="A667" i="20"/>
  <c r="A668" i="20"/>
  <c r="A669" i="20"/>
  <c r="A670" i="20"/>
  <c r="A671" i="20"/>
  <c r="A672" i="20"/>
  <c r="A673" i="20"/>
  <c r="A674" i="20"/>
  <c r="A675" i="20"/>
  <c r="A676" i="20"/>
  <c r="A677" i="20"/>
  <c r="A678" i="20"/>
  <c r="A679" i="20"/>
  <c r="A680" i="20"/>
  <c r="A681" i="20"/>
  <c r="A682" i="20"/>
  <c r="A683" i="20"/>
  <c r="A684" i="20"/>
  <c r="A685" i="20"/>
  <c r="A686" i="20"/>
  <c r="A687" i="20"/>
  <c r="A688" i="20"/>
  <c r="A689" i="20"/>
  <c r="A690" i="20"/>
  <c r="A691" i="20"/>
  <c r="A692" i="20"/>
  <c r="A693" i="20"/>
  <c r="A694" i="20"/>
  <c r="A695" i="20"/>
  <c r="A696" i="20"/>
  <c r="A697" i="20"/>
  <c r="A698" i="20"/>
  <c r="A699" i="20"/>
  <c r="A700" i="20"/>
  <c r="A701" i="20"/>
  <c r="A702" i="20"/>
  <c r="A703" i="20"/>
  <c r="A704" i="20"/>
  <c r="A705" i="20"/>
  <c r="A706" i="20"/>
  <c r="A707" i="20"/>
  <c r="A708" i="20"/>
  <c r="A709" i="20"/>
  <c r="A710" i="20"/>
  <c r="A711" i="20"/>
  <c r="A712" i="20"/>
  <c r="A713" i="20"/>
  <c r="A714" i="20"/>
  <c r="A715" i="20"/>
  <c r="A716" i="20"/>
  <c r="A717" i="20"/>
  <c r="A718" i="20"/>
  <c r="A719" i="20"/>
  <c r="A720" i="20"/>
  <c r="A721" i="20"/>
  <c r="A722" i="20"/>
  <c r="A723" i="20"/>
  <c r="A724" i="20"/>
  <c r="A725" i="20"/>
  <c r="A726" i="20"/>
  <c r="A727" i="20"/>
  <c r="A728" i="20"/>
  <c r="A729" i="20"/>
  <c r="A730" i="20"/>
  <c r="A731" i="20"/>
  <c r="A732" i="20"/>
  <c r="A733" i="20"/>
  <c r="A734" i="20"/>
  <c r="A735" i="20"/>
  <c r="A736" i="20"/>
  <c r="A737" i="20"/>
  <c r="A738" i="20"/>
  <c r="A739" i="20"/>
  <c r="A740" i="20"/>
  <c r="A741" i="20"/>
  <c r="A742" i="20"/>
  <c r="A743" i="20"/>
  <c r="A744" i="20"/>
  <c r="A745" i="20"/>
  <c r="A746" i="20"/>
  <c r="A747" i="20"/>
  <c r="A748" i="20"/>
  <c r="A749" i="20"/>
  <c r="A750" i="20"/>
  <c r="A751" i="20"/>
  <c r="A752" i="20"/>
  <c r="A753" i="20"/>
  <c r="A754" i="20"/>
  <c r="A755" i="20"/>
  <c r="A756" i="20"/>
  <c r="A757" i="20"/>
  <c r="A758" i="20"/>
  <c r="A759" i="20"/>
  <c r="A760" i="20"/>
  <c r="A761" i="20"/>
  <c r="A762" i="20"/>
  <c r="A763" i="20"/>
  <c r="A764" i="20"/>
  <c r="A765" i="20"/>
  <c r="A766" i="20"/>
  <c r="A767" i="20"/>
  <c r="A768" i="20"/>
  <c r="A769" i="20"/>
  <c r="A770" i="20"/>
  <c r="A771" i="20"/>
  <c r="A772" i="20"/>
  <c r="A773" i="20"/>
  <c r="A774" i="20"/>
  <c r="A775" i="20"/>
  <c r="A776" i="20"/>
  <c r="A777" i="20"/>
  <c r="A778" i="20"/>
  <c r="A779" i="20"/>
  <c r="A780" i="20"/>
  <c r="A781" i="20"/>
  <c r="A782" i="20"/>
  <c r="A783" i="20"/>
  <c r="A784" i="20"/>
  <c r="A785" i="20"/>
  <c r="A786" i="20"/>
  <c r="A787" i="20"/>
  <c r="A788" i="20"/>
  <c r="A789" i="20"/>
  <c r="A790" i="20"/>
  <c r="A791" i="20"/>
  <c r="A792" i="20"/>
  <c r="A793" i="20"/>
  <c r="A794" i="20"/>
  <c r="A795" i="20"/>
  <c r="A796" i="20"/>
  <c r="A797" i="20"/>
  <c r="A798" i="20"/>
  <c r="A799" i="20"/>
  <c r="A800" i="20"/>
  <c r="A801" i="20"/>
  <c r="A802" i="20"/>
  <c r="A803" i="20"/>
  <c r="A804" i="20"/>
  <c r="A805" i="20"/>
  <c r="A806" i="20"/>
  <c r="A807" i="20"/>
  <c r="A808" i="20"/>
  <c r="A809" i="20"/>
  <c r="A810" i="20"/>
  <c r="A811" i="20"/>
  <c r="A812" i="20"/>
  <c r="A813" i="20"/>
  <c r="A814" i="20"/>
  <c r="A815" i="20"/>
  <c r="A816" i="20"/>
  <c r="A817" i="20"/>
  <c r="A818" i="20"/>
  <c r="A819" i="20"/>
  <c r="A820" i="20"/>
  <c r="A821" i="20"/>
  <c r="A822" i="20"/>
  <c r="A823" i="20"/>
  <c r="A824" i="20"/>
  <c r="A825" i="20"/>
  <c r="A826" i="20"/>
  <c r="A827" i="20"/>
  <c r="A828" i="20"/>
  <c r="A829" i="20"/>
  <c r="A830" i="20"/>
  <c r="A831" i="20"/>
  <c r="A832" i="20"/>
  <c r="A833" i="20"/>
  <c r="A834" i="20"/>
  <c r="A835" i="20"/>
  <c r="A836" i="20"/>
  <c r="A837" i="20"/>
  <c r="A838" i="20"/>
  <c r="A839" i="20"/>
  <c r="A840" i="20"/>
  <c r="A841" i="20"/>
  <c r="A842" i="20"/>
  <c r="A843" i="20"/>
  <c r="A844" i="20"/>
  <c r="A845" i="20"/>
  <c r="A846" i="20"/>
  <c r="A847" i="20"/>
  <c r="A848" i="20"/>
  <c r="A849" i="20"/>
  <c r="A850" i="20"/>
  <c r="A851" i="20"/>
  <c r="A852" i="20"/>
  <c r="A853" i="20"/>
  <c r="A854" i="20"/>
  <c r="A855" i="20"/>
  <c r="A856" i="20"/>
  <c r="A857" i="20"/>
  <c r="A858" i="20"/>
  <c r="A859" i="20"/>
  <c r="A860" i="20"/>
  <c r="A861" i="20"/>
  <c r="A862" i="20"/>
  <c r="A863" i="20"/>
  <c r="A864" i="20"/>
  <c r="E13" i="4"/>
  <c r="E15" i="4"/>
  <c r="E16" i="4" s="1"/>
  <c r="F13" i="4"/>
  <c r="F15" i="4"/>
  <c r="F16" i="4" s="1"/>
  <c r="G13" i="4"/>
  <c r="G15" i="4"/>
  <c r="G16" i="4" s="1"/>
  <c r="H13" i="4"/>
  <c r="H15" i="4"/>
  <c r="H16" i="4" s="1"/>
  <c r="I13" i="4"/>
  <c r="I15" i="4"/>
  <c r="I16" i="4" s="1"/>
  <c r="J13" i="4"/>
  <c r="J15" i="4"/>
  <c r="J16" i="4" s="1"/>
  <c r="K13" i="4"/>
  <c r="K15" i="4"/>
  <c r="K16" i="4" s="1"/>
  <c r="L13" i="4"/>
  <c r="L15" i="4"/>
  <c r="L16" i="4" s="1"/>
  <c r="M13" i="4"/>
  <c r="M15" i="4"/>
  <c r="M16" i="4" s="1"/>
  <c r="N13" i="4"/>
  <c r="N15" i="4"/>
  <c r="N16" i="4" s="1"/>
  <c r="C13" i="4"/>
  <c r="C15" i="4"/>
  <c r="C16" i="4" s="1"/>
  <c r="C5" i="4"/>
  <c r="E11" i="4" s="1"/>
  <c r="E12" i="4" s="1"/>
  <c r="D37" i="19" s="1"/>
  <c r="D10" i="4"/>
  <c r="C36" i="19" s="1"/>
  <c r="Q8" i="22" s="1"/>
  <c r="E10" i="4"/>
  <c r="D36" i="19" s="1"/>
  <c r="F10" i="4"/>
  <c r="E36" i="19" s="1"/>
  <c r="G10" i="4"/>
  <c r="F36" i="19" s="1"/>
  <c r="H10" i="4"/>
  <c r="G36" i="19" s="1"/>
  <c r="I10" i="4"/>
  <c r="H36" i="19" s="1"/>
  <c r="J10" i="4"/>
  <c r="I36" i="19" s="1"/>
  <c r="K10" i="4"/>
  <c r="J36" i="19" s="1"/>
  <c r="L10" i="4"/>
  <c r="K36" i="19" s="1"/>
  <c r="M10" i="4"/>
  <c r="L36" i="19" s="1"/>
  <c r="N10" i="4"/>
  <c r="M36" i="19" s="1"/>
  <c r="B8" i="19"/>
  <c r="B6" i="19"/>
  <c r="B7" i="19"/>
  <c r="B25" i="19"/>
  <c r="U2" i="22" s="1"/>
  <c r="B9" i="19"/>
  <c r="B10" i="19"/>
  <c r="C3" i="4"/>
  <c r="B24" i="19"/>
  <c r="M2" i="22" s="1" a="1"/>
  <c r="M2" i="22" s="1"/>
  <c r="C28" i="1" l="1"/>
  <c r="D28" i="1" s="1"/>
  <c r="D42" i="19" s="1"/>
  <c r="E18" i="3"/>
  <c r="H17" i="4"/>
  <c r="D17" i="4"/>
  <c r="I17" i="4"/>
  <c r="G17" i="4"/>
  <c r="M17" i="4"/>
  <c r="E17" i="4"/>
  <c r="I70" i="1"/>
  <c r="B28" i="1"/>
  <c r="M70" i="1"/>
  <c r="N17" i="4"/>
  <c r="J17" i="4"/>
  <c r="F17" i="4"/>
  <c r="T3" i="14"/>
  <c r="F50" i="1" s="1"/>
  <c r="K17" i="4"/>
  <c r="C17" i="4"/>
  <c r="L17" i="4"/>
  <c r="F70" i="1"/>
  <c r="Q70" i="1"/>
  <c r="L70" i="1"/>
  <c r="J70" i="1"/>
  <c r="P70" i="1"/>
  <c r="N70" i="1"/>
  <c r="G70" i="1"/>
  <c r="K70" i="1"/>
  <c r="J11" i="4"/>
  <c r="J12" i="4" s="1"/>
  <c r="M41" i="1" s="1"/>
  <c r="M11" i="4"/>
  <c r="M12" i="4" s="1"/>
  <c r="P41" i="1" s="1"/>
  <c r="P43" i="1" s="1"/>
  <c r="G11" i="4"/>
  <c r="G12" i="4" s="1"/>
  <c r="J41" i="1" s="1"/>
  <c r="F11" i="4"/>
  <c r="F12" i="4" s="1"/>
  <c r="I41" i="1" s="1"/>
  <c r="I43" i="1" s="1"/>
  <c r="B13" i="19"/>
  <c r="L11" i="4"/>
  <c r="L12" i="4" s="1"/>
  <c r="O41" i="1" s="1"/>
  <c r="O43" i="1" s="1"/>
  <c r="I11" i="4"/>
  <c r="I12" i="4" s="1"/>
  <c r="L41" i="1" s="1"/>
  <c r="D11" i="4"/>
  <c r="D12" i="4" s="1"/>
  <c r="C37" i="19" s="1"/>
  <c r="I5" i="20"/>
  <c r="J5" i="20" s="1"/>
  <c r="K5" i="20" s="1"/>
  <c r="E4" i="20" s="1"/>
  <c r="T16" i="14"/>
  <c r="C6" i="4" s="1"/>
  <c r="B15" i="19" s="1"/>
  <c r="K11" i="4"/>
  <c r="K12" i="4" s="1"/>
  <c r="J37" i="19" s="1"/>
  <c r="N11" i="4"/>
  <c r="N12" i="4" s="1"/>
  <c r="M37" i="19" s="1"/>
  <c r="H11" i="4"/>
  <c r="H12" i="4" s="1"/>
  <c r="G37" i="19" s="1"/>
  <c r="O70" i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T6" i="14"/>
  <c r="D40" i="22" s="1"/>
  <c r="T17" i="14"/>
  <c r="C7" i="4" s="1"/>
  <c r="T13" i="14"/>
  <c r="P50" i="1" s="1"/>
  <c r="M14" i="4" s="1"/>
  <c r="T11" i="14"/>
  <c r="N50" i="1" s="1"/>
  <c r="K14" i="4" s="1"/>
  <c r="T5" i="14"/>
  <c r="H50" i="1" s="1"/>
  <c r="T14" i="14"/>
  <c r="Q50" i="1" s="1"/>
  <c r="T8" i="14"/>
  <c r="T12" i="14"/>
  <c r="T7" i="14"/>
  <c r="T10" i="14"/>
  <c r="T4" i="14"/>
  <c r="T9" i="14"/>
  <c r="H41" i="1"/>
  <c r="B42" i="19" l="1"/>
  <c r="F37" i="19"/>
  <c r="O17" i="4"/>
  <c r="G41" i="1"/>
  <c r="G43" i="1" s="1"/>
  <c r="D37" i="22"/>
  <c r="I37" i="19"/>
  <c r="K41" i="1"/>
  <c r="K43" i="1" s="1"/>
  <c r="L37" i="19"/>
  <c r="K37" i="19"/>
  <c r="H37" i="19"/>
  <c r="E37" i="19"/>
  <c r="Q41" i="1"/>
  <c r="Q43" i="1" s="1"/>
  <c r="C4" i="4"/>
  <c r="F5" i="20"/>
  <c r="I7" i="20" s="1"/>
  <c r="H18" i="4" s="1"/>
  <c r="H20" i="4" s="1"/>
  <c r="K47" i="1" s="1"/>
  <c r="K48" i="1" s="1"/>
  <c r="K49" i="1" s="1"/>
  <c r="I50" i="1"/>
  <c r="F14" i="4" s="1"/>
  <c r="D47" i="22"/>
  <c r="B14" i="19"/>
  <c r="N41" i="1"/>
  <c r="N43" i="1" s="1"/>
  <c r="P96" i="1"/>
  <c r="D48" i="22"/>
  <c r="N14" i="4"/>
  <c r="D45" i="22"/>
  <c r="E14" i="4"/>
  <c r="D39" i="22"/>
  <c r="D46" i="22"/>
  <c r="O50" i="1"/>
  <c r="D38" i="22"/>
  <c r="G50" i="1"/>
  <c r="C14" i="4"/>
  <c r="M50" i="1"/>
  <c r="D44" i="22"/>
  <c r="D42" i="22"/>
  <c r="K50" i="1"/>
  <c r="D43" i="22"/>
  <c r="L50" i="1"/>
  <c r="D41" i="22"/>
  <c r="J50" i="1"/>
  <c r="M43" i="1"/>
  <c r="L43" i="1"/>
  <c r="J43" i="1"/>
  <c r="H43" i="1"/>
  <c r="L7" i="20" l="1"/>
  <c r="K18" i="4" s="1"/>
  <c r="K20" i="4" s="1"/>
  <c r="N47" i="1" s="1"/>
  <c r="N48" i="1" s="1"/>
  <c r="N49" i="1" s="1"/>
  <c r="N51" i="1" s="1"/>
  <c r="O7" i="20"/>
  <c r="N18" i="4" s="1"/>
  <c r="N20" i="4" s="1"/>
  <c r="Q47" i="1" s="1"/>
  <c r="Q48" i="1" s="1"/>
  <c r="Q49" i="1" s="1"/>
  <c r="Q51" i="1" s="1"/>
  <c r="N7" i="20"/>
  <c r="M18" i="4" s="1"/>
  <c r="M20" i="4" s="1"/>
  <c r="P47" i="1" s="1"/>
  <c r="P48" i="1" s="1"/>
  <c r="P49" i="1" s="1"/>
  <c r="P51" i="1" s="1"/>
  <c r="E7" i="20"/>
  <c r="D18" i="4" s="1"/>
  <c r="D20" i="4" s="1"/>
  <c r="G47" i="1" s="1"/>
  <c r="G48" i="1" s="1"/>
  <c r="G49" i="1" s="1"/>
  <c r="G51" i="1" s="1"/>
  <c r="F7" i="20"/>
  <c r="E18" i="4" s="1"/>
  <c r="E20" i="4" s="1"/>
  <c r="H47" i="1" s="1"/>
  <c r="K7" i="20"/>
  <c r="J18" i="4" s="1"/>
  <c r="J20" i="4" s="1"/>
  <c r="M47" i="1" s="1"/>
  <c r="M48" i="1" s="1"/>
  <c r="M49" i="1" s="1"/>
  <c r="M51" i="1" s="1"/>
  <c r="M7" i="20"/>
  <c r="L18" i="4" s="1"/>
  <c r="L20" i="4" s="1"/>
  <c r="O47" i="1" s="1"/>
  <c r="O48" i="1" s="1"/>
  <c r="O49" i="1" s="1"/>
  <c r="O51" i="1" s="1"/>
  <c r="D7" i="20"/>
  <c r="C18" i="4" s="1"/>
  <c r="C20" i="4" s="1"/>
  <c r="F47" i="1" s="1"/>
  <c r="H7" i="20"/>
  <c r="G18" i="4" s="1"/>
  <c r="G20" i="4" s="1"/>
  <c r="J47" i="1" s="1"/>
  <c r="J48" i="1" s="1"/>
  <c r="J49" i="1" s="1"/>
  <c r="J51" i="1" s="1"/>
  <c r="G7" i="20"/>
  <c r="F18" i="4" s="1"/>
  <c r="F20" i="4" s="1"/>
  <c r="I47" i="1" s="1"/>
  <c r="I48" i="1" s="1"/>
  <c r="I49" i="1" s="1"/>
  <c r="I51" i="1" s="1"/>
  <c r="J7" i="20"/>
  <c r="I18" i="4" s="1"/>
  <c r="I20" i="4" s="1"/>
  <c r="L47" i="1" s="1"/>
  <c r="L48" i="1" s="1"/>
  <c r="L49" i="1" s="1"/>
  <c r="L51" i="1" s="1"/>
  <c r="E56" i="22"/>
  <c r="B12" i="19" s="1"/>
  <c r="B11" i="19"/>
  <c r="D49" i="22"/>
  <c r="G14" i="4"/>
  <c r="K51" i="1"/>
  <c r="H14" i="4"/>
  <c r="L14" i="4"/>
  <c r="J14" i="4"/>
  <c r="I14" i="4"/>
  <c r="D14" i="4"/>
  <c r="H48" i="1" l="1"/>
  <c r="H49" i="1" s="1"/>
  <c r="H51" i="1" s="1"/>
  <c r="O20" i="4"/>
  <c r="B16" i="19" s="1"/>
  <c r="O18" i="4"/>
  <c r="F48" i="1"/>
  <c r="F49" i="1" s="1"/>
  <c r="F51" i="1" s="1"/>
  <c r="F52" i="1" s="1"/>
  <c r="B21" i="19" l="1"/>
  <c r="Q2" i="22" s="1"/>
  <c r="H23" i="4"/>
  <c r="C30" i="4"/>
  <c r="N52" i="1"/>
  <c r="J52" i="1" l="1"/>
  <c r="H97" i="1" s="1"/>
  <c r="C29" i="4"/>
  <c r="D29" i="4" s="1"/>
  <c r="D104" i="1" s="1"/>
  <c r="D84" i="1" s="1"/>
  <c r="L52" i="1"/>
  <c r="L53" i="1" s="1"/>
  <c r="C28" i="4"/>
  <c r="D28" i="4" s="1"/>
  <c r="D83" i="1" s="1"/>
  <c r="C23" i="4"/>
  <c r="C24" i="4" s="1"/>
  <c r="J23" i="4"/>
  <c r="J24" i="4" s="1"/>
  <c r="D23" i="4"/>
  <c r="D24" i="4" s="1"/>
  <c r="D30" i="4"/>
  <c r="N72" i="1"/>
  <c r="N58" i="1"/>
  <c r="N53" i="1"/>
  <c r="L97" i="1"/>
  <c r="O52" i="1"/>
  <c r="P52" i="1"/>
  <c r="K52" i="1"/>
  <c r="I52" i="1"/>
  <c r="M52" i="1"/>
  <c r="F58" i="1"/>
  <c r="G52" i="1"/>
  <c r="H52" i="1"/>
  <c r="Q52" i="1"/>
  <c r="F23" i="4"/>
  <c r="F24" i="4" s="1"/>
  <c r="I23" i="4"/>
  <c r="I24" i="4" s="1"/>
  <c r="N23" i="4"/>
  <c r="N24" i="4" s="1"/>
  <c r="M23" i="4"/>
  <c r="M24" i="4" s="1"/>
  <c r="K23" i="4"/>
  <c r="K24" i="4" s="1"/>
  <c r="L23" i="4"/>
  <c r="L24" i="4" s="1"/>
  <c r="E23" i="4"/>
  <c r="E24" i="4" s="1"/>
  <c r="G23" i="4"/>
  <c r="G24" i="4" s="1"/>
  <c r="H24" i="4"/>
  <c r="R52" i="1" l="1"/>
  <c r="J53" i="1"/>
  <c r="J58" i="1"/>
  <c r="J63" i="1" s="1"/>
  <c r="J72" i="1"/>
  <c r="L72" i="1"/>
  <c r="J97" i="1"/>
  <c r="D103" i="1"/>
  <c r="L58" i="1"/>
  <c r="L61" i="1" s="1"/>
  <c r="O24" i="4"/>
  <c r="F53" i="1"/>
  <c r="F72" i="1"/>
  <c r="D97" i="1"/>
  <c r="N97" i="1"/>
  <c r="P53" i="1"/>
  <c r="P58" i="1"/>
  <c r="P72" i="1"/>
  <c r="K72" i="1"/>
  <c r="K53" i="1"/>
  <c r="I97" i="1"/>
  <c r="K58" i="1"/>
  <c r="O97" i="1"/>
  <c r="Q72" i="1"/>
  <c r="Q53" i="1"/>
  <c r="Q58" i="1"/>
  <c r="M53" i="1"/>
  <c r="M72" i="1"/>
  <c r="M58" i="1"/>
  <c r="K97" i="1"/>
  <c r="O53" i="1"/>
  <c r="M97" i="1"/>
  <c r="O58" i="1"/>
  <c r="O72" i="1"/>
  <c r="N61" i="1"/>
  <c r="L98" i="1"/>
  <c r="N63" i="1"/>
  <c r="G72" i="1"/>
  <c r="G58" i="1"/>
  <c r="E97" i="1"/>
  <c r="G53" i="1"/>
  <c r="H58" i="1"/>
  <c r="H72" i="1"/>
  <c r="H53" i="1"/>
  <c r="F97" i="1"/>
  <c r="G97" i="1"/>
  <c r="I58" i="1"/>
  <c r="I72" i="1"/>
  <c r="I53" i="1"/>
  <c r="H98" i="1" l="1"/>
  <c r="J61" i="1"/>
  <c r="J98" i="1"/>
  <c r="L63" i="1"/>
  <c r="J99" i="1" s="1"/>
  <c r="P97" i="1"/>
  <c r="P61" i="1"/>
  <c r="N98" i="1"/>
  <c r="P63" i="1"/>
  <c r="R72" i="1"/>
  <c r="S72" i="1"/>
  <c r="T72" i="1"/>
  <c r="D73" i="1" s="1"/>
  <c r="D74" i="1" s="1"/>
  <c r="D77" i="1" s="1"/>
  <c r="E98" i="1"/>
  <c r="G63" i="1"/>
  <c r="G61" i="1"/>
  <c r="M98" i="1"/>
  <c r="O61" i="1"/>
  <c r="O63" i="1"/>
  <c r="H63" i="1"/>
  <c r="F98" i="1"/>
  <c r="H61" i="1"/>
  <c r="N65" i="1"/>
  <c r="N67" i="1" s="1"/>
  <c r="L99" i="1"/>
  <c r="L90" i="1"/>
  <c r="L91" i="1" s="1"/>
  <c r="J35" i="19" s="1"/>
  <c r="I61" i="1"/>
  <c r="I63" i="1"/>
  <c r="G98" i="1"/>
  <c r="K98" i="1"/>
  <c r="M63" i="1"/>
  <c r="M61" i="1"/>
  <c r="S58" i="1"/>
  <c r="T58" i="1"/>
  <c r="R58" i="1"/>
  <c r="D98" i="1"/>
  <c r="F61" i="1"/>
  <c r="F63" i="1"/>
  <c r="D90" i="1" s="1"/>
  <c r="D91" i="1" s="1"/>
  <c r="H99" i="1"/>
  <c r="J65" i="1"/>
  <c r="J67" i="1" s="1"/>
  <c r="H90" i="1"/>
  <c r="H91" i="1" s="1"/>
  <c r="F35" i="19" s="1"/>
  <c r="Q63" i="1"/>
  <c r="Q61" i="1"/>
  <c r="O98" i="1"/>
  <c r="K61" i="1"/>
  <c r="I98" i="1"/>
  <c r="K63" i="1"/>
  <c r="L65" i="1" l="1"/>
  <c r="L67" i="1" s="1"/>
  <c r="J90" i="1"/>
  <c r="J91" i="1" s="1"/>
  <c r="H35" i="19" s="1"/>
  <c r="P98" i="1"/>
  <c r="S61" i="1"/>
  <c r="T61" i="1"/>
  <c r="R61" i="1"/>
  <c r="G99" i="1"/>
  <c r="I65" i="1"/>
  <c r="I67" i="1" s="1"/>
  <c r="G90" i="1"/>
  <c r="G91" i="1" s="1"/>
  <c r="E35" i="19" s="1"/>
  <c r="M99" i="1"/>
  <c r="O65" i="1"/>
  <c r="O67" i="1" s="1"/>
  <c r="M90" i="1"/>
  <c r="M91" i="1" s="1"/>
  <c r="K35" i="19" s="1"/>
  <c r="E99" i="1"/>
  <c r="G65" i="1"/>
  <c r="G67" i="1" s="1"/>
  <c r="E90" i="1"/>
  <c r="E91" i="1" s="1"/>
  <c r="C35" i="19" s="1"/>
  <c r="H65" i="1"/>
  <c r="H67" i="1" s="1"/>
  <c r="F99" i="1"/>
  <c r="F90" i="1"/>
  <c r="F91" i="1" s="1"/>
  <c r="D35" i="19" s="1"/>
  <c r="I99" i="1"/>
  <c r="I90" i="1"/>
  <c r="I91" i="1" s="1"/>
  <c r="G35" i="19" s="1"/>
  <c r="K65" i="1"/>
  <c r="K67" i="1" s="1"/>
  <c r="K99" i="1"/>
  <c r="K90" i="1"/>
  <c r="K91" i="1" s="1"/>
  <c r="I35" i="19" s="1"/>
  <c r="M65" i="1"/>
  <c r="M67" i="1" s="1"/>
  <c r="N99" i="1"/>
  <c r="P65" i="1"/>
  <c r="P67" i="1" s="1"/>
  <c r="N90" i="1"/>
  <c r="N91" i="1" s="1"/>
  <c r="L35" i="19" s="1"/>
  <c r="O90" i="1"/>
  <c r="O91" i="1" s="1"/>
  <c r="M35" i="19" s="1"/>
  <c r="Q65" i="1"/>
  <c r="Q67" i="1" s="1"/>
  <c r="O99" i="1"/>
  <c r="T63" i="1"/>
  <c r="R63" i="1"/>
  <c r="D99" i="1"/>
  <c r="S63" i="1"/>
  <c r="F65" i="1"/>
  <c r="P99" i="1" l="1"/>
  <c r="T65" i="1"/>
  <c r="R65" i="1"/>
  <c r="S65" i="1"/>
  <c r="Q90" i="1"/>
  <c r="R90" i="1"/>
  <c r="P90" i="1"/>
  <c r="B35" i="19" l="1"/>
  <c r="O35" i="19" s="1"/>
  <c r="B30" i="19" s="1"/>
  <c r="T2" i="22" s="1"/>
  <c r="R91" i="1"/>
  <c r="Q91" i="1"/>
  <c r="P91" i="1"/>
  <c r="B117" i="22" l="1"/>
  <c r="N35" i="19"/>
  <c r="C29" i="1" s="1"/>
  <c r="C92" i="1"/>
  <c r="B29" i="19"/>
  <c r="B31" i="19" s="1"/>
  <c r="R2" i="22" s="1"/>
  <c r="B118" i="22" l="1"/>
  <c r="L117" i="22"/>
  <c r="J117" i="22"/>
  <c r="K117" i="22"/>
  <c r="C10" i="4"/>
  <c r="O117" i="22" l="1"/>
  <c r="D117" i="22" s="1"/>
  <c r="E117" i="22" s="1"/>
  <c r="J118" i="22"/>
  <c r="L118" i="22"/>
  <c r="K118" i="22"/>
  <c r="B119" i="22"/>
  <c r="O10" i="4"/>
  <c r="N36" i="19" s="1"/>
  <c r="B36" i="19"/>
  <c r="O36" i="19" s="1"/>
  <c r="C29" i="22"/>
  <c r="C11" i="4"/>
  <c r="O118" i="22" l="1"/>
  <c r="D118" i="22" s="1"/>
  <c r="E118" i="22" s="1"/>
  <c r="K119" i="22"/>
  <c r="L119" i="22"/>
  <c r="B120" i="22"/>
  <c r="J119" i="22"/>
  <c r="C12" i="4"/>
  <c r="F41" i="1" s="1"/>
  <c r="O11" i="4"/>
  <c r="O119" i="22" l="1"/>
  <c r="D119" i="22" s="1"/>
  <c r="E119" i="22" s="1"/>
  <c r="B121" i="22"/>
  <c r="L120" i="22"/>
  <c r="J120" i="22"/>
  <c r="K120" i="22"/>
  <c r="O12" i="4"/>
  <c r="N37" i="19" s="1"/>
  <c r="B43" i="19" s="1"/>
  <c r="B37" i="19"/>
  <c r="O37" i="19" s="1"/>
  <c r="O120" i="22" l="1"/>
  <c r="D120" i="22" s="1"/>
  <c r="E120" i="22" s="1"/>
  <c r="K121" i="22"/>
  <c r="B122" i="22"/>
  <c r="L121" i="22"/>
  <c r="J121" i="22"/>
  <c r="F43" i="1"/>
  <c r="R43" i="1" s="1"/>
  <c r="S41" i="1"/>
  <c r="R41" i="1"/>
  <c r="D68" i="1" s="1"/>
  <c r="F67" i="1"/>
  <c r="D43" i="19"/>
  <c r="B29" i="1"/>
  <c r="D29" i="1" s="1"/>
  <c r="B9" i="1" l="1"/>
  <c r="E9" i="1" s="1"/>
  <c r="O121" i="22"/>
  <c r="D121" i="22" s="1"/>
  <c r="E121" i="22" s="1"/>
  <c r="K122" i="22"/>
  <c r="J122" i="22"/>
  <c r="L122" i="22"/>
  <c r="B123" i="22"/>
  <c r="O122" i="22" l="1"/>
  <c r="D122" i="22" s="1"/>
  <c r="E122" i="22" s="1"/>
  <c r="B124" i="22"/>
  <c r="L123" i="22"/>
  <c r="J123" i="22"/>
  <c r="K123" i="22"/>
  <c r="O123" i="22" l="1"/>
  <c r="D123" i="22" s="1"/>
  <c r="E123" i="22" s="1"/>
  <c r="K124" i="22"/>
  <c r="B125" i="22"/>
  <c r="J124" i="22"/>
  <c r="L124" i="22"/>
  <c r="O124" i="22" l="1"/>
  <c r="D124" i="22" s="1"/>
  <c r="E124" i="22" s="1"/>
  <c r="K125" i="22"/>
  <c r="J125" i="22"/>
  <c r="L125" i="22"/>
  <c r="B126" i="22"/>
  <c r="B127" i="22" l="1"/>
  <c r="L126" i="22"/>
  <c r="K126" i="22"/>
  <c r="J126" i="22"/>
  <c r="O125" i="22"/>
  <c r="D125" i="22" s="1"/>
  <c r="E125" i="22" s="1"/>
  <c r="O126" i="22" l="1"/>
  <c r="D126" i="22" s="1"/>
  <c r="E126" i="22" s="1"/>
  <c r="K127" i="22"/>
  <c r="B128" i="22"/>
  <c r="L127" i="22"/>
  <c r="J127" i="22"/>
  <c r="O127" i="22" l="1"/>
  <c r="D127" i="22" s="1"/>
  <c r="E127" i="22" s="1"/>
  <c r="L128" i="22"/>
  <c r="K128" i="22"/>
  <c r="B129" i="22"/>
  <c r="J128" i="22"/>
  <c r="O128" i="22" l="1"/>
  <c r="D128" i="22" s="1"/>
  <c r="E128" i="22" s="1"/>
  <c r="B130" i="22"/>
  <c r="L129" i="22"/>
  <c r="K129" i="22"/>
  <c r="J129" i="22"/>
  <c r="O129" i="22" l="1"/>
  <c r="D129" i="22" s="1"/>
  <c r="E129" i="22" s="1"/>
  <c r="K130" i="22"/>
  <c r="J130" i="22"/>
  <c r="B131" i="22"/>
  <c r="L130" i="22"/>
  <c r="L131" i="22" l="1"/>
  <c r="K131" i="22"/>
  <c r="J131" i="22"/>
  <c r="B132" i="22"/>
  <c r="O130" i="22"/>
  <c r="D130" i="22" s="1"/>
  <c r="E130" i="22" s="1"/>
  <c r="O131" i="22" l="1"/>
  <c r="D131" i="22" s="1"/>
  <c r="E131" i="22" s="1"/>
  <c r="L132" i="22"/>
  <c r="B133" i="22"/>
  <c r="K132" i="22"/>
  <c r="J132" i="22"/>
  <c r="O132" i="22" l="1"/>
  <c r="D132" i="22" s="1"/>
  <c r="E132" i="22" s="1"/>
  <c r="J133" i="22"/>
  <c r="B134" i="22"/>
  <c r="K133" i="22"/>
  <c r="L133" i="22"/>
  <c r="O133" i="22" l="1"/>
  <c r="D133" i="22" s="1"/>
  <c r="E133" i="22" s="1"/>
  <c r="L134" i="22"/>
  <c r="K134" i="22"/>
  <c r="J134" i="22"/>
  <c r="B135" i="22"/>
  <c r="B136" i="22" l="1"/>
  <c r="L135" i="22"/>
  <c r="K135" i="22"/>
  <c r="J135" i="22"/>
  <c r="O134" i="22"/>
  <c r="D134" i="22" s="1"/>
  <c r="E134" i="22" s="1"/>
  <c r="O135" i="22" l="1"/>
  <c r="D135" i="22" s="1"/>
  <c r="E135" i="22" s="1"/>
  <c r="K136" i="22"/>
  <c r="J136" i="22"/>
  <c r="B137" i="22"/>
  <c r="L136" i="22"/>
  <c r="L137" i="22" l="1"/>
  <c r="K137" i="22"/>
  <c r="J137" i="22"/>
  <c r="B138" i="22"/>
  <c r="O136" i="22"/>
  <c r="D136" i="22" s="1"/>
  <c r="E136" i="22" s="1"/>
  <c r="O137" i="22" l="1"/>
  <c r="D137" i="22" s="1"/>
  <c r="E137" i="22" s="1"/>
  <c r="B139" i="22"/>
  <c r="L138" i="22"/>
  <c r="K138" i="22"/>
  <c r="J138" i="22"/>
  <c r="O138" i="22" l="1"/>
  <c r="D138" i="22" s="1"/>
  <c r="E138" i="22" s="1"/>
  <c r="L139" i="22"/>
  <c r="K139" i="22"/>
  <c r="J139" i="22"/>
  <c r="B140" i="22"/>
  <c r="O139" i="22" l="1"/>
  <c r="D139" i="22" s="1"/>
  <c r="E139" i="22" s="1"/>
  <c r="L140" i="22"/>
  <c r="K140" i="22"/>
  <c r="J140" i="22"/>
  <c r="B141" i="22"/>
  <c r="O140" i="22" l="1"/>
  <c r="D140" i="22" s="1"/>
  <c r="E140" i="22" s="1"/>
  <c r="B142" i="22"/>
  <c r="K141" i="22"/>
  <c r="J141" i="22"/>
  <c r="L141" i="22"/>
  <c r="O141" i="22" l="1"/>
  <c r="D141" i="22" s="1"/>
  <c r="E141" i="22" s="1"/>
  <c r="L142" i="22"/>
  <c r="K142" i="22"/>
  <c r="J142" i="22"/>
  <c r="O142" i="22" l="1"/>
  <c r="D142" i="22" s="1"/>
  <c r="E142" i="22" s="1"/>
  <c r="AC71" i="3"/>
  <c r="AC70" i="3"/>
  <c r="AC75" i="3"/>
  <c r="Y76" i="3"/>
  <c r="AC74" i="3"/>
  <c r="AC69" i="3"/>
  <c r="AC73" i="3"/>
  <c r="AC72" i="3"/>
  <c r="AC68" i="3"/>
  <c r="AC67" i="3"/>
  <c r="AC6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Alcione Belache</author>
    <author>Renovigi</author>
  </authors>
  <commentList>
    <comment ref="B24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31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38" authorId="0" shapeId="0" xr:uid="{00000000-0006-0000-0500-000003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45" authorId="0" shapeId="0" xr:uid="{00000000-0006-0000-0500-000004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52" authorId="0" shapeId="0" xr:uid="{00000000-0006-0000-0500-000005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I64" authorId="1" shapeId="0" xr:uid="{00000000-0006-0000-0500-000006000000}">
      <text>
        <r>
          <rPr>
            <b/>
            <sz val="9"/>
            <color indexed="81"/>
            <rFont val="Segoe UI"/>
            <family val="2"/>
          </rPr>
          <t>Renovigi: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92" authorId="0" shapeId="0" xr:uid="{00000000-0006-0000-0500-000007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99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  <comment ref="B106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Alcione Belache:</t>
        </r>
        <r>
          <rPr>
            <sz val="9"/>
            <color indexed="81"/>
            <rFont val="Calibri"/>
            <family val="2"/>
          </rPr>
          <t xml:space="preserve">
dado do inversor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<sst xmlns="http://schemas.openxmlformats.org/spreadsheetml/2006/main" count="1602" uniqueCount="868">
  <si>
    <t>Seleção Vendedor:</t>
  </si>
  <si>
    <t>Nome Cliente:</t>
  </si>
  <si>
    <t>CPF/CNPJ</t>
  </si>
  <si>
    <t>Numero CPF/CNPJ</t>
  </si>
  <si>
    <t>Número:</t>
  </si>
  <si>
    <t>Endereço:</t>
  </si>
  <si>
    <t>Contato:</t>
  </si>
  <si>
    <t>Cidade:</t>
  </si>
  <si>
    <t>Data:</t>
  </si>
  <si>
    <t>Garantia Inversor</t>
  </si>
  <si>
    <t>Potência Módulo</t>
  </si>
  <si>
    <t>Inversor</t>
  </si>
  <si>
    <t>Número Módulos</t>
  </si>
  <si>
    <t>Área</t>
  </si>
  <si>
    <t>Energia Gerada por cada painel</t>
  </si>
  <si>
    <t>Potencia Pico</t>
  </si>
  <si>
    <t>Geração Anual</t>
  </si>
  <si>
    <t>Qnt de Inversores</t>
  </si>
  <si>
    <t>Preço</t>
  </si>
  <si>
    <t>Mão-de-obra</t>
  </si>
  <si>
    <t>Subtotal</t>
  </si>
  <si>
    <t>Marco Antonio Luft</t>
  </si>
  <si>
    <t>Horizontina</t>
  </si>
  <si>
    <t xml:space="preserve"> Orientação para uso: Preencher somente os campos em AMARELO </t>
  </si>
  <si>
    <t>DADOS DA FATURA DE ENERGIA</t>
  </si>
  <si>
    <t xml:space="preserve">Cidade </t>
  </si>
  <si>
    <t>SANTA ROSA</t>
  </si>
  <si>
    <t>Preço tabela 440 W</t>
  </si>
  <si>
    <t>Estado</t>
  </si>
  <si>
    <t>RS</t>
  </si>
  <si>
    <t>Ligação Monofásica/Bifásica/Trifásica     (M, B ou T?)</t>
  </si>
  <si>
    <t>T</t>
  </si>
  <si>
    <t>Tensão entre Fase e Neutro na sua cidade</t>
  </si>
  <si>
    <t>Preço tabela 365 W</t>
  </si>
  <si>
    <t>% de geração desejado em relação ao consumo médio mensal</t>
  </si>
  <si>
    <t>Consumo mensal de energia em kWh</t>
  </si>
  <si>
    <t>Janeiro</t>
  </si>
  <si>
    <t>Fevereiro</t>
  </si>
  <si>
    <t>Março</t>
  </si>
  <si>
    <t>Preço tabela 420 W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</si>
  <si>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</si>
  <si>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</si>
  <si>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</si>
  <si>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</si>
  <si>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</si>
  <si>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</si>
  <si>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</si>
  <si>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</si>
  <si>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</si>
  <si>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</si>
  <si>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Média</t>
  </si>
  <si>
    <t>DADOS DE TEMPERATURA DO LOCAL</t>
  </si>
  <si>
    <t>Santa Rosa</t>
  </si>
  <si>
    <t>Escolha sua Cidade ou a mais próxima</t>
  </si>
  <si>
    <t>RS-Santo Ângelo</t>
  </si>
  <si>
    <t>Maiara Hoss</t>
  </si>
  <si>
    <t>Tucunduva</t>
  </si>
  <si>
    <t>Marcelo Theisen</t>
  </si>
  <si>
    <t>Tuparendi</t>
  </si>
  <si>
    <t>Temperatura média</t>
  </si>
  <si>
    <t>Três de Maio</t>
  </si>
  <si>
    <t>Nelcir Fronza</t>
  </si>
  <si>
    <t>Santo Cristo</t>
  </si>
  <si>
    <t>Paulo de Almeida</t>
  </si>
  <si>
    <t>Porto Lucena</t>
  </si>
  <si>
    <t>José Johann</t>
  </si>
  <si>
    <t>Porto Vera Cruz</t>
  </si>
  <si>
    <t>Eduardo Fronza</t>
  </si>
  <si>
    <t>Campina das Missões</t>
  </si>
  <si>
    <t>Escolha a cidade e os valores de temperatura serão inseridos automaticamente.</t>
  </si>
  <si>
    <t>São Paulo das Missões</t>
  </si>
  <si>
    <t>William Jerzewski</t>
  </si>
  <si>
    <t>Alegria</t>
  </si>
  <si>
    <t>Independência</t>
  </si>
  <si>
    <t>Roque Gonzales</t>
  </si>
  <si>
    <t>Crissiumal</t>
  </si>
  <si>
    <t>Cândido Godói</t>
  </si>
  <si>
    <t>Porto Mauá</t>
  </si>
  <si>
    <t>Santo Ângelo</t>
  </si>
  <si>
    <t>Senador Salgado Filho</t>
  </si>
  <si>
    <t>Giruá</t>
  </si>
  <si>
    <t>Boa Vista do Buricá</t>
  </si>
  <si>
    <t>DADOS DE LATITUDE E RADIAÇÃO SOLAR</t>
  </si>
  <si>
    <t>Dr. Mauricio Cardoso</t>
  </si>
  <si>
    <t>Alecrim</t>
  </si>
  <si>
    <t>Latitude do local (veja em: www.maps.google.com.br)</t>
  </si>
  <si>
    <t xml:space="preserve">Latitude da cidade de instalação </t>
  </si>
  <si>
    <t>São José do Inhacorá</t>
  </si>
  <si>
    <t>Inclinação do telhado (em graus)</t>
  </si>
  <si>
    <t>Inclinação do telhado onde será instalado</t>
  </si>
  <si>
    <t>Novo Machado</t>
  </si>
  <si>
    <t>Inclinação convertida para % (muito usada na construcão civil)</t>
  </si>
  <si>
    <t>Guarani Das Missões</t>
  </si>
  <si>
    <t xml:space="preserve">Radiação solar </t>
  </si>
  <si>
    <r>
      <rPr>
        <b/>
        <sz val="14"/>
        <color theme="1"/>
        <rFont val="Calibri"/>
        <family val="2"/>
        <scheme val="minor"/>
      </rPr>
      <t>OBS:</t>
    </r>
    <r>
      <rPr>
        <sz val="14"/>
        <color theme="1"/>
        <rFont val="Calibri"/>
        <family val="2"/>
        <scheme val="minor"/>
      </rPr>
      <t xml:space="preserve"> Para a instalação, deve-se adotar a inclinação dos módulos de no mínimo 10° para garantir escoamento de impuresas sobre o módulo.</t>
    </r>
  </si>
  <si>
    <t>Nova Candelaria</t>
  </si>
  <si>
    <t>Inserir dados de radiação solar (pode-se retirar do site do CRESESB).</t>
  </si>
  <si>
    <r>
      <rPr>
        <b/>
        <sz val="14"/>
        <color theme="1"/>
        <rFont val="Calibri"/>
        <family val="2"/>
        <scheme val="minor"/>
      </rPr>
      <t>Link CRESESB:</t>
    </r>
    <r>
      <rPr>
        <sz val="14"/>
        <color theme="1"/>
        <rFont val="Calibri"/>
        <family val="2"/>
        <scheme val="minor"/>
      </rPr>
      <t xml:space="preserve"> http://www.cresesb.cepel.br/index.php?section=sundata</t>
    </r>
  </si>
  <si>
    <t>SOMBREAMENTO</t>
  </si>
  <si>
    <t>Utilize o Solar Path Finder para verificar o sombreamento e as possíveis perdas</t>
  </si>
  <si>
    <t>Perda por sombreamento</t>
  </si>
  <si>
    <t>Caso não houver um equipamento para verificar as perdas por sombreamento manter essa tabela zerada.</t>
  </si>
  <si>
    <t>DIMENSIONAMENTO</t>
  </si>
  <si>
    <t xml:space="preserve"> Preencher somente campos em AMARELO</t>
  </si>
  <si>
    <t>ESCOLHA A POTÊNCIA DO PAINEL</t>
  </si>
  <si>
    <t>410W</t>
  </si>
  <si>
    <t>Quantidade calculada pela tabela de módulos necessários</t>
  </si>
  <si>
    <t>Quantidade TOTAL de painéis a ser considerada no projeto</t>
  </si>
  <si>
    <t>Estimativa de área ocupada (m2)</t>
  </si>
  <si>
    <t>ESCOLHA DO INVERSOR E QUANTIDADE</t>
  </si>
  <si>
    <t>Modelo do inversor com base na quantidade de Módulos - ESCOLHA</t>
  </si>
  <si>
    <t>Quantidade de inversores necessários</t>
  </si>
  <si>
    <t>Quantidade escolhida de inversores</t>
  </si>
  <si>
    <t>Quantidade média de painéis por inversor</t>
  </si>
  <si>
    <t xml:space="preserve">Cada String da mesma MPPT deve ter o mesmo número de painéis com mesma orientação e inclinação. </t>
  </si>
  <si>
    <t>Limite</t>
  </si>
  <si>
    <t>Calculado</t>
  </si>
  <si>
    <t>Status</t>
  </si>
  <si>
    <t>Potência Máxima total na entrada do inversor para a condição calculada</t>
  </si>
  <si>
    <t>Relação entre Energia Média Gerada e Compensável (tolerância em 5% acima)</t>
  </si>
  <si>
    <t>&gt;&gt;&gt;&gt;   VEJA TODO O RESULTADO DO DIMENSIONAMENTO NA ABA "Resumo dos Cálculos"  &lt;&lt;&lt;&lt;</t>
  </si>
  <si>
    <t>MEMÓRIA DE CÁLCULO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</si>
  <si>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</si>
  <si>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</si>
  <si>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</si>
  <si>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</si>
  <si>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</si>
  <si>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</si>
  <si>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</si>
  <si>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</si>
  <si>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</si>
  <si>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</si>
  <si>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</si>
  <si>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</si>
  <si>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Consumo mensal a ser compensado pela geração fotovoltáica</t>
  </si>
  <si>
    <t>kWh</t>
  </si>
  <si>
    <t>Dias no mês</t>
  </si>
  <si>
    <t>Consumo médio diário</t>
  </si>
  <si>
    <t>kWh/dia</t>
  </si>
  <si>
    <t>CORREÇÃO DA POTÊNCIA DO PAINEL EM FUNÇÃO DA TEMPERATURA E IRRADIAÇÃO NO LOCAL</t>
  </si>
  <si>
    <t>Horas de sol equivalente/dia já considerando perdas por inclinação e sombreamento</t>
  </si>
  <si>
    <t>HSP</t>
  </si>
  <si>
    <t>kWh/m2/dia</t>
  </si>
  <si>
    <t>Quantidade média de horas de sol/dia em função do mês do ano (estimado)</t>
  </si>
  <si>
    <t>h</t>
  </si>
  <si>
    <t>Radiação solar média ao longo do dia todo</t>
  </si>
  <si>
    <t>kWh/m2</t>
  </si>
  <si>
    <t>Temperatura média do local</t>
  </si>
  <si>
    <t>C</t>
  </si>
  <si>
    <t>Cálculo da temperatura da célula</t>
  </si>
  <si>
    <t>NOCT</t>
  </si>
  <si>
    <t>Potência corrigida do painel em função da temperatura (USADA PARA DIMENSIONAR O INVERSOR)</t>
  </si>
  <si>
    <t>Wp</t>
  </si>
  <si>
    <t>POTÊNCIA NA ENTRADA E NA SAÍDA DO INVERSOR, CONSIDERANDO PERDAS</t>
  </si>
  <si>
    <t>Mínima</t>
  </si>
  <si>
    <t>Máxima</t>
  </si>
  <si>
    <t>Potência entregue na entrada do inversor considerando outras perdas do lado DC (conexões, cabos, etc)</t>
  </si>
  <si>
    <t>Perdas&gt;&gt;</t>
  </si>
  <si>
    <r>
      <t xml:space="preserve">Coeficiente </t>
    </r>
    <r>
      <rPr>
        <sz val="12"/>
        <color theme="1"/>
        <rFont val="Calibri"/>
        <family val="2"/>
      </rPr>
      <t>α (Correção na Quantidade de Inversores)</t>
    </r>
  </si>
  <si>
    <t>Energia média mensal gerada por cada painel considerando as perdas - na entrada do inversor</t>
  </si>
  <si>
    <t>kWh/mês</t>
  </si>
  <si>
    <t>Potência na saída do inversor considerando o rendimento. Para 1 painel (USADA PARA CALCULAR A QTD DE PAINÉIS)</t>
  </si>
  <si>
    <t>Rendimento&gt;&gt;</t>
  </si>
  <si>
    <t>Energia média mensal gerada por cada painel considerando as perdas - na SAÍDA do inversor</t>
  </si>
  <si>
    <t>Quantidade de módulos considerando a Energia Compensável e a Energia média na saida do inv</t>
  </si>
  <si>
    <t>un</t>
  </si>
  <si>
    <t>Quantidade média de módulos para o projeto considerando a Energia Média Anual e a Energia Média Gerada por Painel</t>
  </si>
  <si>
    <t>Quantidade de painéis escolhida - fixa ao longo de todos os meses</t>
  </si>
  <si>
    <t>Potência na entrada do inversor com base na qtd escolhida (desprezando outras perdas, que é o pior caso)</t>
  </si>
  <si>
    <t>kW</t>
  </si>
  <si>
    <t xml:space="preserve">Máxima potência entregue na entrada dos inversores  </t>
  </si>
  <si>
    <t>Máxima potência entregue na entrada de um inversor (Total/qtd de inversores)</t>
  </si>
  <si>
    <t>Potência máxima de entrada do inversor escolhido</t>
  </si>
  <si>
    <t>Pmax DC</t>
  </si>
  <si>
    <t>Status se é possível usar o inversor escolhido comparando as potências</t>
  </si>
  <si>
    <t>CÁLCULO COMPARATIVO SE A QUANTIDADE POR ENTRADA DO INVERSOR É PERMITIDA</t>
  </si>
  <si>
    <t>Tensão máxima de entrada do inversor</t>
  </si>
  <si>
    <t>Vdc max</t>
  </si>
  <si>
    <t>V</t>
  </si>
  <si>
    <t>Tensão mínima MPPT</t>
  </si>
  <si>
    <t>VminMPP, inv</t>
  </si>
  <si>
    <t>Tensão em circuito aberto do módulo Fotovoltáico</t>
  </si>
  <si>
    <t>Voc</t>
  </si>
  <si>
    <t>Tensão em máxima potência do módulo fotovoltáico - corrigida pela temperatura</t>
  </si>
  <si>
    <t>Vmpp</t>
  </si>
  <si>
    <t>Ajuste quantidade painéis vs. Inversor</t>
  </si>
  <si>
    <t>RESULTADO DOS CÁLCULOS</t>
  </si>
  <si>
    <t>Potência gerada pela quantidade escolhida de painéis (na saída do inversor considerando perdas)</t>
  </si>
  <si>
    <t>Energia mensal gerada por esta quantidade</t>
  </si>
  <si>
    <t>Energia média mensal gerada por painel</t>
  </si>
  <si>
    <t>Fator de correção</t>
  </si>
  <si>
    <t>RESUMO DAS PERDAS CONSIDERADAS NO PAINEL</t>
  </si>
  <si>
    <t>Potência nominal</t>
  </si>
  <si>
    <t>Potência corrigida na saída do inversor (USADA PARA DIMENSIONAR A QUANTIDADE DE PAINÉIS)</t>
  </si>
  <si>
    <t>PARÂMETROS MÁXIMOS E MÍNIMOS DO INVERSOR e PAINEL ESCOLHIDOS</t>
  </si>
  <si>
    <t>Corrente de Curto Circuito do módulo fotovoltáico</t>
  </si>
  <si>
    <t>Isc</t>
  </si>
  <si>
    <t>A</t>
  </si>
  <si>
    <t>Tensão máxima MPPT</t>
  </si>
  <si>
    <t>Vdc, inv</t>
  </si>
  <si>
    <t>Corrente máxima de entrada do inversor</t>
  </si>
  <si>
    <t>Imax, inv</t>
  </si>
  <si>
    <t>Corrente máxima de saída do inversor</t>
  </si>
  <si>
    <t>Imax out</t>
  </si>
  <si>
    <t>Potência máxima de entrada do inversor</t>
  </si>
  <si>
    <t>W</t>
  </si>
  <si>
    <t>Potência máxima por entrada do inversor</t>
  </si>
  <si>
    <t>Pmax/entrada</t>
  </si>
  <si>
    <t>Número de Entradas do inversor</t>
  </si>
  <si>
    <t>n entradas</t>
  </si>
  <si>
    <t>Número de Strings (cadeia de painéis em série) por Entrada</t>
  </si>
  <si>
    <t>nStr</t>
  </si>
  <si>
    <t>Quantidade Calculada (média) de painéis por Entrada</t>
  </si>
  <si>
    <t>nPE</t>
  </si>
  <si>
    <t>RENOVIGI - RESUMO DO PROJETO</t>
  </si>
  <si>
    <t>DADOS DA INSTALAÇÃO</t>
  </si>
  <si>
    <t>Cidade</t>
  </si>
  <si>
    <t>Latitude do local (graus)</t>
  </si>
  <si>
    <t>Inclinação dos painéis considerada no projeto (graus)</t>
  </si>
  <si>
    <t>Inclinação percentual dos painéis</t>
  </si>
  <si>
    <t>Consumo mínimo mensal para o tipo de ligação (kWh/mês)</t>
  </si>
  <si>
    <t xml:space="preserve">Temperatura Máxima no local </t>
  </si>
  <si>
    <t xml:space="preserve">Temperatura Mínima no local </t>
  </si>
  <si>
    <t xml:space="preserve">Média de Horas de Sol Equivalente/dia ao longo do ano </t>
  </si>
  <si>
    <t xml:space="preserve">PAINEL </t>
  </si>
  <si>
    <t>Potência de cada painel (W)</t>
  </si>
  <si>
    <t>Quantidade de painéis</t>
  </si>
  <si>
    <t>Estimativa de área para instalação (m2)</t>
  </si>
  <si>
    <t>INVERSOR</t>
  </si>
  <si>
    <t>Modelo e Potência do Inversor</t>
  </si>
  <si>
    <t>Quantidade de inversores</t>
  </si>
  <si>
    <t>GERAÇÃO PREVISTA DE ENERGIA</t>
  </si>
  <si>
    <t xml:space="preserve">Potência total do arranjo fotovoltaico </t>
  </si>
  <si>
    <t>Energia média mensal gerada pelo sistema</t>
  </si>
  <si>
    <t>Energia total / ano</t>
  </si>
  <si>
    <t>kWh/ano</t>
  </si>
  <si>
    <t xml:space="preserve">Energia média mensal gerada por painel  </t>
  </si>
  <si>
    <t>COMPARATIVO ENTRE ENERGIA CONSUMIDA x COMPENSÁVEL x GERADA (kWh/mês)</t>
  </si>
  <si>
    <t>Energia mensal gerada pelo Sistema FV</t>
  </si>
  <si>
    <t>Energia Consumida (dados da fatura)</t>
  </si>
  <si>
    <t>Energia Compensável (energia base de cálculo para o Sistema FV)</t>
  </si>
  <si>
    <t>ALERTAS</t>
  </si>
  <si>
    <t>Potência Máxima Total na entrada do inversor para a condição calculada - PmaxDC (W)</t>
  </si>
  <si>
    <t>Status:</t>
  </si>
  <si>
    <t>GRÁFICOS</t>
  </si>
  <si>
    <t>Inclinação ideal dos painéis em função da Latitude (Graus)</t>
  </si>
  <si>
    <t>Inclinação considerada no cálculo do projeto (Graus)</t>
  </si>
  <si>
    <t xml:space="preserve">Temperatura Mínima </t>
  </si>
  <si>
    <t xml:space="preserve">Temperatura Máxima </t>
  </si>
  <si>
    <t>média</t>
  </si>
  <si>
    <t>Energia Consumida</t>
  </si>
  <si>
    <t>Consumo compensável (consumo - consumo mínimo mensal) em funçao do tipo de conexão à rede</t>
  </si>
  <si>
    <t>Consumo mensal a ser compensado pela geração fotovoltáica (base para o dimensionamento)</t>
  </si>
  <si>
    <t>Radiação Solar: Horas de Sol Equivalente</t>
  </si>
  <si>
    <t>Perda por sombreamento (%)</t>
  </si>
  <si>
    <t>Aproveitamento (%) = 100% - Perda</t>
  </si>
  <si>
    <t>Horas de sol/dia corrigida - considerando efeitos do sombreamento</t>
  </si>
  <si>
    <t>Perda/Ganho por inclinação</t>
  </si>
  <si>
    <t>RADIAÇÃO SOLAR CONSIDERANDO SOMBREAMENTO E INCLINAÇÃO (base para dimensionamento)</t>
  </si>
  <si>
    <t>POTENCIA e TENSÃO VMPP EM FUNÇÃO DA TEMPERATURA MÉDIA DO LOCAL</t>
  </si>
  <si>
    <t>Multiplicador de VMPP em função da Tmed</t>
  </si>
  <si>
    <t>Vmpp do painel em função da Temperatura Média</t>
  </si>
  <si>
    <t>PARÂMETROS PARA n. MÍN DE FILEIRAS, MÁX DE STRINGS EM PARALELO e MAX Isc</t>
  </si>
  <si>
    <t>Parâmetro</t>
  </si>
  <si>
    <t>Valor</t>
  </si>
  <si>
    <t>Voc para a mínima temperatura anual - pior caso na menor temperatura absoluta anual</t>
  </si>
  <si>
    <t>Vmpp para a máxima temperatura anual - pior caso na maior temperatura absoluta anual</t>
  </si>
  <si>
    <t>Isc (corrente de curto circuito máxima) - pior caso na maior temperatura absoluta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</si>
  <si>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</si>
  <si>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MÓDULOS FOTOVOLTAICOS</t>
  </si>
  <si>
    <t>RISEN</t>
  </si>
  <si>
    <t>CANADIAN</t>
  </si>
  <si>
    <t>DADOS DO PAINEL ESCOLHIDO</t>
  </si>
  <si>
    <t>340W</t>
  </si>
  <si>
    <t>400W</t>
  </si>
  <si>
    <t>365W</t>
  </si>
  <si>
    <t>420W</t>
  </si>
  <si>
    <t>Potência pico do módulo fotovoltáico</t>
  </si>
  <si>
    <t>Tensão em circuito aberto do módulo Fotovoltáico - do manual</t>
  </si>
  <si>
    <t>Tensão em máxima potência do módulo fotovoltáico - do manual</t>
  </si>
  <si>
    <t>Corrente nominal</t>
  </si>
  <si>
    <t>Im</t>
  </si>
  <si>
    <t>Corrente de Curto Circuito da fileira (string) de módulos (=Isc)</t>
  </si>
  <si>
    <t>Isc, string</t>
  </si>
  <si>
    <t>Coeficiente de temperatura de Voc</t>
  </si>
  <si>
    <t>Beta Voc</t>
  </si>
  <si>
    <t>%/grau Celsius</t>
  </si>
  <si>
    <t>Coeficiente de temperatura de Pmax</t>
  </si>
  <si>
    <t>Coeficiente de temperatura de Isc</t>
  </si>
  <si>
    <t>Alfa Isc</t>
  </si>
  <si>
    <t>grau Celsius</t>
  </si>
  <si>
    <t>Comprimento</t>
  </si>
  <si>
    <t>m</t>
  </si>
  <si>
    <t>Largura</t>
  </si>
  <si>
    <t>m2</t>
  </si>
  <si>
    <t>Areá média para instalação</t>
  </si>
  <si>
    <t>DADOS DO INVERSOR - BBPower - 1.6kW</t>
  </si>
  <si>
    <t>Tensão máxima de entrada do inversor (Vmpp max - do manual)</t>
  </si>
  <si>
    <t>Tensão mínima de entrada do inversor (Vmpp min - do manual)</t>
  </si>
  <si>
    <t>Corrente máxima de entrada do inversor - do manual</t>
  </si>
  <si>
    <t>Eficiência média do Inversor (rendimento europeu)</t>
  </si>
  <si>
    <t>n euro</t>
  </si>
  <si>
    <t>%</t>
  </si>
  <si>
    <t>Potência máxima CC de entrada</t>
  </si>
  <si>
    <t>PCCmax</t>
  </si>
  <si>
    <t>DADOS DO INVERSOR - BBPower - 3kW</t>
  </si>
  <si>
    <t>DADOS DO INVERSOR - BBPower - 5kW</t>
  </si>
  <si>
    <t>DADOS DO INVERSOR - BBPower - 12kW</t>
  </si>
  <si>
    <t>DADOS DO INVERSOR - BBPower - 20kW</t>
  </si>
  <si>
    <t xml:space="preserve">INVERSORES </t>
  </si>
  <si>
    <t>n. Entradas</t>
  </si>
  <si>
    <t>string / entrada</t>
  </si>
  <si>
    <t>Quantidade de Inversores necessários</t>
  </si>
  <si>
    <t>Max I saída AC</t>
  </si>
  <si>
    <t>Pmax CC</t>
  </si>
  <si>
    <t>V entrada DC max</t>
  </si>
  <si>
    <t>Quantidade máxima de painéis por inversor</t>
  </si>
  <si>
    <t>Quantidade mínima de painéis por inversor</t>
  </si>
  <si>
    <t>Quantidade de entradas e MPPTs</t>
  </si>
  <si>
    <t>MICROINVERSOR RENO560</t>
  </si>
  <si>
    <t>MÁX. total= 2x340W, 2x365W, 2x400W, 2x410W</t>
  </si>
  <si>
    <t>MIN POR ENTRADA = 1x340W, 1x365W, 1x400W, 1x410W</t>
  </si>
  <si>
    <t>O Microinversor RENO560 possui 2 entradas e 2 MPPTs</t>
  </si>
  <si>
    <t>MICROINVERSOR RENO560-LV</t>
  </si>
  <si>
    <t>O Microinversor RENO560-LV possui 2 entradas e 2 MPPTs</t>
  </si>
  <si>
    <t>MIN POR ENTRADA = 4x340W, 3x365W, 3x400W, 3x410W</t>
  </si>
  <si>
    <t>O Inversor RENO-3K-PLUS Possui 1 entrada e 1 MPPT</t>
  </si>
  <si>
    <t>MIN POR ENTRADA = 3x340W, 3x365W, 3x400W, 3x410W</t>
  </si>
  <si>
    <t>O Inversor RENO-4K-PLUS possui 2 entradas e 2 MPPTs</t>
  </si>
  <si>
    <t>O Inversor RENO-5K-PLUS possui 2 entradas e 2 MPPTs</t>
  </si>
  <si>
    <t>O Inversor RENO-8K possui 3 entradas e 3 MPPTs</t>
  </si>
  <si>
    <t>O Inversor RENO-10K possui 3 entradas e 3 MPPTs</t>
  </si>
  <si>
    <t>MIN POR ENTRADA = 5x340W, 5x365W, 5x400W, 5x410W</t>
  </si>
  <si>
    <t>O Inversor RENO-15K possui 4 entradas e 2 MPPTs</t>
  </si>
  <si>
    <t>MÁX. total = 72x340W, 66x365W, 60x400W, 60x410W</t>
  </si>
  <si>
    <t>MIN POR ENTRADA = 8x340W, 8x365W, 8x400W, 8x410W</t>
  </si>
  <si>
    <t>O Inversor RENO-20K possui 4 entradas e 2 MPPTs</t>
  </si>
  <si>
    <t>MIN POR ENTRADA =  8x340W, 8x365W, 8x400W, 8x410W</t>
  </si>
  <si>
    <t>O inversor RENO-20K-LV (TRI 220V) de 20kW possui 4 entradas e 2 MPPT</t>
  </si>
  <si>
    <t>O Inversor RENO-30K possui 8 entradas e 4 MPPTs</t>
  </si>
  <si>
    <t>MÁX. total = 111x340W, 99x365W, 93x400W, 90x410W</t>
  </si>
  <si>
    <t>O Inversor RENO-30K-LV (TRI 220V) de 30kW possui 6 entradas e 2 MPPTs</t>
  </si>
  <si>
    <t>O Inversor RENO-50K possui 12 entradas e 4 MPPTs</t>
  </si>
  <si>
    <t>O inversor RENO-60kW possui 12 entradas e 4 MPPTs</t>
  </si>
  <si>
    <t>MIN POR ENTRADA = 6x340W, 6x365W, 6x400W, 6x410W</t>
  </si>
  <si>
    <t>O inversor RENO-75kW possui 18 entradas e 2 MPPTs</t>
  </si>
  <si>
    <t>níveis de tensão Fase-Neutro</t>
  </si>
  <si>
    <t>DADOS DO INVERSOR - RENO 1500H - 1.5kW</t>
  </si>
  <si>
    <t>DADOS DO INVERSOR - RENO 3000HD - 3kW</t>
  </si>
  <si>
    <t>DADOS DO MICROINVERSOR - RENO500 - 0.5kW</t>
  </si>
  <si>
    <t>ESCOLHA</t>
  </si>
  <si>
    <t>UF</t>
  </si>
  <si>
    <t>Tmin</t>
  </si>
  <si>
    <t>TmaxAbs</t>
  </si>
  <si>
    <t>Cruzeiro do Sul</t>
  </si>
  <si>
    <t>AC</t>
  </si>
  <si>
    <t>Rio Branco</t>
  </si>
  <si>
    <t>Tarauacá</t>
  </si>
  <si>
    <t>Coruripe</t>
  </si>
  <si>
    <t>AL</t>
  </si>
  <si>
    <t>Maceió</t>
  </si>
  <si>
    <t>Barcelos</t>
  </si>
  <si>
    <t>AM</t>
  </si>
  <si>
    <t>Benjamin Constant</t>
  </si>
  <si>
    <t>Carauari</t>
  </si>
  <si>
    <t>Coari</t>
  </si>
  <si>
    <t>TminAbs</t>
  </si>
  <si>
    <t>Fonte Boa</t>
  </si>
  <si>
    <t>Iauaretê</t>
  </si>
  <si>
    <t>Itacoatiara</t>
  </si>
  <si>
    <t>Manaus</t>
  </si>
  <si>
    <t>Manicoré</t>
  </si>
  <si>
    <t>Paricachoeira</t>
  </si>
  <si>
    <t>Parintins</t>
  </si>
  <si>
    <t>Rio Içana</t>
  </si>
  <si>
    <t>S. G. da Cachoeira(Uaupés)</t>
  </si>
  <si>
    <t>Santa Izabel do Rio Negro</t>
  </si>
  <si>
    <t>Taracuá</t>
  </si>
  <si>
    <t>Tefé</t>
  </si>
  <si>
    <t>Cupixi</t>
  </si>
  <si>
    <t>AP</t>
  </si>
  <si>
    <t>Macapá</t>
  </si>
  <si>
    <t>Porto Platon</t>
  </si>
  <si>
    <t>Alagoinhas</t>
  </si>
  <si>
    <t>BA</t>
  </si>
  <si>
    <t>Barreiras</t>
  </si>
  <si>
    <t>Bom Jesus da Lapa</t>
  </si>
  <si>
    <t>Caetité</t>
  </si>
  <si>
    <t>Caravelas</t>
  </si>
  <si>
    <t>Cipó</t>
  </si>
  <si>
    <t>Ilhéus</t>
  </si>
  <si>
    <t>Itaberaba</t>
  </si>
  <si>
    <t>Itiruçu (Jaguaquara)</t>
  </si>
  <si>
    <t>Jacobina</t>
  </si>
  <si>
    <t>Lençóis</t>
  </si>
  <si>
    <t>Monte Santo</t>
  </si>
  <si>
    <t>Morro do Chapéu</t>
  </si>
  <si>
    <t>Paulo Afonso</t>
  </si>
  <si>
    <t>Remanso</t>
  </si>
  <si>
    <t>Salvador</t>
  </si>
  <si>
    <t>Santa Rita de Cássia</t>
  </si>
  <si>
    <t>São Francisco do Conde</t>
  </si>
  <si>
    <t>Serrinha</t>
  </si>
  <si>
    <t>Barbalha</t>
  </si>
  <si>
    <t>CE</t>
  </si>
  <si>
    <t>Campos Sales</t>
  </si>
  <si>
    <t>Crateús</t>
  </si>
  <si>
    <t>Fortaleza</t>
  </si>
  <si>
    <t>Guaramiranga</t>
  </si>
  <si>
    <t>Iguatu</t>
  </si>
  <si>
    <t>Morada Nova</t>
  </si>
  <si>
    <t>Quixeramobim</t>
  </si>
  <si>
    <t>Sobral</t>
  </si>
  <si>
    <t>Tauá</t>
  </si>
  <si>
    <t>Brasília</t>
  </si>
  <si>
    <t>DF</t>
  </si>
  <si>
    <t>Cachoeiro do Itapemirim</t>
  </si>
  <si>
    <t>ES</t>
  </si>
  <si>
    <t>Linhares</t>
  </si>
  <si>
    <t>Vitória</t>
  </si>
  <si>
    <t>Aragarças</t>
  </si>
  <si>
    <t>GO</t>
  </si>
  <si>
    <t>Catalão</t>
  </si>
  <si>
    <t>Formosa</t>
  </si>
  <si>
    <t>Goiânia</t>
  </si>
  <si>
    <t>Goiás</t>
  </si>
  <si>
    <t>Jataí</t>
  </si>
  <si>
    <t>Mineiros</t>
  </si>
  <si>
    <t>Pirenópolis</t>
  </si>
  <si>
    <t>Rio Verde</t>
  </si>
  <si>
    <t>Barra do Corda</t>
  </si>
  <si>
    <t>MA</t>
  </si>
  <si>
    <t>Carolina</t>
  </si>
  <si>
    <t>Caxias</t>
  </si>
  <si>
    <t>Grajaú</t>
  </si>
  <si>
    <t>Imperatriz</t>
  </si>
  <si>
    <t>São Luís</t>
  </si>
  <si>
    <t>Zé Doca</t>
  </si>
  <si>
    <t>Araçuaí</t>
  </si>
  <si>
    <t>MG</t>
  </si>
  <si>
    <t>Araxá</t>
  </si>
  <si>
    <t>Bambuí</t>
  </si>
  <si>
    <t>Barbacena</t>
  </si>
  <si>
    <t>Belo Horizonte</t>
  </si>
  <si>
    <t>Caldas (P. de Caldas)</t>
  </si>
  <si>
    <t>Cambuquira</t>
  </si>
  <si>
    <t>Capinópolis</t>
  </si>
  <si>
    <t>Caratinga</t>
  </si>
  <si>
    <t>Cataguases</t>
  </si>
  <si>
    <t>Caxambu</t>
  </si>
  <si>
    <t>Conceição do Mato Dentro</t>
  </si>
  <si>
    <t>Coronel Pacheco</t>
  </si>
  <si>
    <t>Curvelo</t>
  </si>
  <si>
    <t>Diamantina</t>
  </si>
  <si>
    <t>Espinosa</t>
  </si>
  <si>
    <t>Florestal</t>
  </si>
  <si>
    <t>Frutal</t>
  </si>
  <si>
    <t>Governador Valadares</t>
  </si>
  <si>
    <t>Ibirité</t>
  </si>
  <si>
    <t>Itamarandiba</t>
  </si>
  <si>
    <t>Itambacuri</t>
  </si>
  <si>
    <t>Januária</t>
  </si>
  <si>
    <t>João Monlevade</t>
  </si>
  <si>
    <t>João Pinheiro</t>
  </si>
  <si>
    <t>Juiz de Fora</t>
  </si>
  <si>
    <t>Lavras</t>
  </si>
  <si>
    <t>Lavras-ESAL.</t>
  </si>
  <si>
    <t>Machado</t>
  </si>
  <si>
    <t>Minas Novas</t>
  </si>
  <si>
    <t>Montes Claros</t>
  </si>
  <si>
    <t>Oliveira</t>
  </si>
  <si>
    <t>Ouro Fino</t>
  </si>
  <si>
    <t>Passa Quatro</t>
  </si>
  <si>
    <t>Patos de Minas</t>
  </si>
  <si>
    <t>Pedra Azul</t>
  </si>
  <si>
    <t>Pirapora</t>
  </si>
  <si>
    <t>Pompeu</t>
  </si>
  <si>
    <t>Salinas</t>
  </si>
  <si>
    <t>São Francisco</t>
  </si>
  <si>
    <t>São João del-Rei</t>
  </si>
  <si>
    <t>São Lourenço</t>
  </si>
  <si>
    <t>Sete Lagoas</t>
  </si>
  <si>
    <t>Teófilo Otoni</t>
  </si>
  <si>
    <t>Uberaba</t>
  </si>
  <si>
    <t>Viçosa</t>
  </si>
  <si>
    <t>Campo Grande</t>
  </si>
  <si>
    <t>MS</t>
  </si>
  <si>
    <t>Coxim</t>
  </si>
  <si>
    <t>Dourados</t>
  </si>
  <si>
    <t>Ivinhema</t>
  </si>
  <si>
    <t>Paranaíba</t>
  </si>
  <si>
    <t>Ponta Porã</t>
  </si>
  <si>
    <t>Cáceres</t>
  </si>
  <si>
    <t>MT</t>
  </si>
  <si>
    <t>Cuiabá</t>
  </si>
  <si>
    <t>Diamantino</t>
  </si>
  <si>
    <t>Gleba Celeste</t>
  </si>
  <si>
    <t>Sangradouro</t>
  </si>
  <si>
    <t>Altamira</t>
  </si>
  <si>
    <t>PA</t>
  </si>
  <si>
    <t>Alto Tapajós</t>
  </si>
  <si>
    <t>Belém</t>
  </si>
  <si>
    <t>Belterra</t>
  </si>
  <si>
    <t>Breves</t>
  </si>
  <si>
    <t>Cametá</t>
  </si>
  <si>
    <t>Conceição do Araguaia</t>
  </si>
  <si>
    <t>Itaituba</t>
  </si>
  <si>
    <t>Marabá</t>
  </si>
  <si>
    <t>Monte Alegre</t>
  </si>
  <si>
    <t>Óbidos</t>
  </si>
  <si>
    <t>Porto de Moz</t>
  </si>
  <si>
    <t xml:space="preserve">Santarém </t>
  </si>
  <si>
    <t>São Félix do Xingu</t>
  </si>
  <si>
    <t>Soure</t>
  </si>
  <si>
    <t>Tracuateua</t>
  </si>
  <si>
    <t>Tucuruí</t>
  </si>
  <si>
    <t>Campina Grande</t>
  </si>
  <si>
    <t>PB</t>
  </si>
  <si>
    <t>João Pessoa</t>
  </si>
  <si>
    <t>Monteiro</t>
  </si>
  <si>
    <t>São Gonçalo</t>
  </si>
  <si>
    <t>Arcoverde</t>
  </si>
  <si>
    <t>PE</t>
  </si>
  <si>
    <t>Cabrobó</t>
  </si>
  <si>
    <t>Caruaru</t>
  </si>
  <si>
    <t>Floresta</t>
  </si>
  <si>
    <t>Garanhuns</t>
  </si>
  <si>
    <t>Pesqueira</t>
  </si>
  <si>
    <t>Petrolina</t>
  </si>
  <si>
    <t xml:space="preserve">Recife </t>
  </si>
  <si>
    <t>Surubim</t>
  </si>
  <si>
    <t>Triunfo</t>
  </si>
  <si>
    <t>Bom Jesus do Piauí</t>
  </si>
  <si>
    <t>PI</t>
  </si>
  <si>
    <t>Floriano</t>
  </si>
  <si>
    <t>Picos</t>
  </si>
  <si>
    <t>Teresina</t>
  </si>
  <si>
    <t>Campo Mourão</t>
  </si>
  <si>
    <t>PR</t>
  </si>
  <si>
    <t>Castro</t>
  </si>
  <si>
    <t>Curitiba</t>
  </si>
  <si>
    <t>Foz do lguaçu</t>
  </si>
  <si>
    <t>Guaíra</t>
  </si>
  <si>
    <t>Guarapuava</t>
  </si>
  <si>
    <t>Irati</t>
  </si>
  <si>
    <t>Ivaí</t>
  </si>
  <si>
    <t>Jacarezinho</t>
  </si>
  <si>
    <t>Londrina</t>
  </si>
  <si>
    <t>Maringá</t>
  </si>
  <si>
    <t>Palmas</t>
  </si>
  <si>
    <t>Paranaguá</t>
  </si>
  <si>
    <t>Ponta Grossa</t>
  </si>
  <si>
    <t>Rio Negro</t>
  </si>
  <si>
    <t>São Mateus do Sul</t>
  </si>
  <si>
    <t>Toledo</t>
  </si>
  <si>
    <t>Alto da Boa Vista</t>
  </si>
  <si>
    <t>RJ</t>
  </si>
  <si>
    <t>-</t>
  </si>
  <si>
    <t>Angra dos Reis</t>
  </si>
  <si>
    <t>Araras</t>
  </si>
  <si>
    <t>Bangu</t>
  </si>
  <si>
    <t>Barreirinha</t>
  </si>
  <si>
    <t>Cabo Frio (Alcalis)</t>
  </si>
  <si>
    <t xml:space="preserve">Campos </t>
  </si>
  <si>
    <t>Carmo</t>
  </si>
  <si>
    <t>Cordeiro</t>
  </si>
  <si>
    <t>Ecologia Agrícola</t>
  </si>
  <si>
    <t>Engenho de Dentro</t>
  </si>
  <si>
    <t>Ilha Guaíba</t>
  </si>
  <si>
    <t>Itaperuna</t>
  </si>
  <si>
    <t>Jacarepaguá</t>
  </si>
  <si>
    <t>Nova Friburgo</t>
  </si>
  <si>
    <t>Penha</t>
  </si>
  <si>
    <t>Pinheiral</t>
  </si>
  <si>
    <t>Piraí</t>
  </si>
  <si>
    <t>Resende</t>
  </si>
  <si>
    <t>Rio de Janeiro</t>
  </si>
  <si>
    <t>Santa Teresa</t>
  </si>
  <si>
    <t>Santo Antônio de Pádua</t>
  </si>
  <si>
    <t>São Bento (Duque de Caxias)</t>
  </si>
  <si>
    <t>Teresópolis</t>
  </si>
  <si>
    <t>Tinguá</t>
  </si>
  <si>
    <t>Vassouras</t>
  </si>
  <si>
    <t>Apodí</t>
  </si>
  <si>
    <t>RN</t>
  </si>
  <si>
    <t>Ceará Mirim</t>
  </si>
  <si>
    <t>Cruzeta</t>
  </si>
  <si>
    <t>Florânia</t>
  </si>
  <si>
    <t>Macau</t>
  </si>
  <si>
    <t>Natal</t>
  </si>
  <si>
    <t>Porto Velho</t>
  </si>
  <si>
    <t>RO</t>
  </si>
  <si>
    <t>Boa Vista</t>
  </si>
  <si>
    <t>RR</t>
  </si>
  <si>
    <t>Alegrete</t>
  </si>
  <si>
    <t>Bagé</t>
  </si>
  <si>
    <t>Bento Gonçalves</t>
  </si>
  <si>
    <t>Bom Jesus</t>
  </si>
  <si>
    <t>Caçapava do Sul</t>
  </si>
  <si>
    <t>Cachoeira do Sul</t>
  </si>
  <si>
    <t>Caxias do Sul</t>
  </si>
  <si>
    <t>Cruz Alta</t>
  </si>
  <si>
    <t>Encruzilhada do Sul</t>
  </si>
  <si>
    <t>Guaporé</t>
  </si>
  <si>
    <t>Iraí</t>
  </si>
  <si>
    <t>Itaqui</t>
  </si>
  <si>
    <t>Lagoa Vermelha</t>
  </si>
  <si>
    <t>Marcelino Ramos</t>
  </si>
  <si>
    <t>Passo Fundo</t>
  </si>
  <si>
    <t>Pelotas</t>
  </si>
  <si>
    <t>Porto Alegre</t>
  </si>
  <si>
    <t>Rio Grande</t>
  </si>
  <si>
    <t>Santa Maria</t>
  </si>
  <si>
    <t>Santa Vitória do Palmar</t>
  </si>
  <si>
    <t>Santana do Livramento</t>
  </si>
  <si>
    <t>São Gabriel</t>
  </si>
  <si>
    <t>São Luiz Gonzaga</t>
  </si>
  <si>
    <t>Tapes</t>
  </si>
  <si>
    <t>Torres</t>
  </si>
  <si>
    <t>Uruguaiana</t>
  </si>
  <si>
    <t>Vacaria</t>
  </si>
  <si>
    <t xml:space="preserve"> Araranguá </t>
  </si>
  <si>
    <t>SC</t>
  </si>
  <si>
    <t>Camboriú</t>
  </si>
  <si>
    <t>Campos Novos</t>
  </si>
  <si>
    <t>Chapecó</t>
  </si>
  <si>
    <t>Florianópolis</t>
  </si>
  <si>
    <t xml:space="preserve">Irineópolis </t>
  </si>
  <si>
    <t>Lages</t>
  </si>
  <si>
    <t>Laguna</t>
  </si>
  <si>
    <t>Orleans</t>
  </si>
  <si>
    <t>Porto União</t>
  </si>
  <si>
    <t>São Francisco do Sul</t>
  </si>
  <si>
    <t>São Joaquim</t>
  </si>
  <si>
    <t>Urussanga</t>
  </si>
  <si>
    <t>Xanxerê</t>
  </si>
  <si>
    <t>Aracaju</t>
  </si>
  <si>
    <t>SE</t>
  </si>
  <si>
    <t>Itabaianinha</t>
  </si>
  <si>
    <t>Araçatuba</t>
  </si>
  <si>
    <t>SP</t>
  </si>
  <si>
    <t>Avaré</t>
  </si>
  <si>
    <t>Bananal</t>
  </si>
  <si>
    <t>Campinas</t>
  </si>
  <si>
    <t>Campos do Jordão</t>
  </si>
  <si>
    <t>Catanduva</t>
  </si>
  <si>
    <t>Coop. Agrícola de Cotia</t>
  </si>
  <si>
    <t>Franca</t>
  </si>
  <si>
    <t>Iguape</t>
  </si>
  <si>
    <t>Itapeva</t>
  </si>
  <si>
    <t>Lins</t>
  </si>
  <si>
    <t>Mogi das Cruzes</t>
  </si>
  <si>
    <t>Presidente Prudente</t>
  </si>
  <si>
    <t>Santa Rita</t>
  </si>
  <si>
    <t>Santos</t>
  </si>
  <si>
    <t>São Carlos</t>
  </si>
  <si>
    <t>São José dos Campos</t>
  </si>
  <si>
    <t>São Paulo</t>
  </si>
  <si>
    <t>São Simão</t>
  </si>
  <si>
    <t>Sertãozinho</t>
  </si>
  <si>
    <t>Sorocaba</t>
  </si>
  <si>
    <t>Taubaté</t>
  </si>
  <si>
    <t>Tremembé</t>
  </si>
  <si>
    <t>Ubatuba</t>
  </si>
  <si>
    <t>Votuporanga</t>
  </si>
  <si>
    <t>TO</t>
  </si>
  <si>
    <t>Paranã</t>
  </si>
  <si>
    <t>Pedro Afonso</t>
  </si>
  <si>
    <t>Peixe</t>
  </si>
  <si>
    <t>Porto Nacional</t>
  </si>
  <si>
    <t>Taguatinga</t>
  </si>
  <si>
    <t>Estados</t>
  </si>
  <si>
    <t xml:space="preserve">AM </t>
  </si>
  <si>
    <t>Latitude arredondada</t>
  </si>
  <si>
    <t>Inclinação arredondada</t>
  </si>
  <si>
    <t>ajustes dos dados para busca</t>
  </si>
  <si>
    <t>Valores para a Latitue e Inclinação:</t>
  </si>
  <si>
    <t>lat+inclin</t>
  </si>
  <si>
    <t>latitude</t>
  </si>
  <si>
    <t>inclinaçao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</si>
  <si>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</si>
  <si>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</si>
  <si>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</si>
  <si>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</si>
  <si>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</si>
  <si>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</si>
  <si>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</si>
  <si>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</si>
  <si>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</si>
  <si>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</si>
  <si>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</si>
  <si>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</si>
  <si>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,,81</t>
  </si>
  <si>
    <t>1,,09</t>
  </si>
  <si>
    <t>alterações realizadas</t>
  </si>
  <si>
    <t>em 14/04/15</t>
  </si>
  <si>
    <t>retirado inversor de 10k e inserido de 20k</t>
  </si>
  <si>
    <t>inserida conversão de graus de inclinação dos painéis para inclinação percentual</t>
  </si>
  <si>
    <t>Inserido cidade / estado</t>
  </si>
  <si>
    <t>Revisadas as mensagens de alerta</t>
  </si>
  <si>
    <t>em 12/09/15</t>
  </si>
  <si>
    <t>Incluido painel de 300W</t>
  </si>
  <si>
    <t>em 27/09/15</t>
  </si>
  <si>
    <t>inserida nova aba de entrada de dados</t>
  </si>
  <si>
    <t>busca por temperaturas automática por meio da seleção da cidade</t>
  </si>
  <si>
    <t>substituida temperatura mínima absoluta por temperatura mínima para calculo de VOC max do painel</t>
  </si>
  <si>
    <t>corrigido o limite máximo de painéis em função da tensão máxima DC do inversor</t>
  </si>
  <si>
    <t>em 14/10/15</t>
  </si>
  <si>
    <t>quantidade de paineis calculada pela média ponderada entre a quantidade/mês e a radiação/mês</t>
  </si>
  <si>
    <t>corrigidos os cálculos de potência na entrada e saida do inversor</t>
  </si>
  <si>
    <t>corrigido erro quando selecionava painel de 300W</t>
  </si>
  <si>
    <t>em 19/12/15</t>
  </si>
  <si>
    <t xml:space="preserve">refeito o cálculo da quantidade de paineis </t>
  </si>
  <si>
    <t>foram consideradas as perdas pela temperatura, perdas DC e perda no inversor (rendimento)</t>
  </si>
  <si>
    <t>para o dimensionamento da quantidade de painéis foram consideradas todas as perdas</t>
  </si>
  <si>
    <t>para o dimensionamento do inversor foram consideradas somente as perdas por temperatura, pois as outras perdas podem não ocorrer no valor estimado</t>
  </si>
  <si>
    <t>foi inserido Entradas por tipo de inversor</t>
  </si>
  <si>
    <t>Em 08/06/16</t>
  </si>
  <si>
    <t>Coeficiente α (Correção na Quantidade de Inversores)</t>
  </si>
  <si>
    <t>Avisos prévios na  aba cálculo</t>
  </si>
  <si>
    <t>Acrescimo do Inversor de 12kW</t>
  </si>
  <si>
    <t>Em 23/06/16</t>
  </si>
  <si>
    <t>Correção da planilha de inclinação para quando</t>
  </si>
  <si>
    <t>utilizada simulação com latitude 29°.</t>
  </si>
  <si>
    <t>Em 11/07/16</t>
  </si>
  <si>
    <t>Atualizada para o painel de 320W</t>
  </si>
  <si>
    <t>Em 02/08/16</t>
  </si>
  <si>
    <t>Atualização para o painel de 260W</t>
  </si>
  <si>
    <t>Em 15/05/17</t>
  </si>
  <si>
    <t>Atualização para 270W</t>
  </si>
  <si>
    <t>Em 31/07/2017</t>
  </si>
  <si>
    <t>inserido os novos inversores</t>
  </si>
  <si>
    <t>Em 28/11/2017</t>
  </si>
  <si>
    <t>Inserido Inversor 50kW</t>
  </si>
  <si>
    <t>Em 12/06/2018</t>
  </si>
  <si>
    <t>Alterado o painel para 330W, e quantidade de painéis por inversor.</t>
  </si>
  <si>
    <t>Inclusão do módulo de 325W Canadian e melhorias no layout</t>
  </si>
  <si>
    <t>Em 13/12/2018</t>
  </si>
  <si>
    <t>Inclusão 320W</t>
  </si>
  <si>
    <t>Inclusão Inversor RENO-5K-PLUS</t>
  </si>
  <si>
    <t>Em 07/01/2019</t>
  </si>
  <si>
    <t>Inseridos os inversores 20K-LV e 30K-LV.</t>
  </si>
  <si>
    <t>Em 05/02</t>
  </si>
  <si>
    <t>Inserido módulo 370W e RENO-4K-PLUS</t>
  </si>
  <si>
    <t>Em 02/04</t>
  </si>
  <si>
    <t>Inclusão módulo 340W</t>
  </si>
  <si>
    <t>Retirada módulo 270W</t>
  </si>
  <si>
    <t>Em 01/07</t>
  </si>
  <si>
    <t>Inclusão módulos 400W</t>
  </si>
  <si>
    <t>Em 02/07</t>
  </si>
  <si>
    <t>Inclusão Inversor RENO-10K</t>
  </si>
  <si>
    <t>Em 11/09/2019</t>
  </si>
  <si>
    <t xml:space="preserve">Inclusão RENO-8K </t>
  </si>
  <si>
    <t>Inclusão RENO-3K-PLUS</t>
  </si>
  <si>
    <t>Em 14/10</t>
  </si>
  <si>
    <t>Inclusão RENO-20K</t>
  </si>
  <si>
    <t xml:space="preserve">Melhorias </t>
  </si>
  <si>
    <t>Em 07/11</t>
  </si>
  <si>
    <t xml:space="preserve">Retirada de módulos não utilizados </t>
  </si>
  <si>
    <t>Inclusão módulo 410W</t>
  </si>
  <si>
    <t>Em 05/12</t>
  </si>
  <si>
    <t>Inclusão módulo 365W</t>
  </si>
  <si>
    <t>Inclusão Inversor RENO-15K</t>
  </si>
  <si>
    <t>Em 21/01/21- CARINE</t>
  </si>
  <si>
    <t>Inclusão módulo 420W</t>
  </si>
  <si>
    <t>Inclusão Inversor RENO-75K</t>
  </si>
  <si>
    <t>UC 1</t>
  </si>
  <si>
    <t>UC 2</t>
  </si>
  <si>
    <t>UC 3</t>
  </si>
  <si>
    <t>UC 4</t>
  </si>
  <si>
    <t>TALESUN</t>
  </si>
  <si>
    <t>405W</t>
  </si>
  <si>
    <t>415W</t>
  </si>
  <si>
    <t>440W</t>
  </si>
  <si>
    <t>535W</t>
  </si>
  <si>
    <t>JA SOLAR</t>
  </si>
  <si>
    <t>MÁX. total= 2x340W, 2x365W, 2x400W, 2x410W,</t>
  </si>
  <si>
    <t>Preço tabela 415 W</t>
  </si>
  <si>
    <t>Preço tabela 535 W</t>
  </si>
  <si>
    <t>Preço tabela 400 W</t>
  </si>
  <si>
    <t>Ijuí</t>
  </si>
  <si>
    <t>Cassiá</t>
  </si>
  <si>
    <t>Preço tabela 340 W</t>
  </si>
  <si>
    <t>Padrão de entrada</t>
  </si>
  <si>
    <t>M</t>
  </si>
  <si>
    <t>Valor kWh</t>
  </si>
  <si>
    <t>B</t>
  </si>
  <si>
    <t>Valor Iluminação R$</t>
  </si>
  <si>
    <t>Porcentagem cons. Instantâneo %</t>
  </si>
  <si>
    <t>Valor TUSD R$</t>
  </si>
  <si>
    <t>Pagamento mensal</t>
  </si>
  <si>
    <t xml:space="preserve">Média </t>
  </si>
  <si>
    <t xml:space="preserve">Inflação Energética: 5% </t>
  </si>
  <si>
    <t>Investimento:</t>
  </si>
  <si>
    <t>Ano</t>
  </si>
  <si>
    <t>Energia Gerada kWh</t>
  </si>
  <si>
    <t>Tarifa Energética</t>
  </si>
  <si>
    <t xml:space="preserve">Economia Ano </t>
  </si>
  <si>
    <t>Somatória</t>
  </si>
  <si>
    <t>Consumo Instatâneo:</t>
  </si>
  <si>
    <t>Descontando taxas</t>
  </si>
  <si>
    <t>Taxas</t>
  </si>
  <si>
    <t>Economia ano</t>
  </si>
  <si>
    <t>Previsão Tusd 5% ano</t>
  </si>
  <si>
    <t>450W</t>
  </si>
  <si>
    <t>Preço tabela 450 W</t>
  </si>
  <si>
    <t>Eugênio Fronza</t>
  </si>
  <si>
    <t>MÁX. total= 12x340W, 12x365W, 11x400W, 10x410W, 10x420W, 10x440W, 10x450W, 8x535W</t>
  </si>
  <si>
    <t>MIN POR ENTRADA = 4x340W, 3x365W, 3x400W, 3x410W, 3x420W, 3x440W, 3x450W, 3x535W</t>
  </si>
  <si>
    <t>MÁX. total = 18x340W, 16x365W, 15x400W, 14x410W,14x420W, 13x440W, 13x450W, 11x535W</t>
  </si>
  <si>
    <t>MÁX. total= 22x340W, 20x365W, 18x400W, 18x410W, 17x420W, 17x440W, 16x450W, 14x535W</t>
  </si>
  <si>
    <t>MÁX. total= 33x340W, 30x365W, 28x400W, 27x410W, 26x420W, 25x440W, 24x450W, 20x535W</t>
  </si>
  <si>
    <t>MÁX. total= 36x340W, 33x365W, 30x400W, 29x410W, 28x420W, 27x440W, 26x450W, 22x535W</t>
  </si>
  <si>
    <t>MÁX. total = 52x340W, 50x365W, 46x400W, 44x410W, 42x420W, 40x440W, 40x450W, 32x535W</t>
  </si>
  <si>
    <t>MÁX. total = 72x340W, 66x365W, 60x400W, 60x410W, 56x420W, 54x440W, 52x450W, 44x535W</t>
  </si>
  <si>
    <t>MÁX. total = 112x340W, 100x365W, 92x400W, 90x410W, 84x420W, 80x440W, 80x450W, 66x535W</t>
  </si>
  <si>
    <t>MÁX. total = 192x340W, 174x365W, 159x400W, 156x410W, 153x420W, 147x440W, 144x450W, 120x535W</t>
  </si>
  <si>
    <t>MÁX. total = 216x340W, 198x365W, 180x400W, 177x410W, 171x420W, 162x440W, 159x450W, 136x535W</t>
  </si>
  <si>
    <t>MÁX. total = 330x340W, 308x365W, 280x400W, 274x410W, 266x420W, 254x440W, 250x450W, 210x535W</t>
  </si>
  <si>
    <t>SOBRA %</t>
  </si>
  <si>
    <t>Eficiência Máxima</t>
  </si>
  <si>
    <t>Potência na saída</t>
  </si>
  <si>
    <t>Módulo (W)</t>
  </si>
  <si>
    <t xml:space="preserve">Eficiência máxima </t>
  </si>
  <si>
    <t>360W</t>
  </si>
  <si>
    <t xml:space="preserve"> (T)</t>
  </si>
  <si>
    <t>(C)</t>
  </si>
  <si>
    <t xml:space="preserve"> (c)</t>
  </si>
  <si>
    <t xml:space="preserve"> (r)</t>
  </si>
  <si>
    <t>(r)</t>
  </si>
  <si>
    <t>MARCA</t>
  </si>
  <si>
    <t>445W</t>
  </si>
  <si>
    <t>Preço tabela 445 W</t>
  </si>
  <si>
    <t xml:space="preserve">Miguel Rigon Damitz </t>
  </si>
  <si>
    <t>540W</t>
  </si>
  <si>
    <t>545W</t>
  </si>
  <si>
    <t xml:space="preserve"> (JA)</t>
  </si>
  <si>
    <t>Carine Nardino Linck</t>
  </si>
  <si>
    <t>INVERSOR RENO-5k-PLUS</t>
  </si>
  <si>
    <t>INVERSOR RENO-8k</t>
  </si>
  <si>
    <t>INVERSOR RENO-10k</t>
  </si>
  <si>
    <t>INVERSOR RENO-15k</t>
  </si>
  <si>
    <t>INVERSOR RENO-20k-LV (TRI 220V)</t>
  </si>
  <si>
    <t>INVERSOR RENO-50k</t>
  </si>
  <si>
    <t>INVERSOR RENO-60k</t>
  </si>
  <si>
    <t>INVERSOR RENO-75k</t>
  </si>
  <si>
    <t>20,6</t>
  </si>
  <si>
    <t>Tayamã Disconzi De Moraes</t>
  </si>
  <si>
    <t>CPF</t>
  </si>
  <si>
    <t>455W</t>
  </si>
  <si>
    <t>Nome para o orçamento</t>
  </si>
  <si>
    <t>Alterar preço aqui Preço</t>
  </si>
  <si>
    <t>Garantia</t>
  </si>
  <si>
    <t>Máximo de painéis</t>
  </si>
  <si>
    <t>Quant. De módulos inv. Suporta</t>
  </si>
  <si>
    <t>INVERSOR RENO-7,7k</t>
  </si>
  <si>
    <t>Preço tabela 545 W</t>
  </si>
  <si>
    <t>Mini trilho</t>
  </si>
  <si>
    <t>Pé em L</t>
  </si>
  <si>
    <t>Tipo de estrutura</t>
  </si>
  <si>
    <t>Estrutura</t>
  </si>
  <si>
    <t>Gislaine Fagundes</t>
  </si>
  <si>
    <t>INVERSOR RENO-20k (TRI 380V)</t>
  </si>
  <si>
    <t>INVERSOR RENO-30k - NG (TRI 380V)</t>
  </si>
  <si>
    <t>INVERSOR RENO-30k (TRI 380V)</t>
  </si>
  <si>
    <t>INVERSOR RENO-3k- HC</t>
  </si>
  <si>
    <t>INVERSOR RENO-4k- HC</t>
  </si>
  <si>
    <t>Victor Radin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</si>
</sst>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0.000"/>
    <numFmt numFmtId="166" formatCode="0.0000"/>
    <numFmt numFmtId="167" formatCode="0.0%"/>
    <numFmt numFmtId="168" formatCode="#,##0.0"/>
    <numFmt numFmtId="169" formatCode="[$-F800]dddd\,\ mmmm\ dd\,\ yyyy"/>
    <numFmt numFmtId="170" formatCode="#,##0_ ;\-#,##0\ "/>
    <numFmt numFmtId="171" formatCode="&quot;R$&quot;\ #,##0.00"/>
  </numFmts>
  <fonts count="5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u/>
      <sz val="11"/>
      <color indexed="8"/>
      <name val="Calibri"/>
      <family val="2"/>
    </font>
    <font>
      <sz val="14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sz val="10"/>
      <name val="HelveticaNeue LT 55 Roman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indexed="30"/>
      <name val="Calibri"/>
      <family val="2"/>
    </font>
    <font>
      <i/>
      <sz val="12"/>
      <color indexed="30"/>
      <name val="Arial"/>
      <family val="2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theme="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62"/>
        <bgColor indexed="5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theme="1"/>
      </left>
      <right/>
      <top/>
      <bottom/>
      <diagonal/>
    </border>
  </borders>
  <cellStyleXfs count="87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4" fillId="2" borderId="0" xfId="0" applyFon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0" fontId="15" fillId="0" borderId="0" xfId="0" applyFont="1"/>
    <xf numFmtId="0" fontId="17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0" borderId="0" xfId="0" applyFont="1"/>
    <xf numFmtId="0" fontId="0" fillId="11" borderId="0" xfId="0" applyFill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20" fillId="12" borderId="5" xfId="0" applyFont="1" applyFill="1" applyBorder="1" applyAlignment="1">
      <alignment horizontal="center"/>
    </xf>
    <xf numFmtId="0" fontId="20" fillId="12" borderId="5" xfId="0" applyFont="1" applyFill="1" applyBorder="1"/>
    <xf numFmtId="0" fontId="0" fillId="11" borderId="1" xfId="0" applyFill="1" applyBorder="1" applyAlignment="1">
      <alignment horizontal="left" indent="1"/>
    </xf>
    <xf numFmtId="1" fontId="0" fillId="11" borderId="6" xfId="0" applyNumberFormat="1" applyFill="1" applyBorder="1"/>
    <xf numFmtId="1" fontId="0" fillId="11" borderId="6" xfId="0" applyNumberFormat="1" applyFill="1" applyBorder="1" applyAlignment="1">
      <alignment horizontal="left" indent="2"/>
    </xf>
    <xf numFmtId="0" fontId="4" fillId="10" borderId="1" xfId="0" applyFont="1" applyFill="1" applyBorder="1" applyAlignment="1">
      <alignment horizontal="left"/>
    </xf>
    <xf numFmtId="1" fontId="0" fillId="4" borderId="0" xfId="0" applyNumberFormat="1" applyFill="1"/>
    <xf numFmtId="0" fontId="0" fillId="3" borderId="0" xfId="0" applyFill="1" applyAlignment="1">
      <alignment horizontal="left" indent="2"/>
    </xf>
    <xf numFmtId="164" fontId="0" fillId="3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7" fontId="0" fillId="0" borderId="0" xfId="0" applyNumberFormat="1"/>
    <xf numFmtId="0" fontId="4" fillId="4" borderId="0" xfId="0" applyFont="1" applyFill="1"/>
    <xf numFmtId="1" fontId="4" fillId="4" borderId="0" xfId="0" applyNumberFormat="1" applyFont="1" applyFill="1"/>
    <xf numFmtId="0" fontId="17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23" fillId="12" borderId="1" xfId="0" applyFont="1" applyFill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 wrapText="1"/>
    </xf>
    <xf numFmtId="3" fontId="23" fillId="12" borderId="1" xfId="0" applyNumberFormat="1" applyFont="1" applyFill="1" applyBorder="1" applyAlignment="1">
      <alignment horizontal="center" vertical="center"/>
    </xf>
    <xf numFmtId="0" fontId="24" fillId="0" borderId="0" xfId="0" applyFont="1"/>
    <xf numFmtId="0" fontId="25" fillId="13" borderId="0" xfId="0" applyFont="1" applyFill="1" applyAlignment="1">
      <alignment horizontal="center"/>
    </xf>
    <xf numFmtId="0" fontId="26" fillId="13" borderId="0" xfId="0" applyFont="1" applyFill="1" applyAlignment="1">
      <alignment horizontal="center"/>
    </xf>
    <xf numFmtId="0" fontId="27" fillId="14" borderId="4" xfId="0" applyFon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11" borderId="0" xfId="0" applyFill="1" applyAlignment="1">
      <alignment horizontal="left" indent="1"/>
    </xf>
    <xf numFmtId="166" fontId="0" fillId="0" borderId="0" xfId="0" applyNumberFormat="1"/>
    <xf numFmtId="0" fontId="4" fillId="11" borderId="0" xfId="0" applyFont="1" applyFill="1"/>
    <xf numFmtId="0" fontId="0" fillId="7" borderId="1" xfId="0" applyFill="1" applyBorder="1" applyAlignment="1">
      <alignment horizontal="left" indent="1"/>
    </xf>
    <xf numFmtId="9" fontId="0" fillId="7" borderId="1" xfId="42" applyFont="1" applyFill="1" applyBorder="1" applyAlignment="1">
      <alignment horizontal="right"/>
    </xf>
    <xf numFmtId="167" fontId="0" fillId="7" borderId="1" xfId="42" applyNumberFormat="1" applyFont="1" applyFill="1" applyBorder="1" applyAlignment="1">
      <alignment horizontal="right"/>
    </xf>
    <xf numFmtId="0" fontId="4" fillId="15" borderId="1" xfId="0" applyFont="1" applyFill="1" applyBorder="1"/>
    <xf numFmtId="0" fontId="4" fillId="15" borderId="2" xfId="0" applyFont="1" applyFill="1" applyBorder="1" applyAlignment="1">
      <alignment horizontal="left" indent="1"/>
    </xf>
    <xf numFmtId="1" fontId="4" fillId="15" borderId="2" xfId="0" applyNumberFormat="1" applyFont="1" applyFill="1" applyBorder="1"/>
    <xf numFmtId="0" fontId="4" fillId="10" borderId="2" xfId="0" applyFont="1" applyFill="1" applyBorder="1" applyAlignment="1">
      <alignment horizontal="center"/>
    </xf>
    <xf numFmtId="1" fontId="4" fillId="7" borderId="1" xfId="0" applyNumberFormat="1" applyFont="1" applyFill="1" applyBorder="1"/>
    <xf numFmtId="0" fontId="4" fillId="15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4" fillId="7" borderId="1" xfId="0" applyFont="1" applyFill="1" applyBorder="1" applyAlignment="1">
      <alignment horizontal="left" indent="1"/>
    </xf>
    <xf numFmtId="0" fontId="0" fillId="7" borderId="0" xfId="0" applyFill="1" applyAlignment="1">
      <alignment horizontal="left" indent="1"/>
    </xf>
    <xf numFmtId="3" fontId="0" fillId="0" borderId="0" xfId="0" applyNumberFormat="1"/>
    <xf numFmtId="43" fontId="0" fillId="0" borderId="0" xfId="0" applyNumberFormat="1"/>
    <xf numFmtId="49" fontId="0" fillId="11" borderId="14" xfId="42" applyNumberFormat="1" applyFont="1" applyFill="1" applyBorder="1" applyAlignment="1">
      <alignment horizontal="center"/>
    </xf>
    <xf numFmtId="0" fontId="0" fillId="15" borderId="1" xfId="0" applyFill="1" applyBorder="1" applyAlignment="1">
      <alignment horizontal="left" indent="1"/>
    </xf>
    <xf numFmtId="3" fontId="4" fillId="15" borderId="1" xfId="0" applyNumberFormat="1" applyFont="1" applyFill="1" applyBorder="1"/>
    <xf numFmtId="3" fontId="0" fillId="15" borderId="1" xfId="0" applyNumberFormat="1" applyFill="1" applyBorder="1"/>
    <xf numFmtId="3" fontId="0" fillId="11" borderId="1" xfId="0" applyNumberFormat="1" applyFill="1" applyBorder="1"/>
    <xf numFmtId="0" fontId="4" fillId="15" borderId="6" xfId="0" applyFont="1" applyFill="1" applyBorder="1" applyAlignment="1">
      <alignment horizontal="left" indent="1"/>
    </xf>
    <xf numFmtId="3" fontId="4" fillId="15" borderId="6" xfId="0" applyNumberFormat="1" applyFont="1" applyFill="1" applyBorder="1"/>
    <xf numFmtId="3" fontId="4" fillId="15" borderId="8" xfId="0" applyNumberFormat="1" applyFont="1" applyFill="1" applyBorder="1"/>
    <xf numFmtId="2" fontId="4" fillId="15" borderId="6" xfId="0" applyNumberFormat="1" applyFont="1" applyFill="1" applyBorder="1"/>
    <xf numFmtId="2" fontId="4" fillId="15" borderId="8" xfId="0" applyNumberFormat="1" applyFont="1" applyFill="1" applyBorder="1"/>
    <xf numFmtId="1" fontId="4" fillId="15" borderId="6" xfId="0" applyNumberFormat="1" applyFont="1" applyFill="1" applyBorder="1"/>
    <xf numFmtId="1" fontId="4" fillId="15" borderId="8" xfId="0" applyNumberFormat="1" applyFont="1" applyFill="1" applyBorder="1"/>
    <xf numFmtId="0" fontId="0" fillId="11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4" fillId="0" borderId="0" xfId="0" applyFont="1"/>
    <xf numFmtId="9" fontId="34" fillId="4" borderId="1" xfId="0" applyNumberFormat="1" applyFont="1" applyFill="1" applyBorder="1" applyAlignment="1">
      <alignment horizontal="center"/>
    </xf>
    <xf numFmtId="0" fontId="37" fillId="0" borderId="15" xfId="406" applyFont="1" applyFill="1" applyBorder="1" applyAlignment="1">
      <alignment horizontal="left"/>
    </xf>
    <xf numFmtId="164" fontId="37" fillId="0" borderId="15" xfId="0" applyNumberFormat="1" applyFont="1" applyBorder="1" applyAlignment="1">
      <alignment horizontal="center"/>
    </xf>
    <xf numFmtId="0" fontId="12" fillId="0" borderId="0" xfId="405" applyFont="1" applyFill="1" applyAlignment="1">
      <alignment vertic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left" indent="1"/>
    </xf>
    <xf numFmtId="164" fontId="29" fillId="0" borderId="1" xfId="0" applyNumberFormat="1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 indent="1"/>
    </xf>
    <xf numFmtId="164" fontId="31" fillId="0" borderId="1" xfId="0" applyNumberFormat="1" applyFont="1" applyBorder="1" applyAlignment="1">
      <alignment horizontal="center"/>
    </xf>
    <xf numFmtId="0" fontId="28" fillId="17" borderId="1" xfId="406" applyFont="1" applyFill="1" applyBorder="1" applyAlignment="1">
      <alignment horizontal="center"/>
    </xf>
    <xf numFmtId="164" fontId="14" fillId="17" borderId="1" xfId="406" applyNumberFormat="1" applyFont="1" applyFill="1" applyBorder="1" applyAlignment="1">
      <alignment horizontal="center"/>
    </xf>
    <xf numFmtId="164" fontId="3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164" fontId="37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9" fillId="0" borderId="1" xfId="0" applyFont="1" applyBorder="1" applyAlignment="1">
      <alignment horizontal="left"/>
    </xf>
    <xf numFmtId="0" fontId="0" fillId="0" borderId="6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9" fontId="34" fillId="0" borderId="1" xfId="42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4" fillId="15" borderId="0" xfId="0" applyFont="1" applyFill="1" applyAlignment="1">
      <alignment horizontal="center"/>
    </xf>
    <xf numFmtId="9" fontId="34" fillId="4" borderId="1" xfId="42" applyFont="1" applyFill="1" applyBorder="1" applyAlignment="1">
      <alignment horizontal="center"/>
    </xf>
    <xf numFmtId="0" fontId="34" fillId="0" borderId="19" xfId="0" applyFont="1" applyBorder="1"/>
    <xf numFmtId="0" fontId="34" fillId="0" borderId="20" xfId="0" applyFont="1" applyBorder="1"/>
    <xf numFmtId="0" fontId="34" fillId="0" borderId="19" xfId="0" applyFont="1" applyBorder="1" applyAlignment="1">
      <alignment horizontal="left" indent="2"/>
    </xf>
    <xf numFmtId="0" fontId="34" fillId="0" borderId="23" xfId="0" applyFont="1" applyBorder="1" applyAlignment="1">
      <alignment horizontal="left" indent="2"/>
    </xf>
    <xf numFmtId="0" fontId="34" fillId="0" borderId="25" xfId="0" applyFont="1" applyBorder="1"/>
    <xf numFmtId="0" fontId="34" fillId="0" borderId="26" xfId="0" applyFont="1" applyBorder="1"/>
    <xf numFmtId="0" fontId="9" fillId="0" borderId="23" xfId="0" applyFont="1" applyBorder="1" applyAlignment="1">
      <alignment horizontal="left" indent="2"/>
    </xf>
    <xf numFmtId="164" fontId="9" fillId="3" borderId="24" xfId="0" applyNumberFormat="1" applyFont="1" applyFill="1" applyBorder="1" applyAlignment="1">
      <alignment horizontal="center"/>
    </xf>
    <xf numFmtId="0" fontId="34" fillId="0" borderId="28" xfId="0" applyFont="1" applyBorder="1"/>
    <xf numFmtId="0" fontId="9" fillId="0" borderId="24" xfId="0" applyFont="1" applyBorder="1" applyAlignment="1">
      <alignment horizontal="left" indent="2"/>
    </xf>
    <xf numFmtId="0" fontId="36" fillId="17" borderId="19" xfId="0" applyFont="1" applyFill="1" applyBorder="1" applyAlignment="1">
      <alignment horizontal="left" indent="1"/>
    </xf>
    <xf numFmtId="0" fontId="36" fillId="17" borderId="0" xfId="0" applyFont="1" applyFill="1"/>
    <xf numFmtId="0" fontId="9" fillId="0" borderId="22" xfId="0" applyFont="1" applyBorder="1" applyAlignment="1">
      <alignment horizontal="left" indent="2"/>
    </xf>
    <xf numFmtId="1" fontId="0" fillId="0" borderId="1" xfId="0" applyNumberForma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9" fontId="22" fillId="0" borderId="1" xfId="42" applyFont="1" applyBorder="1" applyAlignment="1">
      <alignment horizontal="center"/>
    </xf>
    <xf numFmtId="9" fontId="0" fillId="0" borderId="1" xfId="42" applyFont="1" applyBorder="1" applyAlignment="1">
      <alignment horizontal="center"/>
    </xf>
    <xf numFmtId="2" fontId="0" fillId="0" borderId="1" xfId="42" applyNumberFormat="1" applyFont="1" applyBorder="1" applyAlignment="1">
      <alignment horizontal="center"/>
    </xf>
    <xf numFmtId="0" fontId="0" fillId="10" borderId="0" xfId="0" applyFill="1" applyAlignment="1">
      <alignment horizontal="left" indent="1"/>
    </xf>
    <xf numFmtId="3" fontId="0" fillId="0" borderId="1" xfId="0" applyNumberFormat="1" applyBorder="1" applyAlignment="1">
      <alignment horizontal="center"/>
    </xf>
    <xf numFmtId="1" fontId="4" fillId="15" borderId="1" xfId="0" applyNumberFormat="1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left" indent="3"/>
    </xf>
    <xf numFmtId="0" fontId="0" fillId="0" borderId="0" xfId="0" applyAlignment="1">
      <alignment horizontal="left" indent="3"/>
    </xf>
    <xf numFmtId="16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9" fontId="0" fillId="11" borderId="6" xfId="42" applyFont="1" applyFill="1" applyBorder="1"/>
    <xf numFmtId="9" fontId="0" fillId="11" borderId="1" xfId="42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3" fontId="0" fillId="7" borderId="8" xfId="0" applyNumberFormat="1" applyFill="1" applyBorder="1"/>
    <xf numFmtId="3" fontId="0" fillId="7" borderId="1" xfId="0" applyNumberFormat="1" applyFill="1" applyBorder="1"/>
    <xf numFmtId="0" fontId="4" fillId="7" borderId="1" xfId="0" applyFont="1" applyFill="1" applyBorder="1" applyAlignment="1">
      <alignment horizontal="left" vertical="center" indent="1"/>
    </xf>
    <xf numFmtId="0" fontId="39" fillId="19" borderId="0" xfId="0" applyFont="1" applyFill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7" borderId="1" xfId="42" quotePrefix="1" applyNumberFormat="1" applyFont="1" applyFill="1" applyBorder="1" applyAlignment="1">
      <alignment horizontal="center"/>
    </xf>
    <xf numFmtId="164" fontId="4" fillId="15" borderId="1" xfId="0" applyNumberFormat="1" applyFont="1" applyFill="1" applyBorder="1"/>
    <xf numFmtId="0" fontId="4" fillId="0" borderId="0" xfId="0" applyFont="1" applyAlignment="1">
      <alignment horizontal="left" indent="1"/>
    </xf>
    <xf numFmtId="1" fontId="4" fillId="0" borderId="0" xfId="0" applyNumberFormat="1" applyFont="1" applyAlignment="1">
      <alignment horizontal="center"/>
    </xf>
    <xf numFmtId="9" fontId="3" fillId="0" borderId="0" xfId="42" applyAlignment="1">
      <alignment horizontal="center"/>
    </xf>
    <xf numFmtId="0" fontId="0" fillId="7" borderId="1" xfId="0" applyFill="1" applyBorder="1" applyAlignment="1">
      <alignment horizontal="left"/>
    </xf>
    <xf numFmtId="2" fontId="0" fillId="15" borderId="1" xfId="42" applyNumberFormat="1" applyFont="1" applyFill="1" applyBorder="1" applyAlignment="1">
      <alignment horizontal="right"/>
    </xf>
    <xf numFmtId="0" fontId="4" fillId="15" borderId="1" xfId="0" applyFont="1" applyFill="1" applyBorder="1" applyAlignment="1">
      <alignment horizontal="left"/>
    </xf>
    <xf numFmtId="1" fontId="0" fillId="7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68" fontId="0" fillId="7" borderId="8" xfId="0" applyNumberFormat="1" applyFill="1" applyBorder="1"/>
    <xf numFmtId="168" fontId="0" fillId="7" borderId="1" xfId="0" applyNumberFormat="1" applyFill="1" applyBorder="1"/>
    <xf numFmtId="168" fontId="4" fillId="0" borderId="0" xfId="0" applyNumberFormat="1" applyFont="1" applyAlignment="1">
      <alignment horizontal="center"/>
    </xf>
    <xf numFmtId="3" fontId="0" fillId="7" borderId="8" xfId="0" applyNumberForma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168" fontId="0" fillId="15" borderId="1" xfId="0" applyNumberFormat="1" applyFill="1" applyBorder="1" applyAlignment="1">
      <alignment horizontal="center"/>
    </xf>
    <xf numFmtId="2" fontId="0" fillId="15" borderId="1" xfId="0" applyNumberFormat="1" applyFill="1" applyBorder="1" applyAlignment="1">
      <alignment horizontal="center"/>
    </xf>
    <xf numFmtId="3" fontId="0" fillId="15" borderId="1" xfId="0" applyNumberFormat="1" applyFill="1" applyBorder="1" applyAlignment="1">
      <alignment horizontal="center"/>
    </xf>
    <xf numFmtId="4" fontId="0" fillId="15" borderId="1" xfId="0" applyNumberFormat="1" applyFill="1" applyBorder="1" applyAlignment="1">
      <alignment horizontal="center"/>
    </xf>
    <xf numFmtId="0" fontId="0" fillId="7" borderId="14" xfId="0" applyFill="1" applyBorder="1" applyAlignment="1">
      <alignment horizontal="left"/>
    </xf>
    <xf numFmtId="0" fontId="0" fillId="7" borderId="14" xfId="0" applyFill="1" applyBorder="1" applyAlignment="1">
      <alignment horizontal="center"/>
    </xf>
    <xf numFmtId="167" fontId="0" fillId="7" borderId="14" xfId="42" applyNumberFormat="1" applyFont="1" applyFill="1" applyBorder="1" applyAlignment="1">
      <alignment horizontal="right"/>
    </xf>
    <xf numFmtId="0" fontId="0" fillId="0" borderId="36" xfId="0" applyBorder="1"/>
    <xf numFmtId="0" fontId="0" fillId="3" borderId="35" xfId="0" applyFill="1" applyBorder="1"/>
    <xf numFmtId="0" fontId="0" fillId="3" borderId="35" xfId="0" applyFill="1" applyBorder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left"/>
    </xf>
    <xf numFmtId="1" fontId="34" fillId="4" borderId="7" xfId="0" applyNumberFormat="1" applyFont="1" applyFill="1" applyBorder="1"/>
    <xf numFmtId="164" fontId="34" fillId="4" borderId="6" xfId="0" applyNumberFormat="1" applyFont="1" applyFill="1" applyBorder="1" applyAlignment="1">
      <alignment horizontal="center"/>
    </xf>
    <xf numFmtId="0" fontId="34" fillId="0" borderId="42" xfId="0" applyFont="1" applyBorder="1"/>
    <xf numFmtId="1" fontId="34" fillId="4" borderId="43" xfId="0" applyNumberFormat="1" applyFont="1" applyFill="1" applyBorder="1"/>
    <xf numFmtId="0" fontId="43" fillId="0" borderId="0" xfId="0" applyFont="1" applyAlignment="1">
      <alignment horizontal="center"/>
    </xf>
    <xf numFmtId="0" fontId="34" fillId="11" borderId="0" xfId="0" applyFont="1" applyFill="1" applyAlignment="1">
      <alignment vertical="center" wrapText="1"/>
    </xf>
    <xf numFmtId="0" fontId="34" fillId="0" borderId="0" xfId="0" applyFont="1" applyAlignment="1">
      <alignment wrapText="1"/>
    </xf>
    <xf numFmtId="0" fontId="34" fillId="0" borderId="20" xfId="0" applyFont="1" applyBorder="1" applyAlignment="1">
      <alignment wrapText="1"/>
    </xf>
    <xf numFmtId="164" fontId="9" fillId="0" borderId="0" xfId="0" applyNumberFormat="1" applyFont="1" applyAlignment="1">
      <alignment vertical="center"/>
    </xf>
    <xf numFmtId="0" fontId="33" fillId="0" borderId="0" xfId="0" applyFont="1" applyAlignment="1">
      <alignment horizontal="center" vertical="center"/>
    </xf>
    <xf numFmtId="164" fontId="9" fillId="20" borderId="30" xfId="0" applyNumberFormat="1" applyFont="1" applyFill="1" applyBorder="1" applyAlignment="1">
      <alignment horizontal="center" vertical="center"/>
    </xf>
    <xf numFmtId="0" fontId="44" fillId="0" borderId="0" xfId="0" applyFont="1"/>
    <xf numFmtId="16" fontId="0" fillId="0" borderId="0" xfId="0" applyNumberFormat="1" applyAlignment="1">
      <alignment horizontal="left"/>
    </xf>
    <xf numFmtId="0" fontId="4" fillId="4" borderId="15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0" borderId="15" xfId="0" applyBorder="1"/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21" borderId="15" xfId="0" applyFill="1" applyBorder="1" applyAlignment="1">
      <alignment vertical="center"/>
    </xf>
    <xf numFmtId="0" fontId="0" fillId="21" borderId="15" xfId="0" applyFill="1" applyBorder="1" applyAlignment="1">
      <alignment horizontal="center" wrapText="1"/>
    </xf>
    <xf numFmtId="0" fontId="0" fillId="21" borderId="15" xfId="0" applyFont="1" applyFill="1" applyBorder="1" applyAlignment="1">
      <alignment vertical="center"/>
    </xf>
    <xf numFmtId="0" fontId="0" fillId="21" borderId="15" xfId="0" applyFont="1" applyFill="1" applyBorder="1" applyAlignment="1">
      <alignment horizontal="center" vertical="center"/>
    </xf>
    <xf numFmtId="164" fontId="0" fillId="0" borderId="15" xfId="0" applyNumberFormat="1" applyBorder="1"/>
    <xf numFmtId="1" fontId="0" fillId="0" borderId="15" xfId="0" applyNumberFormat="1" applyBorder="1"/>
    <xf numFmtId="0" fontId="4" fillId="0" borderId="15" xfId="0" applyFon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21" borderId="15" xfId="0" applyFill="1" applyBorder="1"/>
    <xf numFmtId="2" fontId="0" fillId="0" borderId="15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4" fillId="0" borderId="15" xfId="0" applyFont="1" applyBorder="1" applyAlignment="1">
      <alignment horizontal="center" vertical="center"/>
    </xf>
    <xf numFmtId="3" fontId="34" fillId="0" borderId="0" xfId="0" applyNumberFormat="1" applyFont="1"/>
    <xf numFmtId="3" fontId="4" fillId="15" borderId="1" xfId="0" applyNumberFormat="1" applyFont="1" applyFill="1" applyBorder="1" applyAlignment="1">
      <alignment horizontal="right" vertical="center"/>
    </xf>
    <xf numFmtId="169" fontId="34" fillId="0" borderId="0" xfId="0" applyNumberFormat="1" applyFont="1"/>
    <xf numFmtId="0" fontId="34" fillId="4" borderId="15" xfId="0" applyFont="1" applyFill="1" applyBorder="1" applyAlignment="1">
      <alignment horizontal="center" vertical="center"/>
    </xf>
    <xf numFmtId="14" fontId="34" fillId="4" borderId="15" xfId="0" applyNumberFormat="1" applyFont="1" applyFill="1" applyBorder="1" applyAlignment="1">
      <alignment horizontal="center" vertical="center"/>
    </xf>
    <xf numFmtId="0" fontId="34" fillId="0" borderId="15" xfId="0" applyFont="1" applyBorder="1"/>
    <xf numFmtId="3" fontId="34" fillId="0" borderId="15" xfId="0" applyNumberFormat="1" applyFont="1" applyBorder="1" applyAlignment="1">
      <alignment horizontal="center" vertical="center"/>
    </xf>
    <xf numFmtId="170" fontId="4" fillId="7" borderId="26" xfId="869" applyNumberFormat="1" applyFont="1" applyFill="1" applyBorder="1" applyAlignment="1">
      <alignment horizontal="center" vertical="center" wrapText="1"/>
    </xf>
    <xf numFmtId="170" fontId="4" fillId="7" borderId="46" xfId="869" applyNumberFormat="1" applyFont="1" applyFill="1" applyBorder="1" applyAlignment="1">
      <alignment horizontal="center" vertical="center" wrapText="1"/>
    </xf>
    <xf numFmtId="170" fontId="4" fillId="7" borderId="47" xfId="869" applyNumberFormat="1" applyFont="1" applyFill="1" applyBorder="1" applyAlignment="1">
      <alignment horizontal="center" vertical="center" wrapText="1"/>
    </xf>
    <xf numFmtId="170" fontId="4" fillId="22" borderId="48" xfId="869" applyNumberFormat="1" applyFont="1" applyFill="1" applyBorder="1" applyAlignment="1">
      <alignment horizontal="center" vertical="center" wrapText="1"/>
    </xf>
    <xf numFmtId="170" fontId="4" fillId="22" borderId="46" xfId="869" applyNumberFormat="1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/>
    </xf>
    <xf numFmtId="1" fontId="34" fillId="0" borderId="15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43" fontId="42" fillId="23" borderId="45" xfId="869" applyFont="1" applyFill="1" applyBorder="1" applyAlignment="1">
      <alignment horizontal="center" vertical="center" wrapText="1"/>
    </xf>
    <xf numFmtId="43" fontId="42" fillId="24" borderId="45" xfId="869" applyFont="1" applyFill="1" applyBorder="1" applyAlignment="1">
      <alignment horizontal="center" vertical="center" wrapText="1"/>
    </xf>
    <xf numFmtId="43" fontId="42" fillId="25" borderId="49" xfId="875" applyFont="1" applyFill="1" applyBorder="1" applyAlignment="1">
      <alignment horizontal="center" vertical="center" wrapText="1"/>
    </xf>
    <xf numFmtId="43" fontId="42" fillId="25" borderId="45" xfId="875" applyFont="1" applyFill="1" applyBorder="1" applyAlignment="1">
      <alignment horizontal="center" vertical="center" wrapText="1"/>
    </xf>
    <xf numFmtId="170" fontId="4" fillId="22" borderId="28" xfId="869" applyNumberFormat="1" applyFont="1" applyFill="1" applyBorder="1" applyAlignment="1">
      <alignment horizontal="center" vertical="center" wrapText="1"/>
    </xf>
    <xf numFmtId="43" fontId="42" fillId="23" borderId="49" xfId="869" applyFont="1" applyFill="1" applyBorder="1" applyAlignment="1">
      <alignment horizontal="center" vertical="center" wrapText="1"/>
    </xf>
    <xf numFmtId="0" fontId="34" fillId="11" borderId="0" xfId="0" applyFont="1" applyFill="1" applyBorder="1"/>
    <xf numFmtId="43" fontId="42" fillId="11" borderId="0" xfId="869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/>
    </xf>
    <xf numFmtId="0" fontId="34" fillId="0" borderId="22" xfId="0" applyFont="1" applyBorder="1" applyAlignment="1">
      <alignment horizontal="left" indent="2"/>
    </xf>
    <xf numFmtId="0" fontId="34" fillId="0" borderId="1" xfId="0" applyFont="1" applyBorder="1" applyAlignment="1">
      <alignment horizontal="left" indent="2"/>
    </xf>
    <xf numFmtId="0" fontId="34" fillId="4" borderId="1" xfId="0" applyFont="1" applyFill="1" applyBorder="1" applyAlignment="1">
      <alignment horizontal="center"/>
    </xf>
    <xf numFmtId="0" fontId="34" fillId="0" borderId="27" xfId="0" applyFont="1" applyBorder="1" applyAlignment="1">
      <alignment horizontal="left" indent="2"/>
    </xf>
    <xf numFmtId="0" fontId="34" fillId="0" borderId="7" xfId="0" applyFont="1" applyBorder="1" applyAlignment="1">
      <alignment horizontal="left" indent="2"/>
    </xf>
    <xf numFmtId="0" fontId="34" fillId="0" borderId="8" xfId="0" applyFont="1" applyBorder="1" applyAlignment="1">
      <alignment horizontal="left" indent="2"/>
    </xf>
    <xf numFmtId="0" fontId="0" fillId="11" borderId="6" xfId="0" applyFill="1" applyBorder="1" applyAlignment="1">
      <alignment horizontal="left" indent="1"/>
    </xf>
    <xf numFmtId="0" fontId="4" fillId="15" borderId="1" xfId="0" applyFont="1" applyFill="1" applyBorder="1" applyAlignment="1">
      <alignment horizontal="left" indent="1"/>
    </xf>
    <xf numFmtId="44" fontId="34" fillId="0" borderId="15" xfId="0" applyNumberFormat="1" applyFont="1" applyBorder="1"/>
    <xf numFmtId="0" fontId="9" fillId="11" borderId="0" xfId="0" applyFont="1" applyFill="1"/>
    <xf numFmtId="0" fontId="36" fillId="17" borderId="0" xfId="0" applyFont="1" applyFill="1" applyAlignment="1">
      <alignment horizontal="center" vertical="center"/>
    </xf>
    <xf numFmtId="0" fontId="36" fillId="17" borderId="0" xfId="0" applyFont="1" applyFill="1" applyAlignment="1">
      <alignment horizontal="center"/>
    </xf>
    <xf numFmtId="0" fontId="0" fillId="0" borderId="15" xfId="0" applyBorder="1" applyAlignment="1">
      <alignment horizontal="center" vertical="center"/>
    </xf>
    <xf numFmtId="0" fontId="4" fillId="0" borderId="44" xfId="0" applyFont="1" applyBorder="1" applyAlignment="1">
      <alignment horizontal="center"/>
    </xf>
    <xf numFmtId="3" fontId="34" fillId="4" borderId="6" xfId="0" applyNumberFormat="1" applyFont="1" applyFill="1" applyBorder="1" applyAlignment="1">
      <alignment horizontal="center"/>
    </xf>
    <xf numFmtId="3" fontId="9" fillId="3" borderId="51" xfId="0" applyNumberFormat="1" applyFont="1" applyFill="1" applyBorder="1" applyAlignment="1">
      <alignment horizontal="center"/>
    </xf>
    <xf numFmtId="43" fontId="42" fillId="26" borderId="45" xfId="869" applyFont="1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/>
    </xf>
    <xf numFmtId="170" fontId="4" fillId="22" borderId="47" xfId="869" applyNumberFormat="1" applyFont="1" applyFill="1" applyBorder="1" applyAlignment="1">
      <alignment horizontal="center" vertical="center" wrapText="1"/>
    </xf>
    <xf numFmtId="43" fontId="42" fillId="27" borderId="52" xfId="869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4" fillId="4" borderId="15" xfId="0" applyFont="1" applyFill="1" applyBorder="1" applyAlignment="1">
      <alignment horizontal="center"/>
    </xf>
    <xf numFmtId="0" fontId="34" fillId="4" borderId="15" xfId="42" applyNumberFormat="1" applyFont="1" applyFill="1" applyBorder="1" applyAlignment="1">
      <alignment horizontal="center"/>
    </xf>
    <xf numFmtId="10" fontId="34" fillId="0" borderId="0" xfId="0" applyNumberFormat="1" applyFont="1"/>
    <xf numFmtId="2" fontId="34" fillId="4" borderId="15" xfId="0" applyNumberFormat="1" applyFont="1" applyFill="1" applyBorder="1" applyAlignment="1">
      <alignment horizontal="center"/>
    </xf>
    <xf numFmtId="9" fontId="34" fillId="0" borderId="0" xfId="0" applyNumberFormat="1" applyFont="1"/>
    <xf numFmtId="171" fontId="34" fillId="0" borderId="15" xfId="0" applyNumberFormat="1" applyFont="1" applyBorder="1" applyAlignment="1">
      <alignment horizontal="center"/>
    </xf>
    <xf numFmtId="171" fontId="34" fillId="0" borderId="15" xfId="0" applyNumberFormat="1" applyFont="1" applyBorder="1"/>
    <xf numFmtId="0" fontId="34" fillId="15" borderId="0" xfId="0" applyFont="1" applyFill="1"/>
    <xf numFmtId="171" fontId="34" fillId="15" borderId="0" xfId="0" applyNumberFormat="1" applyFont="1" applyFill="1"/>
    <xf numFmtId="0" fontId="49" fillId="28" borderId="0" xfId="0" applyFont="1" applyFill="1" applyAlignment="1">
      <alignment horizontal="center"/>
    </xf>
    <xf numFmtId="0" fontId="34" fillId="15" borderId="0" xfId="0" applyFont="1" applyFill="1" applyAlignment="1">
      <alignment horizontal="center"/>
    </xf>
    <xf numFmtId="3" fontId="34" fillId="15" borderId="0" xfId="0" applyNumberFormat="1" applyFont="1" applyFill="1" applyAlignment="1">
      <alignment horizontal="center"/>
    </xf>
    <xf numFmtId="171" fontId="34" fillId="15" borderId="0" xfId="0" applyNumberFormat="1" applyFont="1" applyFill="1" applyAlignment="1">
      <alignment horizontal="center"/>
    </xf>
    <xf numFmtId="171" fontId="34" fillId="0" borderId="0" xfId="0" applyNumberFormat="1" applyFont="1"/>
    <xf numFmtId="2" fontId="34" fillId="0" borderId="0" xfId="0" applyNumberFormat="1" applyFont="1"/>
    <xf numFmtId="164" fontId="34" fillId="15" borderId="0" xfId="0" applyNumberFormat="1" applyFont="1" applyFill="1" applyAlignment="1">
      <alignment horizontal="center"/>
    </xf>
    <xf numFmtId="0" fontId="34" fillId="0" borderId="33" xfId="0" applyFont="1" applyBorder="1"/>
    <xf numFmtId="0" fontId="34" fillId="0" borderId="4" xfId="0" applyFont="1" applyBorder="1"/>
    <xf numFmtId="10" fontId="34" fillId="11" borderId="4" xfId="0" applyNumberFormat="1" applyFont="1" applyFill="1" applyBorder="1" applyAlignment="1">
      <alignment horizontal="center"/>
    </xf>
    <xf numFmtId="0" fontId="34" fillId="0" borderId="4" xfId="42" applyNumberFormat="1" applyFont="1" applyBorder="1"/>
    <xf numFmtId="0" fontId="34" fillId="0" borderId="34" xfId="0" applyFont="1" applyBorder="1"/>
    <xf numFmtId="0" fontId="34" fillId="0" borderId="37" xfId="0" applyFont="1" applyBorder="1"/>
    <xf numFmtId="0" fontId="34" fillId="0" borderId="0" xfId="0" applyFont="1" applyBorder="1"/>
    <xf numFmtId="0" fontId="34" fillId="0" borderId="0" xfId="0" applyFont="1" applyBorder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34" fillId="0" borderId="38" xfId="0" applyFont="1" applyBorder="1"/>
    <xf numFmtId="171" fontId="34" fillId="0" borderId="0" xfId="0" applyNumberFormat="1" applyFont="1" applyBorder="1" applyAlignment="1">
      <alignment horizontal="center"/>
    </xf>
    <xf numFmtId="171" fontId="34" fillId="0" borderId="0" xfId="0" applyNumberFormat="1" applyFont="1" applyBorder="1" applyAlignment="1">
      <alignment horizontal="center" vertical="center"/>
    </xf>
    <xf numFmtId="171" fontId="34" fillId="0" borderId="38" xfId="0" applyNumberFormat="1" applyFont="1" applyBorder="1"/>
    <xf numFmtId="0" fontId="34" fillId="0" borderId="40" xfId="0" applyFont="1" applyBorder="1"/>
    <xf numFmtId="0" fontId="34" fillId="0" borderId="5" xfId="0" applyFont="1" applyBorder="1"/>
    <xf numFmtId="171" fontId="34" fillId="0" borderId="5" xfId="0" applyNumberFormat="1" applyFont="1" applyBorder="1" applyAlignment="1">
      <alignment horizontal="center"/>
    </xf>
    <xf numFmtId="171" fontId="34" fillId="0" borderId="5" xfId="0" applyNumberFormat="1" applyFont="1" applyBorder="1" applyAlignment="1">
      <alignment horizontal="center" vertical="center"/>
    </xf>
    <xf numFmtId="171" fontId="34" fillId="0" borderId="41" xfId="0" applyNumberFormat="1" applyFont="1" applyBorder="1"/>
    <xf numFmtId="43" fontId="42" fillId="29" borderId="52" xfId="869" applyFont="1" applyFill="1" applyBorder="1" applyAlignment="1">
      <alignment vertical="center" wrapText="1"/>
    </xf>
    <xf numFmtId="43" fontId="4" fillId="4" borderId="52" xfId="869" applyFont="1" applyFill="1" applyBorder="1" applyAlignment="1">
      <alignment vertical="center" wrapText="1"/>
    </xf>
    <xf numFmtId="43" fontId="42" fillId="30" borderId="45" xfId="869" applyFont="1" applyFill="1" applyBorder="1" applyAlignment="1">
      <alignment horizontal="center" vertical="center" wrapText="1"/>
    </xf>
    <xf numFmtId="0" fontId="0" fillId="0" borderId="0" xfId="0" applyAlignment="1"/>
    <xf numFmtId="9" fontId="0" fillId="4" borderId="0" xfId="0" applyNumberFormat="1" applyFill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168" fontId="4" fillId="7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168" fontId="4" fillId="7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7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4" fillId="7" borderId="6" xfId="0" applyFont="1" applyFill="1" applyBorder="1" applyAlignment="1">
      <alignment horizontal="left" indent="1"/>
    </xf>
    <xf numFmtId="3" fontId="4" fillId="4" borderId="0" xfId="0" applyNumberFormat="1" applyFont="1" applyFill="1" applyBorder="1" applyAlignment="1">
      <alignment horizontal="center"/>
    </xf>
    <xf numFmtId="0" fontId="34" fillId="20" borderId="39" xfId="0" applyFont="1" applyFill="1" applyBorder="1" applyAlignment="1">
      <alignment horizontal="center" wrapText="1"/>
    </xf>
    <xf numFmtId="49" fontId="34" fillId="0" borderId="15" xfId="0" applyNumberFormat="1" applyFont="1" applyBorder="1" applyAlignment="1">
      <alignment horizontal="center"/>
    </xf>
    <xf numFmtId="49" fontId="0" fillId="0" borderId="15" xfId="4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50" xfId="0" applyFill="1" applyBorder="1" applyAlignment="1">
      <alignment horizontal="center"/>
    </xf>
    <xf numFmtId="49" fontId="0" fillId="0" borderId="50" xfId="42" applyNumberFormat="1" applyFont="1" applyFill="1" applyBorder="1" applyAlignment="1">
      <alignment horizontal="center"/>
    </xf>
    <xf numFmtId="49" fontId="0" fillId="0" borderId="50" xfId="0" applyNumberForma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 wrapText="1"/>
    </xf>
    <xf numFmtId="43" fontId="25" fillId="4" borderId="15" xfId="869" applyFont="1" applyFill="1" applyBorder="1"/>
    <xf numFmtId="1" fontId="0" fillId="0" borderId="46" xfId="0" applyNumberFormat="1" applyBorder="1" applyAlignment="1">
      <alignment horizontal="center"/>
    </xf>
    <xf numFmtId="0" fontId="0" fillId="0" borderId="15" xfId="0" applyBorder="1" applyAlignment="1">
      <alignment vertical="center"/>
    </xf>
    <xf numFmtId="0" fontId="0" fillId="11" borderId="15" xfId="0" applyFill="1" applyBorder="1"/>
    <xf numFmtId="1" fontId="0" fillId="11" borderId="15" xfId="0" applyNumberForma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4" fillId="23" borderId="15" xfId="0" applyFont="1" applyFill="1" applyBorder="1" applyAlignment="1">
      <alignment horizontal="center" vertical="center" wrapText="1"/>
    </xf>
    <xf numFmtId="3" fontId="34" fillId="0" borderId="11" xfId="0" applyNumberFormat="1" applyFont="1" applyBorder="1" applyAlignment="1">
      <alignment horizontal="center"/>
    </xf>
    <xf numFmtId="3" fontId="34" fillId="0" borderId="15" xfId="0" applyNumberFormat="1" applyFont="1" applyBorder="1" applyAlignment="1">
      <alignment horizontal="center"/>
    </xf>
    <xf numFmtId="2" fontId="34" fillId="0" borderId="15" xfId="0" applyNumberFormat="1" applyFont="1" applyBorder="1" applyAlignment="1">
      <alignment horizontal="center"/>
    </xf>
    <xf numFmtId="0" fontId="34" fillId="0" borderId="9" xfId="0" applyFont="1" applyBorder="1"/>
    <xf numFmtId="10" fontId="34" fillId="0" borderId="44" xfId="0" applyNumberFormat="1" applyFont="1" applyBorder="1" applyAlignment="1">
      <alignment horizontal="center"/>
    </xf>
    <xf numFmtId="0" fontId="34" fillId="0" borderId="27" xfId="0" applyFont="1" applyBorder="1" applyAlignment="1">
      <alignment horizontal="left" indent="2"/>
    </xf>
    <xf numFmtId="0" fontId="34" fillId="0" borderId="7" xfId="0" applyFont="1" applyBorder="1" applyAlignment="1">
      <alignment horizontal="left" indent="2"/>
    </xf>
    <xf numFmtId="0" fontId="34" fillId="0" borderId="8" xfId="0" applyFont="1" applyBorder="1" applyAlignment="1">
      <alignment horizontal="left" indent="2"/>
    </xf>
    <xf numFmtId="0" fontId="35" fillId="17" borderId="16" xfId="0" applyFont="1" applyFill="1" applyBorder="1" applyAlignment="1">
      <alignment horizontal="left" vertical="center" indent="1"/>
    </xf>
    <xf numFmtId="0" fontId="35" fillId="17" borderId="17" xfId="0" applyFont="1" applyFill="1" applyBorder="1" applyAlignment="1">
      <alignment horizontal="left" vertical="center" indent="1"/>
    </xf>
    <xf numFmtId="0" fontId="35" fillId="17" borderId="18" xfId="0" applyFont="1" applyFill="1" applyBorder="1" applyAlignment="1">
      <alignment horizontal="left" vertical="center" indent="1"/>
    </xf>
    <xf numFmtId="0" fontId="34" fillId="20" borderId="33" xfId="0" applyFont="1" applyFill="1" applyBorder="1" applyAlignment="1">
      <alignment horizontal="center" vertical="center" wrapText="1"/>
    </xf>
    <xf numFmtId="0" fontId="34" fillId="20" borderId="4" xfId="0" applyFont="1" applyFill="1" applyBorder="1" applyAlignment="1">
      <alignment horizontal="center" vertical="center" wrapText="1"/>
    </xf>
    <xf numFmtId="0" fontId="34" fillId="20" borderId="34" xfId="0" applyFont="1" applyFill="1" applyBorder="1" applyAlignment="1">
      <alignment horizontal="center" vertical="center" wrapText="1"/>
    </xf>
    <xf numFmtId="0" fontId="34" fillId="20" borderId="37" xfId="0" applyFont="1" applyFill="1" applyBorder="1" applyAlignment="1">
      <alignment horizontal="center" vertical="center" wrapText="1"/>
    </xf>
    <xf numFmtId="0" fontId="34" fillId="20" borderId="0" xfId="0" applyFont="1" applyFill="1" applyAlignment="1">
      <alignment horizontal="center" vertical="center" wrapText="1"/>
    </xf>
    <xf numFmtId="0" fontId="34" fillId="20" borderId="38" xfId="0" applyFont="1" applyFill="1" applyBorder="1" applyAlignment="1">
      <alignment horizontal="center" vertical="center" wrapText="1"/>
    </xf>
    <xf numFmtId="0" fontId="34" fillId="20" borderId="40" xfId="0" applyFont="1" applyFill="1" applyBorder="1" applyAlignment="1">
      <alignment horizontal="center" vertical="center" wrapText="1"/>
    </xf>
    <xf numFmtId="0" fontId="34" fillId="20" borderId="5" xfId="0" applyFont="1" applyFill="1" applyBorder="1" applyAlignment="1">
      <alignment horizontal="center" vertical="center" wrapText="1"/>
    </xf>
    <xf numFmtId="0" fontId="34" fillId="20" borderId="41" xfId="0" applyFont="1" applyFill="1" applyBorder="1" applyAlignment="1">
      <alignment horizontal="center" vertical="center" wrapText="1"/>
    </xf>
    <xf numFmtId="0" fontId="34" fillId="20" borderId="30" xfId="0" applyFont="1" applyFill="1" applyBorder="1" applyAlignment="1">
      <alignment horizontal="center"/>
    </xf>
    <xf numFmtId="0" fontId="34" fillId="20" borderId="32" xfId="0" applyFont="1" applyFill="1" applyBorder="1" applyAlignment="1">
      <alignment horizontal="center"/>
    </xf>
    <xf numFmtId="0" fontId="34" fillId="20" borderId="31" xfId="0" applyFont="1" applyFill="1" applyBorder="1" applyAlignment="1">
      <alignment horizontal="center"/>
    </xf>
    <xf numFmtId="0" fontId="35" fillId="17" borderId="9" xfId="0" applyFont="1" applyFill="1" applyBorder="1" applyAlignment="1">
      <alignment horizontal="left" vertical="center" indent="1"/>
    </xf>
    <xf numFmtId="0" fontId="35" fillId="17" borderId="10" xfId="0" applyFont="1" applyFill="1" applyBorder="1" applyAlignment="1">
      <alignment horizontal="left" vertical="center" indent="1"/>
    </xf>
    <xf numFmtId="0" fontId="35" fillId="17" borderId="11" xfId="0" applyFont="1" applyFill="1" applyBorder="1" applyAlignment="1">
      <alignment horizontal="left" vertical="center" indent="1"/>
    </xf>
    <xf numFmtId="0" fontId="34" fillId="15" borderId="0" xfId="0" applyFont="1" applyFill="1" applyAlignment="1">
      <alignment horizontal="center"/>
    </xf>
    <xf numFmtId="0" fontId="45" fillId="4" borderId="39" xfId="0" applyFont="1" applyFill="1" applyBorder="1" applyAlignment="1">
      <alignment horizontal="center" vertical="center"/>
    </xf>
    <xf numFmtId="0" fontId="34" fillId="20" borderId="33" xfId="0" applyFont="1" applyFill="1" applyBorder="1" applyAlignment="1">
      <alignment horizontal="center" wrapText="1"/>
    </xf>
    <xf numFmtId="0" fontId="34" fillId="20" borderId="4" xfId="0" applyFont="1" applyFill="1" applyBorder="1" applyAlignment="1">
      <alignment horizontal="center" wrapText="1"/>
    </xf>
    <xf numFmtId="0" fontId="34" fillId="20" borderId="34" xfId="0" applyFont="1" applyFill="1" applyBorder="1" applyAlignment="1">
      <alignment horizontal="center" wrapText="1"/>
    </xf>
    <xf numFmtId="0" fontId="34" fillId="20" borderId="40" xfId="0" applyFont="1" applyFill="1" applyBorder="1" applyAlignment="1">
      <alignment horizontal="center" wrapText="1"/>
    </xf>
    <xf numFmtId="0" fontId="34" fillId="20" borderId="5" xfId="0" applyFont="1" applyFill="1" applyBorder="1" applyAlignment="1">
      <alignment horizontal="center" wrapText="1"/>
    </xf>
    <xf numFmtId="0" fontId="34" fillId="20" borderId="41" xfId="0" applyFont="1" applyFill="1" applyBorder="1" applyAlignment="1">
      <alignment horizontal="center" wrapText="1"/>
    </xf>
    <xf numFmtId="0" fontId="34" fillId="20" borderId="39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left" indent="2"/>
    </xf>
    <xf numFmtId="0" fontId="34" fillId="0" borderId="1" xfId="0" applyFont="1" applyBorder="1" applyAlignment="1">
      <alignment horizontal="left" indent="2"/>
    </xf>
    <xf numFmtId="0" fontId="34" fillId="4" borderId="1" xfId="0" applyFont="1" applyFill="1" applyBorder="1" applyAlignment="1">
      <alignment horizontal="center"/>
    </xf>
    <xf numFmtId="0" fontId="36" fillId="17" borderId="21" xfId="0" applyFont="1" applyFill="1" applyBorder="1" applyAlignment="1">
      <alignment horizontal="left" indent="1"/>
    </xf>
    <xf numFmtId="0" fontId="36" fillId="17" borderId="13" xfId="0" applyFont="1" applyFill="1" applyBorder="1" applyAlignment="1">
      <alignment horizontal="left" indent="1"/>
    </xf>
    <xf numFmtId="0" fontId="34" fillId="4" borderId="6" xfId="0" applyFont="1" applyFill="1" applyBorder="1" applyAlignment="1">
      <alignment horizontal="left" indent="1"/>
    </xf>
    <xf numFmtId="0" fontId="34" fillId="4" borderId="7" xfId="0" applyFont="1" applyFill="1" applyBorder="1" applyAlignment="1">
      <alignment horizontal="left" indent="1"/>
    </xf>
    <xf numFmtId="0" fontId="34" fillId="4" borderId="29" xfId="0" applyFont="1" applyFill="1" applyBorder="1" applyAlignment="1">
      <alignment horizontal="left" indent="1"/>
    </xf>
    <xf numFmtId="0" fontId="38" fillId="15" borderId="13" xfId="0" applyFont="1" applyFill="1" applyBorder="1" applyAlignment="1">
      <alignment horizontal="center"/>
    </xf>
    <xf numFmtId="0" fontId="32" fillId="16" borderId="9" xfId="0" applyFont="1" applyFill="1" applyBorder="1" applyAlignment="1">
      <alignment horizontal="left" vertical="center"/>
    </xf>
    <xf numFmtId="0" fontId="32" fillId="16" borderId="10" xfId="0" applyFont="1" applyFill="1" applyBorder="1" applyAlignment="1">
      <alignment horizontal="left" vertical="center"/>
    </xf>
    <xf numFmtId="0" fontId="32" fillId="16" borderId="1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0" fillId="17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39" fillId="19" borderId="13" xfId="0" applyFont="1" applyFill="1" applyBorder="1" applyAlignment="1">
      <alignment horizontal="center"/>
    </xf>
    <xf numFmtId="0" fontId="4" fillId="20" borderId="15" xfId="0" applyFont="1" applyFill="1" applyBorder="1" applyAlignment="1">
      <alignment horizontal="center" wrapText="1"/>
    </xf>
    <xf numFmtId="0" fontId="4" fillId="20" borderId="44" xfId="0" applyFont="1" applyFill="1" applyBorder="1" applyAlignment="1">
      <alignment horizontal="center" wrapText="1"/>
    </xf>
    <xf numFmtId="0" fontId="42" fillId="0" borderId="0" xfId="0" applyFont="1" applyAlignment="1">
      <alignment horizontal="center" vertical="center" wrapText="1"/>
    </xf>
    <xf numFmtId="0" fontId="33" fillId="4" borderId="39" xfId="0" applyFont="1" applyFill="1" applyBorder="1" applyAlignment="1">
      <alignment horizontal="center" vertical="center"/>
    </xf>
    <xf numFmtId="0" fontId="33" fillId="13" borderId="15" xfId="0" applyFont="1" applyFill="1" applyBorder="1" applyAlignment="1">
      <alignment horizontal="left" vertical="center"/>
    </xf>
    <xf numFmtId="0" fontId="9" fillId="13" borderId="15" xfId="0" applyFont="1" applyFill="1" applyBorder="1" applyAlignment="1">
      <alignment horizontal="center"/>
    </xf>
    <xf numFmtId="0" fontId="19" fillId="11" borderId="0" xfId="0" applyFont="1" applyFill="1" applyAlignment="1">
      <alignment horizontal="center" vertical="center"/>
    </xf>
    <xf numFmtId="0" fontId="4" fillId="10" borderId="12" xfId="0" applyFont="1" applyFill="1" applyBorder="1" applyAlignment="1">
      <alignment horizontal="left"/>
    </xf>
    <xf numFmtId="0" fontId="4" fillId="10" borderId="13" xfId="0" applyFont="1" applyFill="1" applyBorder="1" applyAlignment="1">
      <alignment horizontal="left"/>
    </xf>
    <xf numFmtId="0" fontId="33" fillId="13" borderId="3" xfId="0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left" indent="1"/>
    </xf>
    <xf numFmtId="0" fontId="0" fillId="11" borderId="7" xfId="0" applyFill="1" applyBorder="1" applyAlignment="1">
      <alignment horizontal="left" indent="1"/>
    </xf>
    <xf numFmtId="0" fontId="0" fillId="11" borderId="8" xfId="0" applyFill="1" applyBorder="1" applyAlignment="1">
      <alignment horizontal="left" indent="1"/>
    </xf>
    <xf numFmtId="0" fontId="4" fillId="4" borderId="12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 indent="1"/>
    </xf>
    <xf numFmtId="49" fontId="0" fillId="11" borderId="7" xfId="0" applyNumberFormat="1" applyFill="1" applyBorder="1" applyAlignment="1">
      <alignment horizontal="left" indent="1"/>
    </xf>
    <xf numFmtId="49" fontId="0" fillId="11" borderId="8" xfId="0" applyNumberFormat="1" applyFill="1" applyBorder="1" applyAlignment="1">
      <alignment horizontal="left" indent="1"/>
    </xf>
    <xf numFmtId="0" fontId="46" fillId="20" borderId="15" xfId="0" applyFont="1" applyFill="1" applyBorder="1" applyAlignment="1">
      <alignment horizontal="left" vertical="center"/>
    </xf>
    <xf numFmtId="0" fontId="0" fillId="20" borderId="15" xfId="0" applyFill="1" applyBorder="1" applyAlignment="1">
      <alignment horizontal="left" vertical="center"/>
    </xf>
    <xf numFmtId="0" fontId="46" fillId="20" borderId="19" xfId="0" applyFont="1" applyFill="1" applyBorder="1" applyAlignment="1">
      <alignment horizontal="left" vertical="center"/>
    </xf>
    <xf numFmtId="0" fontId="46" fillId="20" borderId="0" xfId="0" applyFont="1" applyFill="1" applyBorder="1" applyAlignment="1">
      <alignment horizontal="left" vertical="center"/>
    </xf>
    <xf numFmtId="0" fontId="46" fillId="20" borderId="28" xfId="0" applyFont="1" applyFill="1" applyBorder="1" applyAlignment="1">
      <alignment horizontal="left" vertical="center"/>
    </xf>
    <xf numFmtId="0" fontId="46" fillId="20" borderId="25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11" fillId="18" borderId="0" xfId="405" applyFont="1" applyFill="1" applyAlignment="1">
      <alignment horizontal="center"/>
    </xf>
    <xf numFmtId="0" fontId="16" fillId="0" borderId="0" xfId="405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0" fillId="10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878">
    <cellStyle name="Excel_BuiltIn_20% - Ênfase1 1" xfId="405" xr:uid="{00000000-0005-0000-0000-000000000000}"/>
    <cellStyle name="Excel_BuiltIn_Ênfase1 1" xfId="406" xr:uid="{00000000-0005-0000-0000-000001000000}"/>
    <cellStyle name="Hiperlink" xfId="371" builtinId="8" hidden="1"/>
    <cellStyle name="Hiperlink" xfId="373" builtinId="8" hidden="1"/>
    <cellStyle name="Hiperlink" xfId="375" builtinId="8" hidden="1"/>
    <cellStyle name="Hiperlink" xfId="379" builtinId="8" hidden="1"/>
    <cellStyle name="Hiperlink" xfId="381" builtinId="8" hidden="1"/>
    <cellStyle name="Hiperlink" xfId="383" builtinId="8" hidden="1"/>
    <cellStyle name="Hiperlink" xfId="387" builtinId="8" hidden="1"/>
    <cellStyle name="Hiperlink" xfId="389" builtinId="8" hidden="1"/>
    <cellStyle name="Hiperlink" xfId="391" builtinId="8" hidden="1"/>
    <cellStyle name="Hiperlink" xfId="395" builtinId="8" hidden="1"/>
    <cellStyle name="Hiperlink" xfId="397" builtinId="8" hidden="1"/>
    <cellStyle name="Hiperlink" xfId="399" builtinId="8" hidden="1"/>
    <cellStyle name="Hiperlink" xfId="403" builtinId="8" hidden="1"/>
    <cellStyle name="Hiperlink" xfId="407" builtinId="8" hidden="1"/>
    <cellStyle name="Hiperlink" xfId="409" builtinId="8" hidden="1"/>
    <cellStyle name="Hiperlink" xfId="413" builtinId="8" hidden="1"/>
    <cellStyle name="Hiperlink" xfId="415" builtinId="8" hidden="1"/>
    <cellStyle name="Hiperlink" xfId="417" builtinId="8" hidden="1"/>
    <cellStyle name="Hiperlink" xfId="421" builtinId="8" hidden="1"/>
    <cellStyle name="Hiperlink" xfId="423" builtinId="8" hidden="1"/>
    <cellStyle name="Hiperlink" xfId="425" builtinId="8" hidden="1"/>
    <cellStyle name="Hiperlink" xfId="429" builtinId="8" hidden="1"/>
    <cellStyle name="Hiperlink" xfId="431" builtinId="8" hidden="1"/>
    <cellStyle name="Hiperlink" xfId="433" builtinId="8" hidden="1"/>
    <cellStyle name="Hiperlink" xfId="437" builtinId="8" hidden="1"/>
    <cellStyle name="Hiperlink" xfId="439" builtinId="8" hidden="1"/>
    <cellStyle name="Hiperlink" xfId="441" builtinId="8" hidden="1"/>
    <cellStyle name="Hiperlink" xfId="445" builtinId="8" hidden="1"/>
    <cellStyle name="Hiperlink" xfId="447" builtinId="8" hidden="1"/>
    <cellStyle name="Hiperlink" xfId="449" builtinId="8" hidden="1"/>
    <cellStyle name="Hiperlink" xfId="453" builtinId="8" hidden="1"/>
    <cellStyle name="Hiperlink" xfId="455" builtinId="8" hidden="1"/>
    <cellStyle name="Hiperlink" xfId="457" builtinId="8" hidden="1"/>
    <cellStyle name="Hiperlink" xfId="461" builtinId="8" hidden="1"/>
    <cellStyle name="Hiperlink" xfId="463" builtinId="8" hidden="1"/>
    <cellStyle name="Hiperlink" xfId="465" builtinId="8" hidden="1"/>
    <cellStyle name="Hiperlink" xfId="469" builtinId="8" hidden="1"/>
    <cellStyle name="Hiperlink" xfId="471" builtinId="8" hidden="1"/>
    <cellStyle name="Hiperlink" xfId="473" builtinId="8" hidden="1"/>
    <cellStyle name="Hiperlink" xfId="477" builtinId="8" hidden="1"/>
    <cellStyle name="Hiperlink" xfId="479" builtinId="8" hidden="1"/>
    <cellStyle name="Hiperlink" xfId="481" builtinId="8" hidden="1"/>
    <cellStyle name="Hiperlink" xfId="485" builtinId="8" hidden="1"/>
    <cellStyle name="Hiperlink" xfId="487" builtinId="8" hidden="1"/>
    <cellStyle name="Hiperlink" xfId="489" builtinId="8" hidden="1"/>
    <cellStyle name="Hiperlink" xfId="493" builtinId="8" hidden="1"/>
    <cellStyle name="Hiperlink" xfId="495" builtinId="8" hidden="1"/>
    <cellStyle name="Hiperlink" xfId="497" builtinId="8" hidden="1"/>
    <cellStyle name="Hiperlink" xfId="501" builtinId="8" hidden="1"/>
    <cellStyle name="Hiperlink" xfId="503" builtinId="8" hidden="1"/>
    <cellStyle name="Hiperlink" xfId="505" builtinId="8" hidden="1"/>
    <cellStyle name="Hiperlink" xfId="509" builtinId="8" hidden="1"/>
    <cellStyle name="Hiperlink" xfId="511" builtinId="8" hidden="1"/>
    <cellStyle name="Hiperlink" xfId="513" builtinId="8" hidden="1"/>
    <cellStyle name="Hiperlink" xfId="517" builtinId="8" hidden="1"/>
    <cellStyle name="Hiperlink" xfId="519" builtinId="8" hidden="1"/>
    <cellStyle name="Hiperlink" xfId="521" builtinId="8" hidden="1"/>
    <cellStyle name="Hiperlink" xfId="525" builtinId="8" hidden="1"/>
    <cellStyle name="Hiperlink" xfId="527" builtinId="8" hidden="1"/>
    <cellStyle name="Hiperlink" xfId="529" builtinId="8" hidden="1"/>
    <cellStyle name="Hiperlink" xfId="533" builtinId="8" hidden="1"/>
    <cellStyle name="Hiperlink" xfId="535" builtinId="8" hidden="1"/>
    <cellStyle name="Hiperlink" xfId="537" builtinId="8" hidden="1"/>
    <cellStyle name="Hiperlink" xfId="541" builtinId="8" hidden="1"/>
    <cellStyle name="Hiperlink" xfId="543" builtinId="8" hidden="1"/>
    <cellStyle name="Hiperlink" xfId="545" builtinId="8" hidden="1"/>
    <cellStyle name="Hiperlink" xfId="549" builtinId="8" hidden="1"/>
    <cellStyle name="Hiperlink" xfId="551" builtinId="8" hidden="1"/>
    <cellStyle name="Hiperlink" xfId="553" builtinId="8" hidden="1"/>
    <cellStyle name="Hiperlink" xfId="557" builtinId="8" hidden="1"/>
    <cellStyle name="Hiperlink" xfId="559" builtinId="8" hidden="1"/>
    <cellStyle name="Hiperlink" xfId="561" builtinId="8" hidden="1"/>
    <cellStyle name="Hiperlink" xfId="565" builtinId="8" hidden="1"/>
    <cellStyle name="Hiperlink" xfId="567" builtinId="8" hidden="1"/>
    <cellStyle name="Hiperlink" xfId="569" builtinId="8" hidden="1"/>
    <cellStyle name="Hiperlink" xfId="573" builtinId="8" hidden="1"/>
    <cellStyle name="Hiperlink" xfId="575" builtinId="8" hidden="1"/>
    <cellStyle name="Hiperlink" xfId="577" builtinId="8" hidden="1"/>
    <cellStyle name="Hiperlink" xfId="581" builtinId="8" hidden="1"/>
    <cellStyle name="Hiperlink" xfId="583" builtinId="8" hidden="1"/>
    <cellStyle name="Hiperlink" xfId="585" builtinId="8" hidden="1"/>
    <cellStyle name="Hiperlink" xfId="589" builtinId="8" hidden="1"/>
    <cellStyle name="Hiperlink" xfId="591" builtinId="8" hidden="1"/>
    <cellStyle name="Hiperlink" xfId="593" builtinId="8" hidden="1"/>
    <cellStyle name="Hiperlink" xfId="597" builtinId="8" hidden="1"/>
    <cellStyle name="Hiperlink" xfId="599" builtinId="8" hidden="1"/>
    <cellStyle name="Hiperlink" xfId="601" builtinId="8" hidden="1"/>
    <cellStyle name="Hiperlink" xfId="605" builtinId="8" hidden="1"/>
    <cellStyle name="Hiperlink" xfId="607" builtinId="8" hidden="1"/>
    <cellStyle name="Hiperlink" xfId="609" builtinId="8" hidden="1"/>
    <cellStyle name="Hiperlink" xfId="613" builtinId="8" hidden="1"/>
    <cellStyle name="Hiperlink" xfId="615" builtinId="8" hidden="1"/>
    <cellStyle name="Hiperlink" xfId="617" builtinId="8" hidden="1"/>
    <cellStyle name="Hiperlink" xfId="621" builtinId="8" hidden="1"/>
    <cellStyle name="Hiperlink" xfId="623" builtinId="8" hidden="1"/>
    <cellStyle name="Hiperlink" xfId="625" builtinId="8" hidden="1"/>
    <cellStyle name="Hiperlink" xfId="629" builtinId="8" hidden="1"/>
    <cellStyle name="Hiperlink" xfId="631" builtinId="8" hidden="1"/>
    <cellStyle name="Hiperlink" xfId="633" builtinId="8" hidden="1"/>
    <cellStyle name="Hiperlink" xfId="637" builtinId="8" hidden="1"/>
    <cellStyle name="Hiperlink" xfId="639" builtinId="8" hidden="1"/>
    <cellStyle name="Hiperlink" xfId="641" builtinId="8" hidden="1"/>
    <cellStyle name="Hiperlink" xfId="645" builtinId="8" hidden="1"/>
    <cellStyle name="Hiperlink" xfId="647" builtinId="8" hidden="1"/>
    <cellStyle name="Hiperlink" xfId="649" builtinId="8" hidden="1"/>
    <cellStyle name="Hiperlink" xfId="653" builtinId="8" hidden="1"/>
    <cellStyle name="Hiperlink" xfId="655" builtinId="8" hidden="1"/>
    <cellStyle name="Hiperlink" xfId="657" builtinId="8" hidden="1"/>
    <cellStyle name="Hiperlink" xfId="661" builtinId="8" hidden="1"/>
    <cellStyle name="Hiperlink" xfId="663" builtinId="8" hidden="1"/>
    <cellStyle name="Hiperlink" xfId="665" builtinId="8" hidden="1"/>
    <cellStyle name="Hiperlink" xfId="669" builtinId="8" hidden="1"/>
    <cellStyle name="Hiperlink" xfId="671" builtinId="8" hidden="1"/>
    <cellStyle name="Hiperlink" xfId="673" builtinId="8" hidden="1"/>
    <cellStyle name="Hiperlink" xfId="677" builtinId="8" hidden="1"/>
    <cellStyle name="Hiperlink" xfId="679" builtinId="8" hidden="1"/>
    <cellStyle name="Hiperlink" xfId="681" builtinId="8" hidden="1"/>
    <cellStyle name="Hiperlink" xfId="685" builtinId="8" hidden="1"/>
    <cellStyle name="Hiperlink" xfId="687" builtinId="8" hidden="1"/>
    <cellStyle name="Hiperlink" xfId="689" builtinId="8" hidden="1"/>
    <cellStyle name="Hiperlink" xfId="693" builtinId="8" hidden="1"/>
    <cellStyle name="Hiperlink" xfId="695" builtinId="8" hidden="1"/>
    <cellStyle name="Hiperlink" xfId="697" builtinId="8" hidden="1"/>
    <cellStyle name="Hiperlink" xfId="701" builtinId="8" hidden="1"/>
    <cellStyle name="Hiperlink" xfId="703" builtinId="8" hidden="1"/>
    <cellStyle name="Hiperlink" xfId="705" builtinId="8" hidden="1"/>
    <cellStyle name="Hiperlink" xfId="709" builtinId="8" hidden="1"/>
    <cellStyle name="Hiperlink" xfId="711" builtinId="8" hidden="1"/>
    <cellStyle name="Hiperlink" xfId="713" builtinId="8" hidden="1"/>
    <cellStyle name="Hiperlink" xfId="717" builtinId="8" hidden="1"/>
    <cellStyle name="Hiperlink" xfId="719" builtinId="8" hidden="1"/>
    <cellStyle name="Hiperlink" xfId="721" builtinId="8" hidden="1"/>
    <cellStyle name="Hiperlink" xfId="725" builtinId="8" hidden="1"/>
    <cellStyle name="Hiperlink" xfId="727" builtinId="8" hidden="1"/>
    <cellStyle name="Hiperlink" xfId="72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9" builtinId="8" hidden="1"/>
    <cellStyle name="Hiperlink" xfId="851" builtinId="8" hidden="1"/>
    <cellStyle name="Hiperlink" xfId="853" builtinId="8" hidden="1"/>
    <cellStyle name="Hiperlink" xfId="857" builtinId="8" hidden="1"/>
    <cellStyle name="Hiperlink" xfId="859" builtinId="8" hidden="1"/>
    <cellStyle name="Hiperlink" xfId="861" builtinId="8" hidden="1"/>
    <cellStyle name="Hiperlink" xfId="865" builtinId="8" hidden="1"/>
    <cellStyle name="Hiperlink" xfId="867" builtinId="8" hidden="1"/>
    <cellStyle name="Hiperlink" xfId="863" builtinId="8" hidden="1"/>
    <cellStyle name="Hiperlink" xfId="855" builtinId="8" hidden="1"/>
    <cellStyle name="Hiperlink" xfId="847" builtinId="8" hidden="1"/>
    <cellStyle name="Hiperlink" xfId="839" builtinId="8" hidden="1"/>
    <cellStyle name="Hiperlink" xfId="723" builtinId="8" hidden="1"/>
    <cellStyle name="Hiperlink" xfId="715" builtinId="8" hidden="1"/>
    <cellStyle name="Hiperlink" xfId="707" builtinId="8" hidden="1"/>
    <cellStyle name="Hiperlink" xfId="699" builtinId="8" hidden="1"/>
    <cellStyle name="Hiperlink" xfId="691" builtinId="8" hidden="1"/>
    <cellStyle name="Hiperlink" xfId="683" builtinId="8" hidden="1"/>
    <cellStyle name="Hiperlink" xfId="675" builtinId="8" hidden="1"/>
    <cellStyle name="Hiperlink" xfId="667" builtinId="8" hidden="1"/>
    <cellStyle name="Hiperlink" xfId="659" builtinId="8" hidden="1"/>
    <cellStyle name="Hiperlink" xfId="651" builtinId="8" hidden="1"/>
    <cellStyle name="Hiperlink" xfId="643" builtinId="8" hidden="1"/>
    <cellStyle name="Hiperlink" xfId="635" builtinId="8" hidden="1"/>
    <cellStyle name="Hiperlink" xfId="627" builtinId="8" hidden="1"/>
    <cellStyle name="Hiperlink" xfId="619" builtinId="8" hidden="1"/>
    <cellStyle name="Hiperlink" xfId="611" builtinId="8" hidden="1"/>
    <cellStyle name="Hiperlink" xfId="603" builtinId="8" hidden="1"/>
    <cellStyle name="Hiperlink" xfId="595" builtinId="8" hidden="1"/>
    <cellStyle name="Hiperlink" xfId="587" builtinId="8" hidden="1"/>
    <cellStyle name="Hiperlink" xfId="579" builtinId="8" hidden="1"/>
    <cellStyle name="Hiperlink" xfId="571" builtinId="8" hidden="1"/>
    <cellStyle name="Hiperlink" xfId="563" builtinId="8" hidden="1"/>
    <cellStyle name="Hiperlink" xfId="555" builtinId="8" hidden="1"/>
    <cellStyle name="Hiperlink" xfId="547" builtinId="8" hidden="1"/>
    <cellStyle name="Hiperlink" xfId="539" builtinId="8" hidden="1"/>
    <cellStyle name="Hiperlink" xfId="531" builtinId="8" hidden="1"/>
    <cellStyle name="Hiperlink" xfId="523" builtinId="8" hidden="1"/>
    <cellStyle name="Hiperlink" xfId="515" builtinId="8" hidden="1"/>
    <cellStyle name="Hiperlink" xfId="507" builtinId="8" hidden="1"/>
    <cellStyle name="Hiperlink" xfId="499" builtinId="8" hidden="1"/>
    <cellStyle name="Hiperlink" xfId="491" builtinId="8" hidden="1"/>
    <cellStyle name="Hiperlink" xfId="483" builtinId="8" hidden="1"/>
    <cellStyle name="Hiperlink" xfId="475" builtinId="8" hidden="1"/>
    <cellStyle name="Hiperlink" xfId="467" builtinId="8" hidden="1"/>
    <cellStyle name="Hiperlink" xfId="459" builtinId="8" hidden="1"/>
    <cellStyle name="Hiperlink" xfId="451" builtinId="8" hidden="1"/>
    <cellStyle name="Hiperlink" xfId="443" builtinId="8" hidden="1"/>
    <cellStyle name="Hiperlink" xfId="435" builtinId="8" hidden="1"/>
    <cellStyle name="Hiperlink" xfId="427" builtinId="8" hidden="1"/>
    <cellStyle name="Hiperlink" xfId="419" builtinId="8" hidden="1"/>
    <cellStyle name="Hiperlink" xfId="411" builtinId="8" hidden="1"/>
    <cellStyle name="Hiperlink" xfId="401" builtinId="8" hidden="1"/>
    <cellStyle name="Hiperlink" xfId="393" builtinId="8" hidden="1"/>
    <cellStyle name="Hiperlink" xfId="385" builtinId="8" hidden="1"/>
    <cellStyle name="Hiperlink" xfId="377" builtinId="8" hidden="1"/>
    <cellStyle name="Hiperlink" xfId="369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53" builtinId="8" hidden="1"/>
    <cellStyle name="Hiperlink" xfId="337" builtinId="8" hidden="1"/>
    <cellStyle name="Hiperlink" xfId="321" builtinId="8" hidden="1"/>
    <cellStyle name="Hiperlink" xfId="305" builtinId="8" hidden="1"/>
    <cellStyle name="Hiperlink" xfId="289" builtinId="8" hidden="1"/>
    <cellStyle name="Hiperlink" xfId="273" builtinId="8" hidden="1"/>
    <cellStyle name="Hiperlink" xfId="257" builtinId="8" hidden="1"/>
    <cellStyle name="Hiperlink" xfId="241" builtinId="8" hidden="1"/>
    <cellStyle name="Hiperlink" xfId="225" builtinId="8" hidden="1"/>
    <cellStyle name="Hiperlink" xfId="209" builtinId="8" hidden="1"/>
    <cellStyle name="Hiperlink" xfId="193" builtinId="8" hidden="1"/>
    <cellStyle name="Hiperlink" xfId="177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3" builtinId="8" hidden="1"/>
    <cellStyle name="Hiperlink" xfId="165" builtinId="8" hidden="1"/>
    <cellStyle name="Hiperlink" xfId="161" builtinId="8" hidden="1"/>
    <cellStyle name="Hiperlink" xfId="129" builtinId="8" hidden="1"/>
    <cellStyle name="Hiperlink" xfId="9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43" builtinId="8" hidden="1"/>
    <cellStyle name="Hiperlink" xfId="45" builtinId="8" hidden="1"/>
    <cellStyle name="Hiperlink" xfId="4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60" builtinId="9" hidden="1"/>
    <cellStyle name="Hiperlink Visitado" xfId="64" builtinId="9" hidden="1"/>
    <cellStyle name="Hiperlink Visitado" xfId="68" builtinId="9" hidden="1"/>
    <cellStyle name="Hiperlink Visitado" xfId="72" builtinId="9" hidden="1"/>
    <cellStyle name="Hiperlink Visitado" xfId="76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6" builtinId="9" hidden="1"/>
    <cellStyle name="Hiperlink Visitado" xfId="100" builtinId="9" hidden="1"/>
    <cellStyle name="Hiperlink Visitado" xfId="104" builtinId="9" hidden="1"/>
    <cellStyle name="Hiperlink Visitado" xfId="108" builtinId="9" hidden="1"/>
    <cellStyle name="Hiperlink Visitado" xfId="112" builtinId="9" hidden="1"/>
    <cellStyle name="Hiperlink Visitado" xfId="116" builtinId="9" hidden="1"/>
    <cellStyle name="Hiperlink Visitado" xfId="120" builtinId="9" hidden="1"/>
    <cellStyle name="Hiperlink Visitado" xfId="124" builtinId="9" hidden="1"/>
    <cellStyle name="Hiperlink Visitado" xfId="128" builtinId="9" hidden="1"/>
    <cellStyle name="Hiperlink Visitado" xfId="132" builtinId="9" hidden="1"/>
    <cellStyle name="Hiperlink Visitado" xfId="136" builtinId="9" hidden="1"/>
    <cellStyle name="Hiperlink Visitado" xfId="140" builtinId="9" hidden="1"/>
    <cellStyle name="Hiperlink Visitado" xfId="144" builtinId="9" hidden="1"/>
    <cellStyle name="Hiperlink Visitado" xfId="148" builtinId="9" hidden="1"/>
    <cellStyle name="Hiperlink Visitado" xfId="152" builtinId="9" hidden="1"/>
    <cellStyle name="Hiperlink Visitado" xfId="156" builtinId="9" hidden="1"/>
    <cellStyle name="Hiperlink Visitado" xfId="160" builtinId="9" hidden="1"/>
    <cellStyle name="Hiperlink Visitado" xfId="164" builtinId="9" hidden="1"/>
    <cellStyle name="Hiperlink Visitado" xfId="168" builtinId="9" hidden="1"/>
    <cellStyle name="Hiperlink Visitado" xfId="172" builtinId="9" hidden="1"/>
    <cellStyle name="Hiperlink Visitado" xfId="176" builtinId="9" hidden="1"/>
    <cellStyle name="Hiperlink Visitado" xfId="180" builtinId="9" hidden="1"/>
    <cellStyle name="Hiperlink Visitado" xfId="184" builtinId="9" hidden="1"/>
    <cellStyle name="Hiperlink Visitado" xfId="188" builtinId="9" hidden="1"/>
    <cellStyle name="Hiperlink Visitado" xfId="192" builtinId="9" hidden="1"/>
    <cellStyle name="Hiperlink Visitado" xfId="196" builtinId="9" hidden="1"/>
    <cellStyle name="Hiperlink Visitado" xfId="200" builtinId="9" hidden="1"/>
    <cellStyle name="Hiperlink Visitado" xfId="204" builtinId="9" hidden="1"/>
    <cellStyle name="Hiperlink Visitado" xfId="208" builtinId="9" hidden="1"/>
    <cellStyle name="Hiperlink Visitado" xfId="212" builtinId="9" hidden="1"/>
    <cellStyle name="Hiperlink Visitado" xfId="216" builtinId="9" hidden="1"/>
    <cellStyle name="Hiperlink Visitado" xfId="220" builtinId="9" hidden="1"/>
    <cellStyle name="Hiperlink Visitado" xfId="224" builtinId="9" hidden="1"/>
    <cellStyle name="Hiperlink Visitado" xfId="228" builtinId="9" hidden="1"/>
    <cellStyle name="Hiperlink Visitado" xfId="232" builtinId="9" hidden="1"/>
    <cellStyle name="Hiperlink Visitado" xfId="236" builtinId="9" hidden="1"/>
    <cellStyle name="Hiperlink Visitado" xfId="240" builtinId="9" hidden="1"/>
    <cellStyle name="Hiperlink Visitado" xfId="244" builtinId="9" hidden="1"/>
    <cellStyle name="Hiperlink Visitado" xfId="248" builtinId="9" hidden="1"/>
    <cellStyle name="Hiperlink Visitado" xfId="252" builtinId="9" hidden="1"/>
    <cellStyle name="Hiperlink Visitado" xfId="256" builtinId="9" hidden="1"/>
    <cellStyle name="Hiperlink Visitado" xfId="260" builtinId="9" hidden="1"/>
    <cellStyle name="Hiperlink Visitado" xfId="264" builtinId="9" hidden="1"/>
    <cellStyle name="Hiperlink Visitado" xfId="268" builtinId="9" hidden="1"/>
    <cellStyle name="Hiperlink Visitado" xfId="272" builtinId="9" hidden="1"/>
    <cellStyle name="Hiperlink Visitado" xfId="276" builtinId="9" hidden="1"/>
    <cellStyle name="Hiperlink Visitado" xfId="280" builtinId="9" hidden="1"/>
    <cellStyle name="Hiperlink Visitado" xfId="284" builtinId="9" hidden="1"/>
    <cellStyle name="Hiperlink Visitado" xfId="288" builtinId="9" hidden="1"/>
    <cellStyle name="Hiperlink Visitado" xfId="292" builtinId="9" hidden="1"/>
    <cellStyle name="Hiperlink Visitado" xfId="296" builtinId="9" hidden="1"/>
    <cellStyle name="Hiperlink Visitado" xfId="300" builtinId="9" hidden="1"/>
    <cellStyle name="Hiperlink Visitado" xfId="304" builtinId="9" hidden="1"/>
    <cellStyle name="Hiperlink Visitado" xfId="308" builtinId="9" hidden="1"/>
    <cellStyle name="Hiperlink Visitado" xfId="312" builtinId="9" hidden="1"/>
    <cellStyle name="Hiperlink Visitado" xfId="316" builtinId="9" hidden="1"/>
    <cellStyle name="Hiperlink Visitado" xfId="320" builtinId="9" hidden="1"/>
    <cellStyle name="Hiperlink Visitado" xfId="324" builtinId="9" hidden="1"/>
    <cellStyle name="Hiperlink Visitado" xfId="328" builtinId="9" hidden="1"/>
    <cellStyle name="Hiperlink Visitado" xfId="332" builtinId="9" hidden="1"/>
    <cellStyle name="Hiperlink Visitado" xfId="336" builtinId="9" hidden="1"/>
    <cellStyle name="Hiperlink Visitado" xfId="340" builtinId="9" hidden="1"/>
    <cellStyle name="Hiperlink Visitado" xfId="344" builtinId="9" hidden="1"/>
    <cellStyle name="Hiperlink Visitado" xfId="348" builtinId="9" hidden="1"/>
    <cellStyle name="Hiperlink Visitado" xfId="352" builtinId="9" hidden="1"/>
    <cellStyle name="Hiperlink Visitado" xfId="356" builtinId="9" hidden="1"/>
    <cellStyle name="Hiperlink Visitado" xfId="360" builtinId="9" hidden="1"/>
    <cellStyle name="Hiperlink Visitado" xfId="364" builtinId="9" hidden="1"/>
    <cellStyle name="Hiperlink Visitado" xfId="368" builtinId="9" hidden="1"/>
    <cellStyle name="Hiperlink Visitado" xfId="372" builtinId="9" hidden="1"/>
    <cellStyle name="Hiperlink Visitado" xfId="376" builtinId="9" hidden="1"/>
    <cellStyle name="Hiperlink Visitado" xfId="380" builtinId="9" hidden="1"/>
    <cellStyle name="Hiperlink Visitado" xfId="384" builtinId="9" hidden="1"/>
    <cellStyle name="Hiperlink Visitado" xfId="388" builtinId="9" hidden="1"/>
    <cellStyle name="Hiperlink Visitado" xfId="392" builtinId="9" hidden="1"/>
    <cellStyle name="Hiperlink Visitado" xfId="396" builtinId="9" hidden="1"/>
    <cellStyle name="Hiperlink Visitado" xfId="400" builtinId="9" hidden="1"/>
    <cellStyle name="Hiperlink Visitado" xfId="404" builtinId="9" hidden="1"/>
    <cellStyle name="Hiperlink Visitado" xfId="410" builtinId="9" hidden="1"/>
    <cellStyle name="Hiperlink Visitado" xfId="414" builtinId="9" hidden="1"/>
    <cellStyle name="Hiperlink Visitado" xfId="418" builtinId="9" hidden="1"/>
    <cellStyle name="Hiperlink Visitado" xfId="422" builtinId="9" hidden="1"/>
    <cellStyle name="Hiperlink Visitado" xfId="426" builtinId="9" hidden="1"/>
    <cellStyle name="Hiperlink Visitado" xfId="430" builtinId="9" hidden="1"/>
    <cellStyle name="Hiperlink Visitado" xfId="434" builtinId="9" hidden="1"/>
    <cellStyle name="Hiperlink Visitado" xfId="438" builtinId="9" hidden="1"/>
    <cellStyle name="Hiperlink Visitado" xfId="442" builtinId="9" hidden="1"/>
    <cellStyle name="Hiperlink Visitado" xfId="446" builtinId="9" hidden="1"/>
    <cellStyle name="Hiperlink Visitado" xfId="450" builtinId="9" hidden="1"/>
    <cellStyle name="Hiperlink Visitado" xfId="454" builtinId="9" hidden="1"/>
    <cellStyle name="Hiperlink Visitado" xfId="458" builtinId="9" hidden="1"/>
    <cellStyle name="Hiperlink Visitado" xfId="462" builtinId="9" hidden="1"/>
    <cellStyle name="Hiperlink Visitado" xfId="466" builtinId="9" hidden="1"/>
    <cellStyle name="Hiperlink Visitado" xfId="470" builtinId="9" hidden="1"/>
    <cellStyle name="Hiperlink Visitado" xfId="474" builtinId="9" hidden="1"/>
    <cellStyle name="Hiperlink Visitado" xfId="478" builtinId="9" hidden="1"/>
    <cellStyle name="Hiperlink Visitado" xfId="482" builtinId="9" hidden="1"/>
    <cellStyle name="Hiperlink Visitado" xfId="486" builtinId="9" hidden="1"/>
    <cellStyle name="Hiperlink Visitado" xfId="490" builtinId="9" hidden="1"/>
    <cellStyle name="Hiperlink Visitado" xfId="494" builtinId="9" hidden="1"/>
    <cellStyle name="Hiperlink Visitado" xfId="498" builtinId="9" hidden="1"/>
    <cellStyle name="Hiperlink Visitado" xfId="502" builtinId="9" hidden="1"/>
    <cellStyle name="Hiperlink Visitado" xfId="506" builtinId="9" hidden="1"/>
    <cellStyle name="Hiperlink Visitado" xfId="510" builtinId="9" hidden="1"/>
    <cellStyle name="Hiperlink Visitado" xfId="514" builtinId="9" hidden="1"/>
    <cellStyle name="Hiperlink Visitado" xfId="518" builtinId="9" hidden="1"/>
    <cellStyle name="Hiperlink Visitado" xfId="522" builtinId="9" hidden="1"/>
    <cellStyle name="Hiperlink Visitado" xfId="526" builtinId="9" hidden="1"/>
    <cellStyle name="Hiperlink Visitado" xfId="530" builtinId="9" hidden="1"/>
    <cellStyle name="Hiperlink Visitado" xfId="534" builtinId="9" hidden="1"/>
    <cellStyle name="Hiperlink Visitado" xfId="538" builtinId="9" hidden="1"/>
    <cellStyle name="Hiperlink Visitado" xfId="542" builtinId="9" hidden="1"/>
    <cellStyle name="Hiperlink Visitado" xfId="546" builtinId="9" hidden="1"/>
    <cellStyle name="Hiperlink Visitado" xfId="550" builtinId="9" hidden="1"/>
    <cellStyle name="Hiperlink Visitado" xfId="554" builtinId="9" hidden="1"/>
    <cellStyle name="Hiperlink Visitado" xfId="558" builtinId="9" hidden="1"/>
    <cellStyle name="Hiperlink Visitado" xfId="562" builtinId="9" hidden="1"/>
    <cellStyle name="Hiperlink Visitado" xfId="566" builtinId="9" hidden="1"/>
    <cellStyle name="Hiperlink Visitado" xfId="570" builtinId="9" hidden="1"/>
    <cellStyle name="Hiperlink Visitado" xfId="574" builtinId="9" hidden="1"/>
    <cellStyle name="Hiperlink Visitado" xfId="578" builtinId="9" hidden="1"/>
    <cellStyle name="Hiperlink Visitado" xfId="582" builtinId="9" hidden="1"/>
    <cellStyle name="Hiperlink Visitado" xfId="586" builtinId="9" hidden="1"/>
    <cellStyle name="Hiperlink Visitado" xfId="590" builtinId="9" hidden="1"/>
    <cellStyle name="Hiperlink Visitado" xfId="594" builtinId="9" hidden="1"/>
    <cellStyle name="Hiperlink Visitado" xfId="598" builtinId="9" hidden="1"/>
    <cellStyle name="Hiperlink Visitado" xfId="602" builtinId="9" hidden="1"/>
    <cellStyle name="Hiperlink Visitado" xfId="606" builtinId="9" hidden="1"/>
    <cellStyle name="Hiperlink Visitado" xfId="610" builtinId="9" hidden="1"/>
    <cellStyle name="Hiperlink Visitado" xfId="614" builtinId="9" hidden="1"/>
    <cellStyle name="Hiperlink Visitado" xfId="618" builtinId="9" hidden="1"/>
    <cellStyle name="Hiperlink Visitado" xfId="622" builtinId="9" hidden="1"/>
    <cellStyle name="Hiperlink Visitado" xfId="626" builtinId="9" hidden="1"/>
    <cellStyle name="Hiperlink Visitado" xfId="630" builtinId="9" hidden="1"/>
    <cellStyle name="Hiperlink Visitado" xfId="634" builtinId="9" hidden="1"/>
    <cellStyle name="Hiperlink Visitado" xfId="638" builtinId="9" hidden="1"/>
    <cellStyle name="Hiperlink Visitado" xfId="642" builtinId="9" hidden="1"/>
    <cellStyle name="Hiperlink Visitado" xfId="646" builtinId="9" hidden="1"/>
    <cellStyle name="Hiperlink Visitado" xfId="650" builtinId="9" hidden="1"/>
    <cellStyle name="Hiperlink Visitado" xfId="654" builtinId="9" hidden="1"/>
    <cellStyle name="Hiperlink Visitado" xfId="658" builtinId="9" hidden="1"/>
    <cellStyle name="Hiperlink Visitado" xfId="662" builtinId="9" hidden="1"/>
    <cellStyle name="Hiperlink Visitado" xfId="666" builtinId="9" hidden="1"/>
    <cellStyle name="Hiperlink Visitado" xfId="670" builtinId="9" hidden="1"/>
    <cellStyle name="Hiperlink Visitado" xfId="674" builtinId="9" hidden="1"/>
    <cellStyle name="Hiperlink Visitado" xfId="678" builtinId="9" hidden="1"/>
    <cellStyle name="Hiperlink Visitado" xfId="682" builtinId="9" hidden="1"/>
    <cellStyle name="Hiperlink Visitado" xfId="686" builtinId="9" hidden="1"/>
    <cellStyle name="Hiperlink Visitado" xfId="690" builtinId="9" hidden="1"/>
    <cellStyle name="Hiperlink Visitado" xfId="694" builtinId="9" hidden="1"/>
    <cellStyle name="Hiperlink Visitado" xfId="698" builtinId="9" hidden="1"/>
    <cellStyle name="Hiperlink Visitado" xfId="702" builtinId="9" hidden="1"/>
    <cellStyle name="Hiperlink Visitado" xfId="706" builtinId="9" hidden="1"/>
    <cellStyle name="Hiperlink Visitado" xfId="710" builtinId="9" hidden="1"/>
    <cellStyle name="Hiperlink Visitado" xfId="714" builtinId="9" hidden="1"/>
    <cellStyle name="Hiperlink Visitado" xfId="718" builtinId="9" hidden="1"/>
    <cellStyle name="Hiperlink Visitado" xfId="722" builtinId="9" hidden="1"/>
    <cellStyle name="Hiperlink Visitado" xfId="726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2" builtinId="9" hidden="1"/>
    <cellStyle name="Hiperlink Visitado" xfId="846" builtinId="9" hidden="1"/>
    <cellStyle name="Hiperlink Visitado" xfId="850" builtinId="9" hidden="1"/>
    <cellStyle name="Hiperlink Visitado" xfId="854" builtinId="9" hidden="1"/>
    <cellStyle name="Hiperlink Visitado" xfId="858" builtinId="9" hidden="1"/>
    <cellStyle name="Hiperlink Visitado" xfId="862" builtinId="9" hidden="1"/>
    <cellStyle name="Hiperlink Visitado" xfId="866" builtinId="9" hidden="1"/>
    <cellStyle name="Hiperlink Visitado" xfId="868" builtinId="9" hidden="1"/>
    <cellStyle name="Hiperlink Visitado" xfId="864" builtinId="9" hidden="1"/>
    <cellStyle name="Hiperlink Visitado" xfId="860" builtinId="9" hidden="1"/>
    <cellStyle name="Hiperlink Visitado" xfId="856" builtinId="9" hidden="1"/>
    <cellStyle name="Hiperlink Visitado" xfId="852" builtinId="9" hidden="1"/>
    <cellStyle name="Hiperlink Visitado" xfId="848" builtinId="9" hidden="1"/>
    <cellStyle name="Hiperlink Visitado" xfId="844" builtinId="9" hidden="1"/>
    <cellStyle name="Hiperlink Visitado" xfId="840" builtinId="9" hidden="1"/>
    <cellStyle name="Hiperlink Visitado" xfId="837" builtinId="9" hidden="1"/>
    <cellStyle name="Hiperlink Visitado" xfId="835" builtinId="9" hidden="1"/>
    <cellStyle name="Hiperlink Visitado" xfId="833" builtinId="9" hidden="1"/>
    <cellStyle name="Hiperlink Visitado" xfId="831" builtinId="9" hidden="1"/>
    <cellStyle name="Hiperlink Visitado" xfId="829" builtinId="9" hidden="1"/>
    <cellStyle name="Hiperlink Visitado" xfId="827" builtinId="9" hidden="1"/>
    <cellStyle name="Hiperlink Visitado" xfId="825" builtinId="9" hidden="1"/>
    <cellStyle name="Hiperlink Visitado" xfId="823" builtinId="9" hidden="1"/>
    <cellStyle name="Hiperlink Visitado" xfId="821" builtinId="9" hidden="1"/>
    <cellStyle name="Hiperlink Visitado" xfId="819" builtinId="9" hidden="1"/>
    <cellStyle name="Hiperlink Visitado" xfId="817" builtinId="9" hidden="1"/>
    <cellStyle name="Hiperlink Visitado" xfId="815" builtinId="9" hidden="1"/>
    <cellStyle name="Hiperlink Visitado" xfId="813" builtinId="9" hidden="1"/>
    <cellStyle name="Hiperlink Visitado" xfId="811" builtinId="9" hidden="1"/>
    <cellStyle name="Hiperlink Visitado" xfId="809" builtinId="9" hidden="1"/>
    <cellStyle name="Hiperlink Visitado" xfId="807" builtinId="9" hidden="1"/>
    <cellStyle name="Hiperlink Visitado" xfId="805" builtinId="9" hidden="1"/>
    <cellStyle name="Hiperlink Visitado" xfId="803" builtinId="9" hidden="1"/>
    <cellStyle name="Hiperlink Visitado" xfId="801" builtinId="9" hidden="1"/>
    <cellStyle name="Hiperlink Visitado" xfId="799" builtinId="9" hidden="1"/>
    <cellStyle name="Hiperlink Visitado" xfId="797" builtinId="9" hidden="1"/>
    <cellStyle name="Hiperlink Visitado" xfId="795" builtinId="9" hidden="1"/>
    <cellStyle name="Hiperlink Visitado" xfId="793" builtinId="9" hidden="1"/>
    <cellStyle name="Hiperlink Visitado" xfId="791" builtinId="9" hidden="1"/>
    <cellStyle name="Hiperlink Visitado" xfId="789" builtinId="9" hidden="1"/>
    <cellStyle name="Hiperlink Visitado" xfId="787" builtinId="9" hidden="1"/>
    <cellStyle name="Hiperlink Visitado" xfId="785" builtinId="9" hidden="1"/>
    <cellStyle name="Hiperlink Visitado" xfId="783" builtinId="9" hidden="1"/>
    <cellStyle name="Hiperlink Visitado" xfId="781" builtinId="9" hidden="1"/>
    <cellStyle name="Hiperlink Visitado" xfId="779" builtinId="9" hidden="1"/>
    <cellStyle name="Hiperlink Visitado" xfId="777" builtinId="9" hidden="1"/>
    <cellStyle name="Hiperlink Visitado" xfId="775" builtinId="9" hidden="1"/>
    <cellStyle name="Hiperlink Visitado" xfId="773" builtinId="9" hidden="1"/>
    <cellStyle name="Hiperlink Visitado" xfId="771" builtinId="9" hidden="1"/>
    <cellStyle name="Hiperlink Visitado" xfId="769" builtinId="9" hidden="1"/>
    <cellStyle name="Hiperlink Visitado" xfId="767" builtinId="9" hidden="1"/>
    <cellStyle name="Hiperlink Visitado" xfId="765" builtinId="9" hidden="1"/>
    <cellStyle name="Hiperlink Visitado" xfId="763" builtinId="9" hidden="1"/>
    <cellStyle name="Hiperlink Visitado" xfId="761" builtinId="9" hidden="1"/>
    <cellStyle name="Hiperlink Visitado" xfId="759" builtinId="9" hidden="1"/>
    <cellStyle name="Hiperlink Visitado" xfId="757" builtinId="9" hidden="1"/>
    <cellStyle name="Hiperlink Visitado" xfId="755" builtinId="9" hidden="1"/>
    <cellStyle name="Hiperlink Visitado" xfId="753" builtinId="9" hidden="1"/>
    <cellStyle name="Hiperlink Visitado" xfId="751" builtinId="9" hidden="1"/>
    <cellStyle name="Hiperlink Visitado" xfId="749" builtinId="9" hidden="1"/>
    <cellStyle name="Hiperlink Visitado" xfId="747" builtinId="9" hidden="1"/>
    <cellStyle name="Hiperlink Visitado" xfId="745" builtinId="9" hidden="1"/>
    <cellStyle name="Hiperlink Visitado" xfId="743" builtinId="9" hidden="1"/>
    <cellStyle name="Hiperlink Visitado" xfId="741" builtinId="9" hidden="1"/>
    <cellStyle name="Hiperlink Visitado" xfId="739" builtinId="9" hidden="1"/>
    <cellStyle name="Hiperlink Visitado" xfId="737" builtinId="9" hidden="1"/>
    <cellStyle name="Hiperlink Visitado" xfId="735" builtinId="9" hidden="1"/>
    <cellStyle name="Hiperlink Visitado" xfId="733" builtinId="9" hidden="1"/>
    <cellStyle name="Hiperlink Visitado" xfId="731" builtinId="9" hidden="1"/>
    <cellStyle name="Hiperlink Visitado" xfId="728" builtinId="9" hidden="1"/>
    <cellStyle name="Hiperlink Visitado" xfId="724" builtinId="9" hidden="1"/>
    <cellStyle name="Hiperlink Visitado" xfId="720" builtinId="9" hidden="1"/>
    <cellStyle name="Hiperlink Visitado" xfId="716" builtinId="9" hidden="1"/>
    <cellStyle name="Hiperlink Visitado" xfId="712" builtinId="9" hidden="1"/>
    <cellStyle name="Hiperlink Visitado" xfId="708" builtinId="9" hidden="1"/>
    <cellStyle name="Hiperlink Visitado" xfId="704" builtinId="9" hidden="1"/>
    <cellStyle name="Hiperlink Visitado" xfId="700" builtinId="9" hidden="1"/>
    <cellStyle name="Hiperlink Visitado" xfId="696" builtinId="9" hidden="1"/>
    <cellStyle name="Hiperlink Visitado" xfId="692" builtinId="9" hidden="1"/>
    <cellStyle name="Hiperlink Visitado" xfId="688" builtinId="9" hidden="1"/>
    <cellStyle name="Hiperlink Visitado" xfId="684" builtinId="9" hidden="1"/>
    <cellStyle name="Hiperlink Visitado" xfId="680" builtinId="9" hidden="1"/>
    <cellStyle name="Hiperlink Visitado" xfId="676" builtinId="9" hidden="1"/>
    <cellStyle name="Hiperlink Visitado" xfId="672" builtinId="9" hidden="1"/>
    <cellStyle name="Hiperlink Visitado" xfId="668" builtinId="9" hidden="1"/>
    <cellStyle name="Hiperlink Visitado" xfId="664" builtinId="9" hidden="1"/>
    <cellStyle name="Hiperlink Visitado" xfId="660" builtinId="9" hidden="1"/>
    <cellStyle name="Hiperlink Visitado" xfId="656" builtinId="9" hidden="1"/>
    <cellStyle name="Hiperlink Visitado" xfId="652" builtinId="9" hidden="1"/>
    <cellStyle name="Hiperlink Visitado" xfId="648" builtinId="9" hidden="1"/>
    <cellStyle name="Hiperlink Visitado" xfId="644" builtinId="9" hidden="1"/>
    <cellStyle name="Hiperlink Visitado" xfId="640" builtinId="9" hidden="1"/>
    <cellStyle name="Hiperlink Visitado" xfId="636" builtinId="9" hidden="1"/>
    <cellStyle name="Hiperlink Visitado" xfId="632" builtinId="9" hidden="1"/>
    <cellStyle name="Hiperlink Visitado" xfId="628" builtinId="9" hidden="1"/>
    <cellStyle name="Hiperlink Visitado" xfId="624" builtinId="9" hidden="1"/>
    <cellStyle name="Hiperlink Visitado" xfId="620" builtinId="9" hidden="1"/>
    <cellStyle name="Hiperlink Visitado" xfId="616" builtinId="9" hidden="1"/>
    <cellStyle name="Hiperlink Visitado" xfId="612" builtinId="9" hidden="1"/>
    <cellStyle name="Hiperlink Visitado" xfId="608" builtinId="9" hidden="1"/>
    <cellStyle name="Hiperlink Visitado" xfId="604" builtinId="9" hidden="1"/>
    <cellStyle name="Hiperlink Visitado" xfId="600" builtinId="9" hidden="1"/>
    <cellStyle name="Hiperlink Visitado" xfId="596" builtinId="9" hidden="1"/>
    <cellStyle name="Hiperlink Visitado" xfId="592" builtinId="9" hidden="1"/>
    <cellStyle name="Hiperlink Visitado" xfId="588" builtinId="9" hidden="1"/>
    <cellStyle name="Hiperlink Visitado" xfId="584" builtinId="9" hidden="1"/>
    <cellStyle name="Hiperlink Visitado" xfId="580" builtinId="9" hidden="1"/>
    <cellStyle name="Hiperlink Visitado" xfId="576" builtinId="9" hidden="1"/>
    <cellStyle name="Hiperlink Visitado" xfId="572" builtinId="9" hidden="1"/>
    <cellStyle name="Hiperlink Visitado" xfId="568" builtinId="9" hidden="1"/>
    <cellStyle name="Hiperlink Visitado" xfId="564" builtinId="9" hidden="1"/>
    <cellStyle name="Hiperlink Visitado" xfId="560" builtinId="9" hidden="1"/>
    <cellStyle name="Hiperlink Visitado" xfId="556" builtinId="9" hidden="1"/>
    <cellStyle name="Hiperlink Visitado" xfId="552" builtinId="9" hidden="1"/>
    <cellStyle name="Hiperlink Visitado" xfId="548" builtinId="9" hidden="1"/>
    <cellStyle name="Hiperlink Visitado" xfId="544" builtinId="9" hidden="1"/>
    <cellStyle name="Hiperlink Visitado" xfId="540" builtinId="9" hidden="1"/>
    <cellStyle name="Hiperlink Visitado" xfId="536" builtinId="9" hidden="1"/>
    <cellStyle name="Hiperlink Visitado" xfId="532" builtinId="9" hidden="1"/>
    <cellStyle name="Hiperlink Visitado" xfId="528" builtinId="9" hidden="1"/>
    <cellStyle name="Hiperlink Visitado" xfId="524" builtinId="9" hidden="1"/>
    <cellStyle name="Hiperlink Visitado" xfId="520" builtinId="9" hidden="1"/>
    <cellStyle name="Hiperlink Visitado" xfId="516" builtinId="9" hidden="1"/>
    <cellStyle name="Hiperlink Visitado" xfId="512" builtinId="9" hidden="1"/>
    <cellStyle name="Hiperlink Visitado" xfId="508" builtinId="9" hidden="1"/>
    <cellStyle name="Hiperlink Visitado" xfId="504" builtinId="9" hidden="1"/>
    <cellStyle name="Hiperlink Visitado" xfId="500" builtinId="9" hidden="1"/>
    <cellStyle name="Hiperlink Visitado" xfId="496" builtinId="9" hidden="1"/>
    <cellStyle name="Hiperlink Visitado" xfId="492" builtinId="9" hidden="1"/>
    <cellStyle name="Hiperlink Visitado" xfId="488" builtinId="9" hidden="1"/>
    <cellStyle name="Hiperlink Visitado" xfId="484" builtinId="9" hidden="1"/>
    <cellStyle name="Hiperlink Visitado" xfId="480" builtinId="9" hidden="1"/>
    <cellStyle name="Hiperlink Visitado" xfId="476" builtinId="9" hidden="1"/>
    <cellStyle name="Hiperlink Visitado" xfId="472" builtinId="9" hidden="1"/>
    <cellStyle name="Hiperlink Visitado" xfId="468" builtinId="9" hidden="1"/>
    <cellStyle name="Hiperlink Visitado" xfId="464" builtinId="9" hidden="1"/>
    <cellStyle name="Hiperlink Visitado" xfId="460" builtinId="9" hidden="1"/>
    <cellStyle name="Hiperlink Visitado" xfId="456" builtinId="9" hidden="1"/>
    <cellStyle name="Hiperlink Visitado" xfId="452" builtinId="9" hidden="1"/>
    <cellStyle name="Hiperlink Visitado" xfId="448" builtinId="9" hidden="1"/>
    <cellStyle name="Hiperlink Visitado" xfId="444" builtinId="9" hidden="1"/>
    <cellStyle name="Hiperlink Visitado" xfId="440" builtinId="9" hidden="1"/>
    <cellStyle name="Hiperlink Visitado" xfId="436" builtinId="9" hidden="1"/>
    <cellStyle name="Hiperlink Visitado" xfId="432" builtinId="9" hidden="1"/>
    <cellStyle name="Hiperlink Visitado" xfId="428" builtinId="9" hidden="1"/>
    <cellStyle name="Hiperlink Visitado" xfId="424" builtinId="9" hidden="1"/>
    <cellStyle name="Hiperlink Visitado" xfId="420" builtinId="9" hidden="1"/>
    <cellStyle name="Hiperlink Visitado" xfId="416" builtinId="9" hidden="1"/>
    <cellStyle name="Hiperlink Visitado" xfId="412" builtinId="9" hidden="1"/>
    <cellStyle name="Hiperlink Visitado" xfId="408" builtinId="9" hidden="1"/>
    <cellStyle name="Hiperlink Visitado" xfId="402" builtinId="9" hidden="1"/>
    <cellStyle name="Hiperlink Visitado" xfId="398" builtinId="9" hidden="1"/>
    <cellStyle name="Hiperlink Visitado" xfId="394" builtinId="9" hidden="1"/>
    <cellStyle name="Hiperlink Visitado" xfId="390" builtinId="9" hidden="1"/>
    <cellStyle name="Hiperlink Visitado" xfId="386" builtinId="9" hidden="1"/>
    <cellStyle name="Hiperlink Visitado" xfId="382" builtinId="9" hidden="1"/>
    <cellStyle name="Hiperlink Visitado" xfId="378" builtinId="9" hidden="1"/>
    <cellStyle name="Hiperlink Visitado" xfId="374" builtinId="9" hidden="1"/>
    <cellStyle name="Hiperlink Visitado" xfId="370" builtinId="9" hidden="1"/>
    <cellStyle name="Hiperlink Visitado" xfId="366" builtinId="9" hidden="1"/>
    <cellStyle name="Hiperlink Visitado" xfId="362" builtinId="9" hidden="1"/>
    <cellStyle name="Hiperlink Visitado" xfId="358" builtinId="9" hidden="1"/>
    <cellStyle name="Hiperlink Visitado" xfId="354" builtinId="9" hidden="1"/>
    <cellStyle name="Hiperlink Visitado" xfId="350" builtinId="9" hidden="1"/>
    <cellStyle name="Hiperlink Visitado" xfId="346" builtinId="9" hidden="1"/>
    <cellStyle name="Hiperlink Visitado" xfId="342" builtinId="9" hidden="1"/>
    <cellStyle name="Hiperlink Visitado" xfId="338" builtinId="9" hidden="1"/>
    <cellStyle name="Hiperlink Visitado" xfId="334" builtinId="9" hidden="1"/>
    <cellStyle name="Hiperlink Visitado" xfId="330" builtinId="9" hidden="1"/>
    <cellStyle name="Hiperlink Visitado" xfId="326" builtinId="9" hidden="1"/>
    <cellStyle name="Hiperlink Visitado" xfId="322" builtinId="9" hidden="1"/>
    <cellStyle name="Hiperlink Visitado" xfId="318" builtinId="9" hidden="1"/>
    <cellStyle name="Hiperlink Visitado" xfId="314" builtinId="9" hidden="1"/>
    <cellStyle name="Hiperlink Visitado" xfId="310" builtinId="9" hidden="1"/>
    <cellStyle name="Hiperlink Visitado" xfId="306" builtinId="9" hidden="1"/>
    <cellStyle name="Hiperlink Visitado" xfId="302" builtinId="9" hidden="1"/>
    <cellStyle name="Hiperlink Visitado" xfId="298" builtinId="9" hidden="1"/>
    <cellStyle name="Hiperlink Visitado" xfId="294" builtinId="9" hidden="1"/>
    <cellStyle name="Hiperlink Visitado" xfId="290" builtinId="9" hidden="1"/>
    <cellStyle name="Hiperlink Visitado" xfId="286" builtinId="9" hidden="1"/>
    <cellStyle name="Hiperlink Visitado" xfId="282" builtinId="9" hidden="1"/>
    <cellStyle name="Hiperlink Visitado" xfId="278" builtinId="9" hidden="1"/>
    <cellStyle name="Hiperlink Visitado" xfId="274" builtinId="9" hidden="1"/>
    <cellStyle name="Hiperlink Visitado" xfId="270" builtinId="9" hidden="1"/>
    <cellStyle name="Hiperlink Visitado" xfId="266" builtinId="9" hidden="1"/>
    <cellStyle name="Hiperlink Visitado" xfId="262" builtinId="9" hidden="1"/>
    <cellStyle name="Hiperlink Visitado" xfId="258" builtinId="9" hidden="1"/>
    <cellStyle name="Hiperlink Visitado" xfId="254" builtinId="9" hidden="1"/>
    <cellStyle name="Hiperlink Visitado" xfId="250" builtinId="9" hidden="1"/>
    <cellStyle name="Hiperlink Visitado" xfId="246" builtinId="9" hidden="1"/>
    <cellStyle name="Hiperlink Visitado" xfId="242" builtinId="9" hidden="1"/>
    <cellStyle name="Hiperlink Visitado" xfId="238" builtinId="9" hidden="1"/>
    <cellStyle name="Hiperlink Visitado" xfId="234" builtinId="9" hidden="1"/>
    <cellStyle name="Hiperlink Visitado" xfId="230" builtinId="9" hidden="1"/>
    <cellStyle name="Hiperlink Visitado" xfId="226" builtinId="9" hidden="1"/>
    <cellStyle name="Hiperlink Visitado" xfId="222" builtinId="9" hidden="1"/>
    <cellStyle name="Hiperlink Visitado" xfId="218" builtinId="9" hidden="1"/>
    <cellStyle name="Hiperlink Visitado" xfId="214" builtinId="9" hidden="1"/>
    <cellStyle name="Hiperlink Visitado" xfId="210" builtinId="9" hidden="1"/>
    <cellStyle name="Hiperlink Visitado" xfId="206" builtinId="9" hidden="1"/>
    <cellStyle name="Hiperlink Visitado" xfId="202" builtinId="9" hidden="1"/>
    <cellStyle name="Hiperlink Visitado" xfId="198" builtinId="9" hidden="1"/>
    <cellStyle name="Hiperlink Visitado" xfId="194" builtinId="9" hidden="1"/>
    <cellStyle name="Hiperlink Visitado" xfId="190" builtinId="9" hidden="1"/>
    <cellStyle name="Hiperlink Visitado" xfId="186" builtinId="9" hidden="1"/>
    <cellStyle name="Hiperlink Visitado" xfId="182" builtinId="9" hidden="1"/>
    <cellStyle name="Hiperlink Visitado" xfId="178" builtinId="9" hidden="1"/>
    <cellStyle name="Hiperlink Visitado" xfId="174" builtinId="9" hidden="1"/>
    <cellStyle name="Hiperlink Visitado" xfId="170" builtinId="9" hidden="1"/>
    <cellStyle name="Hiperlink Visitado" xfId="166" builtinId="9" hidden="1"/>
    <cellStyle name="Hiperlink Visitado" xfId="162" builtinId="9" hidden="1"/>
    <cellStyle name="Hiperlink Visitado" xfId="158" builtinId="9" hidden="1"/>
    <cellStyle name="Hiperlink Visitado" xfId="154" builtinId="9" hidden="1"/>
    <cellStyle name="Hiperlink Visitado" xfId="150" builtinId="9" hidden="1"/>
    <cellStyle name="Hiperlink Visitado" xfId="146" builtinId="9" hidden="1"/>
    <cellStyle name="Hiperlink Visitado" xfId="142" builtinId="9" hidden="1"/>
    <cellStyle name="Hiperlink Visitado" xfId="138" builtinId="9" hidden="1"/>
    <cellStyle name="Hiperlink Visitado" xfId="134" builtinId="9" hidden="1"/>
    <cellStyle name="Hiperlink Visitado" xfId="130" builtinId="9" hidden="1"/>
    <cellStyle name="Hiperlink Visitado" xfId="126" builtinId="9" hidden="1"/>
    <cellStyle name="Hiperlink Visitado" xfId="122" builtinId="9" hidden="1"/>
    <cellStyle name="Hiperlink Visitado" xfId="118" builtinId="9" hidden="1"/>
    <cellStyle name="Hiperlink Visitado" xfId="114" builtinId="9" hidden="1"/>
    <cellStyle name="Hiperlink Visitado" xfId="110" builtinId="9" hidden="1"/>
    <cellStyle name="Hiperlink Visitado" xfId="106" builtinId="9" hidden="1"/>
    <cellStyle name="Hiperlink Visitado" xfId="102" builtinId="9" hidden="1"/>
    <cellStyle name="Hiperlink Visitado" xfId="98" builtinId="9" hidden="1"/>
    <cellStyle name="Hiperlink Visitado" xfId="94" builtinId="9" hidden="1"/>
    <cellStyle name="Hiperlink Visitado" xfId="90" builtinId="9" hidden="1"/>
    <cellStyle name="Hiperlink Visitado" xfId="86" builtinId="9" hidden="1"/>
    <cellStyle name="Hiperlink Visitado" xfId="82" builtinId="9" hidden="1"/>
    <cellStyle name="Hiperlink Visitado" xfId="78" builtinId="9" hidden="1"/>
    <cellStyle name="Hiperlink Visitado" xfId="74" builtinId="9" hidden="1"/>
    <cellStyle name="Hiperlink Visitado" xfId="70" builtinId="9" hidden="1"/>
    <cellStyle name="Hiperlink Visitado" xfId="66" builtinId="9" hidden="1"/>
    <cellStyle name="Hiperlink Visitado" xfId="62" builtinId="9" hidden="1"/>
    <cellStyle name="Hiperlink Visitado" xfId="58" builtinId="9" hidden="1"/>
    <cellStyle name="Hiperlink Visitado" xfId="24" builtinId="9" hidden="1"/>
    <cellStyle name="Hiperlink Visitado" xfId="28" builtinId="9" hidden="1"/>
    <cellStyle name="Hiperlink Visitado" xfId="29" builtinId="9" hidden="1"/>
    <cellStyle name="Hiperlink Visitado" xfId="30" builtinId="9" hidden="1"/>
    <cellStyle name="Hiperlink Visitado" xfId="32" builtinId="9" hidden="1"/>
    <cellStyle name="Hiperlink Visitado" xfId="33" builtinId="9" hidden="1"/>
    <cellStyle name="Hiperlink Visitado" xfId="34" builtinId="9" hidden="1"/>
    <cellStyle name="Hiperlink Visitado" xfId="36" builtinId="9" hidden="1"/>
    <cellStyle name="Hiperlink Visitado" xfId="37" builtinId="9" hidden="1"/>
    <cellStyle name="Hiperlink Visitado" xfId="38" builtinId="9" hidden="1"/>
    <cellStyle name="Hiperlink Visitado" xfId="40" builtinId="9" hidden="1"/>
    <cellStyle name="Hiperlink Visitado" xfId="41" builtinId="9" hidden="1"/>
    <cellStyle name="Hiperlink Visitado" xfId="44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6" builtinId="9" hidden="1"/>
    <cellStyle name="Hiperlink Visitado" xfId="54" builtinId="9" hidden="1"/>
    <cellStyle name="Hiperlink Visitado" xfId="46" builtinId="9" hidden="1"/>
    <cellStyle name="Hiperlink Visitado" xfId="39" builtinId="9" hidden="1"/>
    <cellStyle name="Hiperlink Visitado" xfId="35" builtinId="9" hidden="1"/>
    <cellStyle name="Hiperlink Visitado" xfId="31" builtinId="9" hidden="1"/>
    <cellStyle name="Hiperlink Visitado" xfId="26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10" builtinId="9" hidden="1"/>
    <cellStyle name="Hiperlink Visitado" xfId="6" builtinId="9" hidden="1"/>
    <cellStyle name="Hiperlink Visitado" xfId="8" builtinId="9" hidden="1"/>
    <cellStyle name="Hiperlink Visitado" xfId="4" builtinId="9" hidden="1"/>
    <cellStyle name="Hiperlink Visitado" xfId="2" builtinId="9" hidden="1"/>
    <cellStyle name="Moeda 2" xfId="872" xr:uid="{00000000-0005-0000-0000-000063030000}"/>
    <cellStyle name="Moeda 3" xfId="876" xr:uid="{00000000-0005-0000-0000-000064030000}"/>
    <cellStyle name="Normal" xfId="0" builtinId="0"/>
    <cellStyle name="Normal 2" xfId="870" xr:uid="{00000000-0005-0000-0000-000066030000}"/>
    <cellStyle name="Normal 3" xfId="874" xr:uid="{00000000-0005-0000-0000-000067030000}"/>
    <cellStyle name="Porcentagem" xfId="42" builtinId="5"/>
    <cellStyle name="Porcentagem 2" xfId="873" xr:uid="{00000000-0005-0000-0000-000069030000}"/>
    <cellStyle name="Porcentagem 3" xfId="877" xr:uid="{00000000-0005-0000-0000-00006A030000}"/>
    <cellStyle name="Vírgula" xfId="869" builtinId="3"/>
    <cellStyle name="Vírgula 2" xfId="871" xr:uid="{00000000-0005-0000-0000-00006C030000}"/>
    <cellStyle name="Vírgula 3" xfId="875" xr:uid="{00000000-0005-0000-0000-00006D030000}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Irradiação média mensal</a:t>
            </a:r>
          </a:p>
          <a:p>
            <a:pPr>
              <a:defRPr/>
            </a:pPr>
            <a:r>
              <a:rPr lang="en-US" sz="1400"/>
              <a:t>(horas de sol equivalente/dia - média) 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7753762029746301"/>
          <c:y val="3.7037037037037097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'Dados compilados'!$B$20</c:f>
              <c:strCache>
                <c:ptCount val="1"/>
                <c:pt idx="0">
                  <c:v>RADIAÇÃO SOLAR CONSIDERANDO SOMBREAMENTO E INCLINAÇÃO (base para dimensionamento)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'Dados compilados'!$C$13:$O$13</c:f>
              <c:numCache>
                <c:formatCode>0.0</c:formatCode>
                <c:ptCount val="13"/>
                <c:pt idx="0">
                  <c:v>6.5</c:v>
                </c:pt>
                <c:pt idx="1">
                  <c:v>6.1</c:v>
                </c:pt>
                <c:pt idx="2">
                  <c:v>5.2</c:v>
                </c:pt>
                <c:pt idx="3">
                  <c:v>4.0999999999999996</c:v>
                </c:pt>
                <c:pt idx="4">
                  <c:v>3.1</c:v>
                </c:pt>
                <c:pt idx="5">
                  <c:v>2.6</c:v>
                </c:pt>
                <c:pt idx="6">
                  <c:v>2.9</c:v>
                </c:pt>
                <c:pt idx="7">
                  <c:v>3.7</c:v>
                </c:pt>
                <c:pt idx="8">
                  <c:v>4.0999999999999996</c:v>
                </c:pt>
                <c:pt idx="9">
                  <c:v>5.2</c:v>
                </c:pt>
                <c:pt idx="10">
                  <c:v>6.3</c:v>
                </c:pt>
                <c:pt idx="11">
                  <c:v>6.7</c:v>
                </c:pt>
                <c:pt idx="12">
                  <c:v>4.7083333333333339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'Dados compilados'!#REF!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48C-41D0-9D32-3373638EE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6573408"/>
        <c:axId val="2126579392"/>
        <c:axId val="0"/>
      </c:bar3DChart>
      <c:catAx>
        <c:axId val="212657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79392"/>
        <c:crosses val="autoZero"/>
        <c:auto val="1"/>
        <c:lblAlgn val="ctr"/>
        <c:lblOffset val="100"/>
        <c:noMultiLvlLbl val="0"/>
      </c:catAx>
      <c:valAx>
        <c:axId val="21265793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6573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Temperaturas</a:t>
            </a:r>
            <a:r>
              <a:rPr lang="en-US" baseline="0"/>
              <a:t> do Local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compilados'!$B$14</c:f>
              <c:strCache>
                <c:ptCount val="1"/>
                <c:pt idx="0">
                  <c:v>Temperatura média</c:v>
                </c:pt>
              </c:strCache>
            </c:strRef>
          </c:tx>
          <c:marker>
            <c:symbol val="none"/>
          </c:marker>
          <c:cat>
            <c:strRef>
              <c:f>'Dados compilados'!$C$9:$N$9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'Dados compilados'!$C$14:$N$14</c:f>
              <c:numCache>
                <c:formatCode>0.0</c:formatCode>
                <c:ptCount val="12"/>
                <c:pt idx="0">
                  <c:v>24.9</c:v>
                </c:pt>
                <c:pt idx="1">
                  <c:v>24.4</c:v>
                </c:pt>
                <c:pt idx="2">
                  <c:v>22.6</c:v>
                </c:pt>
                <c:pt idx="3">
                  <c:v>19.399999999999999</c:v>
                </c:pt>
                <c:pt idx="4">
                  <c:v>16.5</c:v>
                </c:pt>
                <c:pt idx="5">
                  <c:v>14.2</c:v>
                </c:pt>
                <c:pt idx="6">
                  <c:v>14.6</c:v>
                </c:pt>
                <c:pt idx="7">
                  <c:v>16.2</c:v>
                </c:pt>
                <c:pt idx="8">
                  <c:v>17.399999999999999</c:v>
                </c:pt>
                <c:pt idx="9">
                  <c:v>19.899999999999999</c:v>
                </c:pt>
                <c:pt idx="10">
                  <c:v>22.5</c:v>
                </c:pt>
                <c:pt idx="11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6-41C9-8DB9-83D5679D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567424"/>
        <c:axId val="2126576128"/>
      </c:lineChart>
      <c:catAx>
        <c:axId val="2126567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26576128"/>
        <c:crosses val="autoZero"/>
        <c:auto val="1"/>
        <c:lblAlgn val="ctr"/>
        <c:lblOffset val="100"/>
        <c:noMultiLvlLbl val="0"/>
      </c:catAx>
      <c:valAx>
        <c:axId val="212657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Graus</a:t>
                </a:r>
                <a:r>
                  <a:rPr lang="en-US" baseline="0"/>
                  <a:t> Celsius</a:t>
                </a:r>
                <a:endParaRPr lang="en-US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212656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Perda</a:t>
            </a:r>
            <a:r>
              <a:rPr lang="en-US" baseline="0"/>
              <a:t> por Sombreamento</a:t>
            </a:r>
            <a:r>
              <a:rPr lang="en-US" sz="1400"/>
              <a:t> 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7753762029746301"/>
          <c:y val="3.7037037037037097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'Dados compilados'!$B$15</c:f>
              <c:strCache>
                <c:ptCount val="1"/>
                <c:pt idx="0">
                  <c:v>Perda por sombreamento (%)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invertIfNegative val="0"/>
          <c:val>
            <c:numRef>
              <c:f>'Dados compilados'!$C$15:$N$15</c:f>
              <c:numCache>
                <c:formatCode>0%</c:formatCode>
                <c:ptCount val="12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0.11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'Dados compilados'!#REF!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A99-4595-A8EB-C0D328788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6573952"/>
        <c:axId val="2126574496"/>
        <c:axId val="0"/>
      </c:bar3DChart>
      <c:catAx>
        <c:axId val="212657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74496"/>
        <c:crosses val="autoZero"/>
        <c:auto val="1"/>
        <c:lblAlgn val="ctr"/>
        <c:lblOffset val="100"/>
        <c:noMultiLvlLbl val="0"/>
      </c:catAx>
      <c:valAx>
        <c:axId val="21265744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6573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Perda</a:t>
            </a:r>
            <a:r>
              <a:rPr lang="en-US" baseline="0"/>
              <a:t> / Ganho por inclinação dos Painéis</a:t>
            </a:r>
            <a:endParaRPr lang="en-US"/>
          </a:p>
        </c:rich>
      </c:tx>
      <c:layout>
        <c:manualLayout>
          <c:xMode val="edge"/>
          <c:yMode val="edge"/>
          <c:x val="0.17753762029746301"/>
          <c:y val="3.7037037037037097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'Dados compilados'!$B$18</c:f>
              <c:strCache>
                <c:ptCount val="1"/>
                <c:pt idx="0">
                  <c:v>Perda/Ganho por inclinação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invertIfNegative val="0"/>
          <c:val>
            <c:numRef>
              <c:f>'Dados compilados'!$C$18:$N$18</c:f>
              <c:numCache>
                <c:formatCode>0.00</c:formatCode>
                <c:ptCount val="12"/>
                <c:pt idx="0">
                  <c:v>0.99</c:v>
                </c:pt>
                <c:pt idx="1">
                  <c:v>1.02</c:v>
                </c:pt>
                <c:pt idx="2">
                  <c:v>1.07</c:v>
                </c:pt>
                <c:pt idx="3">
                  <c:v>1.1299999999999999</c:v>
                </c:pt>
                <c:pt idx="4">
                  <c:v>1.1599999999999999</c:v>
                </c:pt>
                <c:pt idx="5">
                  <c:v>1.1599999999999999</c:v>
                </c:pt>
                <c:pt idx="6">
                  <c:v>1.1399999999999999</c:v>
                </c:pt>
                <c:pt idx="7">
                  <c:v>1.1000000000000001</c:v>
                </c:pt>
                <c:pt idx="8">
                  <c:v>1.06</c:v>
                </c:pt>
                <c:pt idx="9">
                  <c:v>1.02</c:v>
                </c:pt>
                <c:pt idx="10">
                  <c:v>0.99</c:v>
                </c:pt>
                <c:pt idx="11">
                  <c:v>0.97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'Dados compilados'!#REF!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965-474B-A74B-C57C2B4E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6564704"/>
        <c:axId val="2126565792"/>
        <c:axId val="0"/>
      </c:bar3DChart>
      <c:catAx>
        <c:axId val="212656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65792"/>
        <c:crosses val="autoZero"/>
        <c:auto val="1"/>
        <c:lblAlgn val="ctr"/>
        <c:lblOffset val="100"/>
        <c:noMultiLvlLbl val="0"/>
      </c:catAx>
      <c:valAx>
        <c:axId val="2126565792"/>
        <c:scaling>
          <c:orientation val="minMax"/>
          <c:max val="1.8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6564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Radiação mensal após sombreamento e inclinação</a:t>
            </a:r>
          </a:p>
        </c:rich>
      </c:tx>
      <c:layout>
        <c:manualLayout>
          <c:xMode val="edge"/>
          <c:yMode val="edge"/>
          <c:x val="0.12588468796772301"/>
          <c:y val="3.7036942390314902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'Dados compilados'!$B$20</c:f>
              <c:strCache>
                <c:ptCount val="1"/>
                <c:pt idx="0">
                  <c:v>RADIAÇÃO SOLAR CONSIDERANDO SOMBREAMENTO E INCLINAÇÃO (base para dimensionamento)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'Dados compilados'!$C$20:$O$20</c:f>
              <c:numCache>
                <c:formatCode>0.0</c:formatCode>
                <c:ptCount val="13"/>
                <c:pt idx="0">
                  <c:v>5.72715</c:v>
                </c:pt>
                <c:pt idx="1">
                  <c:v>5.5375799999999993</c:v>
                </c:pt>
                <c:pt idx="2">
                  <c:v>4.9519600000000006</c:v>
                </c:pt>
                <c:pt idx="3">
                  <c:v>4.1233699999999995</c:v>
                </c:pt>
                <c:pt idx="4">
                  <c:v>3.2004400000000004</c:v>
                </c:pt>
                <c:pt idx="5">
                  <c:v>2.68424</c:v>
                </c:pt>
                <c:pt idx="6">
                  <c:v>2.9423399999999997</c:v>
                </c:pt>
                <c:pt idx="7">
                  <c:v>3.6223000000000005</c:v>
                </c:pt>
                <c:pt idx="8">
                  <c:v>3.8679399999999999</c:v>
                </c:pt>
                <c:pt idx="9">
                  <c:v>4.7205599999999999</c:v>
                </c:pt>
                <c:pt idx="10">
                  <c:v>5.5509300000000001</c:v>
                </c:pt>
                <c:pt idx="11">
                  <c:v>5.7841100000000001</c:v>
                </c:pt>
                <c:pt idx="12">
                  <c:v>4.3927433333333328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'Dados compilados'!#REF!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34-409B-AD7D-7C92C179D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5403184"/>
        <c:axId val="295404272"/>
        <c:axId val="0"/>
      </c:bar3DChart>
      <c:catAx>
        <c:axId val="29540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5404272"/>
        <c:crosses val="autoZero"/>
        <c:auto val="1"/>
        <c:lblAlgn val="ctr"/>
        <c:lblOffset val="100"/>
        <c:noMultiLvlLbl val="0"/>
      </c:catAx>
      <c:valAx>
        <c:axId val="2954042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9540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310789204784598"/>
          <c:y val="0.53008960086885704"/>
          <c:w val="0.23414401634910101"/>
          <c:h val="0.26030761367810801"/>
        </c:manualLayout>
      </c:layout>
      <c:overlay val="0"/>
    </c:legend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Energia Média Gerada pelo Sistema (kWh/mês)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'Resumo dos Cálculos'!$A$35</c:f>
              <c:strCache>
                <c:ptCount val="1"/>
                <c:pt idx="0">
                  <c:v>Energia mensal gerada pelo Sistema FV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'Resumo dos Cálculos'!$B$34:$N$34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Média</c:v>
                </c:pt>
              </c:strCache>
            </c:strRef>
          </c:cat>
          <c:val>
            <c:numRef>
              <c:f>'Resumo dos Cálculos'!$B$35:$N$35</c:f>
              <c:numCache>
                <c:formatCode>#,##0</c:formatCode>
                <c:ptCount val="13"/>
                <c:pt idx="0">
                  <c:v>898.71881001816746</c:v>
                </c:pt>
                <c:pt idx="1">
                  <c:v>786.39995301452996</c:v>
                </c:pt>
                <c:pt idx="2">
                  <c:v>784.00979890566475</c:v>
                </c:pt>
                <c:pt idx="3">
                  <c:v>639.54187383741089</c:v>
                </c:pt>
                <c:pt idx="4">
                  <c:v>518.59221067881037</c:v>
                </c:pt>
                <c:pt idx="5">
                  <c:v>424.55600807068578</c:v>
                </c:pt>
                <c:pt idx="6">
                  <c:v>480.17461733987017</c:v>
                </c:pt>
                <c:pt idx="7">
                  <c:v>587.61122189337891</c:v>
                </c:pt>
                <c:pt idx="8">
                  <c:v>604.48311601661737</c:v>
                </c:pt>
                <c:pt idx="9">
                  <c:v>755.13533657847563</c:v>
                </c:pt>
                <c:pt idx="10">
                  <c:v>850.818031615221</c:v>
                </c:pt>
                <c:pt idx="11">
                  <c:v>910.12272171622919</c:v>
                </c:pt>
                <c:pt idx="12">
                  <c:v>686.68030830708847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F-415A-AD9D-351F1362B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5406448"/>
        <c:axId val="295402640"/>
        <c:axId val="0"/>
      </c:bar3DChart>
      <c:catAx>
        <c:axId val="295406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5402640"/>
        <c:crosses val="autoZero"/>
        <c:auto val="1"/>
        <c:lblAlgn val="ctr"/>
        <c:lblOffset val="100"/>
        <c:noMultiLvlLbl val="0"/>
      </c:catAx>
      <c:valAx>
        <c:axId val="2954026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9540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Energia Consumida x Gerada (kWh/mês) 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'Dados compilados'!$B$10</c:f>
              <c:strCache>
                <c:ptCount val="1"/>
                <c:pt idx="0">
                  <c:v>Energia Consumida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aseline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'Resumo dos Cálculos'!$B$34:$N$34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Média</c:v>
                </c:pt>
              </c:strCache>
            </c:strRef>
          </c:cat>
          <c:val>
            <c:numRef>
              <c:f>'Resumo dos Cálculos'!$B$36:$N$36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F-4DC7-8BC4-60D4253B528F}"/>
            </c:ext>
          </c:extLst>
        </c:ser>
        <c:ser>
          <c:idx val="2"/>
          <c:order val="1"/>
          <c:tx>
            <c:strRef>
              <c:f>'Resumo dos Cálculos'!$A$35</c:f>
              <c:strCache>
                <c:ptCount val="1"/>
                <c:pt idx="0">
                  <c:v>Energia mensal gerada pelo Sistema FV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12"/>
              <c:layout>
                <c:manualLayout>
                  <c:x val="2.7338129496402901E-2"/>
                  <c:y val="-5.555491378045089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DF-4DC7-8BC4-60D4253B5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aseline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'Resumo dos Cálculos'!$B$34:$N$34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Média</c:v>
                </c:pt>
              </c:strCache>
            </c:strRef>
          </c:cat>
          <c:val>
            <c:numRef>
              <c:f>'Resumo dos Cálculos'!$B$35:$N$35</c:f>
              <c:numCache>
                <c:formatCode>#,##0</c:formatCode>
                <c:ptCount val="13"/>
                <c:pt idx="0">
                  <c:v>898.71881001816746</c:v>
                </c:pt>
                <c:pt idx="1">
                  <c:v>786.39995301452996</c:v>
                </c:pt>
                <c:pt idx="2">
                  <c:v>784.00979890566475</c:v>
                </c:pt>
                <c:pt idx="3">
                  <c:v>639.54187383741089</c:v>
                </c:pt>
                <c:pt idx="4">
                  <c:v>518.59221067881037</c:v>
                </c:pt>
                <c:pt idx="5">
                  <c:v>424.55600807068578</c:v>
                </c:pt>
                <c:pt idx="6">
                  <c:v>480.17461733987017</c:v>
                </c:pt>
                <c:pt idx="7">
                  <c:v>587.61122189337891</c:v>
                </c:pt>
                <c:pt idx="8">
                  <c:v>604.48311601661737</c:v>
                </c:pt>
                <c:pt idx="9">
                  <c:v>755.13533657847563</c:v>
                </c:pt>
                <c:pt idx="10">
                  <c:v>850.818031615221</c:v>
                </c:pt>
                <c:pt idx="11">
                  <c:v>910.12272171622919</c:v>
                </c:pt>
                <c:pt idx="12">
                  <c:v>686.68030830708847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F-4DC7-8BC4-60D4253B5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3381264"/>
        <c:axId val="2093386160"/>
        <c:axId val="0"/>
      </c:bar3DChart>
      <c:catAx>
        <c:axId val="2093381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93386160"/>
        <c:crosses val="autoZero"/>
        <c:auto val="1"/>
        <c:lblAlgn val="ctr"/>
        <c:lblOffset val="100"/>
        <c:noMultiLvlLbl val="0"/>
      </c:catAx>
      <c:valAx>
        <c:axId val="2093386160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20933812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Energia Consumida x Gerada (kWh/mês) 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'Dados compilados'!$B$10</c:f>
              <c:strCache>
                <c:ptCount val="1"/>
                <c:pt idx="0">
                  <c:v>Energia Consumida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aseline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'Resumo dos Cálculos'!$B$34:$N$34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Média</c:v>
                </c:pt>
              </c:strCache>
            </c:strRef>
          </c:cat>
          <c:val>
            <c:numRef>
              <c:f>'Resumo dos Cálculos'!$B$36:$N$36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E-4D6F-B25C-67FFB8B8351B}"/>
            </c:ext>
          </c:extLst>
        </c:ser>
        <c:ser>
          <c:idx val="2"/>
          <c:order val="1"/>
          <c:tx>
            <c:strRef>
              <c:f>'Resumo dos Cálculos'!$A$35</c:f>
              <c:strCache>
                <c:ptCount val="1"/>
                <c:pt idx="0">
                  <c:v>Energia mensal gerada pelo Sistema FV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aseline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'Resumo dos Cálculos'!$B$34:$N$34</c:f>
              <c:strCache>
                <c:ptCount val="13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  <c:pt idx="12">
                  <c:v>Média</c:v>
                </c:pt>
              </c:strCache>
            </c:strRef>
          </c:cat>
          <c:val>
            <c:numRef>
              <c:f>'Resumo dos Cálculos'!$B$35:$N$35</c:f>
              <c:numCache>
                <c:formatCode>#,##0</c:formatCode>
                <c:ptCount val="13"/>
                <c:pt idx="0">
                  <c:v>898.71881001816746</c:v>
                </c:pt>
                <c:pt idx="1">
                  <c:v>786.39995301452996</c:v>
                </c:pt>
                <c:pt idx="2">
                  <c:v>784.00979890566475</c:v>
                </c:pt>
                <c:pt idx="3">
                  <c:v>639.54187383741089</c:v>
                </c:pt>
                <c:pt idx="4">
                  <c:v>518.59221067881037</c:v>
                </c:pt>
                <c:pt idx="5">
                  <c:v>424.55600807068578</c:v>
                </c:pt>
                <c:pt idx="6">
                  <c:v>480.17461733987017</c:v>
                </c:pt>
                <c:pt idx="7">
                  <c:v>587.61122189337891</c:v>
                </c:pt>
                <c:pt idx="8">
                  <c:v>604.48311601661737</c:v>
                </c:pt>
                <c:pt idx="9">
                  <c:v>755.13533657847563</c:v>
                </c:pt>
                <c:pt idx="10">
                  <c:v>850.818031615221</c:v>
                </c:pt>
                <c:pt idx="11">
                  <c:v>910.12272171622919</c:v>
                </c:pt>
                <c:pt idx="12">
                  <c:v>686.68030830708847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CE-4D6F-B25C-67FFB8B8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6575584"/>
        <c:axId val="2126569056"/>
        <c:axId val="0"/>
      </c:bar3DChart>
      <c:catAx>
        <c:axId val="2126575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26569056"/>
        <c:crosses val="autoZero"/>
        <c:auto val="1"/>
        <c:lblAlgn val="ctr"/>
        <c:lblOffset val="100"/>
        <c:noMultiLvlLbl val="0"/>
      </c:catAx>
      <c:valAx>
        <c:axId val="2126569056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2126575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028669493236401"/>
          <c:y val="0.50313890375353598"/>
          <c:w val="0.215556466075225"/>
          <c:h val="0.24051393276439301"/>
        </c:manualLayout>
      </c:layout>
      <c:overlay val="0"/>
    </c:legend>
    <c:plotVisOnly val="1"/>
    <c:dispBlanksAs val="gap"/>
    <c:showDLblsOverMax val="0"/>
  </c:chart>
  <c:printSettings>
    <c:headerFooter/>
    <c:pageMargins b="1" l="0.750000000000002" r="0.750000000000002" t="1" header="0.5" footer="0.5"/>
    <c:pageSetup/>
  </c:printSettings>
</c:chartSpac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147294</xdr:colOff>
      <xdr:row>40</xdr:row>
      <xdr:rowOff>117835</xdr:rowOff>
    </xdr:from>
    <xdr:to>
      <xdr:col>4</xdr:col>
      <xdr:colOff>785567</xdr:colOff>
      <xdr:row>42</xdr:row>
      <xdr:rowOff>108015</xdr:rowOff>
    </xdr:to>
    <xdr:sp macro="" textlink="">
      <xdr:nvSpPr>
        <xdr:cNvPr id="3" name="Seta: para a Esquerda 2">
          <a:extLst>
            <a:ext uri="{FF2B5EF4-FFF2-40B4-BE49-F238E27FC236}">
              <a16:creationId xmlns:a16="http://schemas.microsoft.com/office/drawing/2014/main" id="{DDE743FF-9A3E-4FE7-A6A4-D06EEBE70110}"/>
            </a:ext>
          </a:extLst>
        </xdr:cNvPr>
        <xdr:cNvSpPr/>
      </xdr:nvSpPr>
      <xdr:spPr>
        <a:xfrm>
          <a:off x="6176521" y="10624794"/>
          <a:ext cx="638273" cy="461520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719337</xdr:colOff>
      <xdr:row>34</xdr:row>
      <xdr:rowOff>126606</xdr:rowOff>
    </xdr:from>
    <xdr:to>
      <xdr:col>5</xdr:col>
      <xdr:colOff>267636</xdr:colOff>
      <xdr:row>39</xdr:row>
      <xdr:rowOff>91776</xdr:rowOff>
    </xdr:to>
    <xdr:sp macro="" textlink="">
      <xdr:nvSpPr>
        <xdr:cNvPr id="4" name="Seta: para a Esquerda 3">
          <a:extLst>
            <a:ext uri="{FF2B5EF4-FFF2-40B4-BE49-F238E27FC236}">
              <a16:creationId xmlns:a16="http://schemas.microsoft.com/office/drawing/2014/main" id="{076EFEEF-A770-4950-B431-72499AAD1781}"/>
            </a:ext>
          </a:extLst>
        </xdr:cNvPr>
        <xdr:cNvSpPr/>
      </xdr:nvSpPr>
      <xdr:spPr>
        <a:xfrm rot="3693090">
          <a:off x="6407564" y="9550725"/>
          <a:ext cx="1143520" cy="461520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814827</xdr:colOff>
      <xdr:row>64</xdr:row>
      <xdr:rowOff>201203</xdr:rowOff>
    </xdr:from>
    <xdr:to>
      <xdr:col>4</xdr:col>
      <xdr:colOff>785368</xdr:colOff>
      <xdr:row>66</xdr:row>
      <xdr:rowOff>172038</xdr:rowOff>
    </xdr:to>
    <xdr:sp macro="" textlink="">
      <xdr:nvSpPr>
        <xdr:cNvPr id="6" name="Seta: para a Esquerda 5">
          <a:extLst>
            <a:ext uri="{FF2B5EF4-FFF2-40B4-BE49-F238E27FC236}">
              <a16:creationId xmlns:a16="http://schemas.microsoft.com/office/drawing/2014/main" id="{4F397A56-1012-4E4E-B48A-CD4395992E57}"/>
            </a:ext>
          </a:extLst>
        </xdr:cNvPr>
        <xdr:cNvSpPr/>
      </xdr:nvSpPr>
      <xdr:spPr>
        <a:xfrm rot="1191354">
          <a:off x="5386827" y="16603253"/>
          <a:ext cx="1427866" cy="466135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731803</xdr:colOff>
      <xdr:row>66</xdr:row>
      <xdr:rowOff>65545</xdr:rowOff>
    </xdr:from>
    <xdr:to>
      <xdr:col>6</xdr:col>
      <xdr:colOff>895350</xdr:colOff>
      <xdr:row>67</xdr:row>
      <xdr:rowOff>161925</xdr:rowOff>
    </xdr:to>
    <xdr:sp macro="" textlink="">
      <xdr:nvSpPr>
        <xdr:cNvPr id="7" name="Seta: para a Esquerda 6">
          <a:extLst>
            <a:ext uri="{FF2B5EF4-FFF2-40B4-BE49-F238E27FC236}">
              <a16:creationId xmlns:a16="http://schemas.microsoft.com/office/drawing/2014/main" id="{01993D24-475C-42DF-B49D-0F6EE4442E81}"/>
            </a:ext>
          </a:extLst>
        </xdr:cNvPr>
        <xdr:cNvSpPr/>
      </xdr:nvSpPr>
      <xdr:spPr>
        <a:xfrm rot="16200000">
          <a:off x="8504449" y="17038849"/>
          <a:ext cx="334505" cy="163547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702495</xdr:colOff>
      <xdr:row>55</xdr:row>
      <xdr:rowOff>74922</xdr:rowOff>
    </xdr:from>
    <xdr:to>
      <xdr:col>6</xdr:col>
      <xdr:colOff>847726</xdr:colOff>
      <xdr:row>56</xdr:row>
      <xdr:rowOff>123825</xdr:rowOff>
    </xdr:to>
    <xdr:sp macro="" textlink="">
      <xdr:nvSpPr>
        <xdr:cNvPr id="8" name="Seta: para a Esquerda 7">
          <a:extLst>
            <a:ext uri="{FF2B5EF4-FFF2-40B4-BE49-F238E27FC236}">
              <a16:creationId xmlns:a16="http://schemas.microsoft.com/office/drawing/2014/main" id="{CD93D537-7B05-4D46-8697-C12797E9EACC}"/>
            </a:ext>
          </a:extLst>
        </xdr:cNvPr>
        <xdr:cNvSpPr/>
      </xdr:nvSpPr>
      <xdr:spPr>
        <a:xfrm rot="16200000">
          <a:off x="8489722" y="14395220"/>
          <a:ext cx="287028" cy="145231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245490</xdr:colOff>
      <xdr:row>82</xdr:row>
      <xdr:rowOff>19639</xdr:rowOff>
    </xdr:from>
    <xdr:to>
      <xdr:col>3</xdr:col>
      <xdr:colOff>1158711</xdr:colOff>
      <xdr:row>84</xdr:row>
      <xdr:rowOff>9819</xdr:rowOff>
    </xdr:to>
    <xdr:sp macro="" textlink="">
      <xdr:nvSpPr>
        <xdr:cNvPr id="9" name="Seta: para a Esquerda 8">
          <a:extLst>
            <a:ext uri="{FF2B5EF4-FFF2-40B4-BE49-F238E27FC236}">
              <a16:creationId xmlns:a16="http://schemas.microsoft.com/office/drawing/2014/main" id="{1401D77A-3179-4A55-9130-D372AEA6CC8C}"/>
            </a:ext>
          </a:extLst>
        </xdr:cNvPr>
        <xdr:cNvSpPr/>
      </xdr:nvSpPr>
      <xdr:spPr>
        <a:xfrm>
          <a:off x="4821418" y="20483660"/>
          <a:ext cx="913221" cy="461520"/>
        </a:xfrm>
        <a:prstGeom prst="lef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6914028</xdr:colOff>
      <xdr:row>3</xdr:row>
      <xdr:rowOff>33616</xdr:rowOff>
    </xdr:from>
    <xdr:to>
      <xdr:col>1</xdr:col>
      <xdr:colOff>784411</xdr:colOff>
      <xdr:row>4</xdr:row>
      <xdr:rowOff>145675</xdr:rowOff>
    </xdr:to>
    <xdr:sp macro="" textlink="">
      <xdr:nvSpPr>
        <xdr:cNvPr id="2" name="Seta: para a Esquerda 1">
          <a:extLst>
            <a:ext uri="{FF2B5EF4-FFF2-40B4-BE49-F238E27FC236}">
              <a16:creationId xmlns:a16="http://schemas.microsoft.com/office/drawing/2014/main" id="{0BE28DFF-E82D-4B06-8580-5478639CF236}"/>
            </a:ext>
          </a:extLst>
        </xdr:cNvPr>
        <xdr:cNvSpPr/>
      </xdr:nvSpPr>
      <xdr:spPr>
        <a:xfrm>
          <a:off x="6914028" y="717175"/>
          <a:ext cx="806824" cy="324971"/>
        </a:xfrm>
        <a:prstGeom prst="leftArrow">
          <a:avLst/>
        </a:prstGeom>
        <a:solidFill>
          <a:srgbClr val="FF0000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2207560</xdr:colOff>
      <xdr:row>3</xdr:row>
      <xdr:rowOff>56030</xdr:rowOff>
    </xdr:from>
    <xdr:to>
      <xdr:col>0</xdr:col>
      <xdr:colOff>3014384</xdr:colOff>
      <xdr:row>4</xdr:row>
      <xdr:rowOff>168089</xdr:rowOff>
    </xdr:to>
    <xdr:sp macro="" textlink="">
      <xdr:nvSpPr>
        <xdr:cNvPr id="3" name="Seta: para a Esquerda 2">
          <a:extLst>
            <a:ext uri="{FF2B5EF4-FFF2-40B4-BE49-F238E27FC236}">
              <a16:creationId xmlns:a16="http://schemas.microsoft.com/office/drawing/2014/main" id="{2725E9A3-CD75-4ED3-8489-16822B82E56C}"/>
            </a:ext>
          </a:extLst>
        </xdr:cNvPr>
        <xdr:cNvSpPr/>
      </xdr:nvSpPr>
      <xdr:spPr>
        <a:xfrm rot="10800000">
          <a:off x="2207560" y="739589"/>
          <a:ext cx="806824" cy="324971"/>
        </a:xfrm>
        <a:prstGeom prst="leftArrow">
          <a:avLst/>
        </a:prstGeom>
        <a:solidFill>
          <a:srgbClr val="FF0000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4</xdr:row>
      <xdr:rowOff>0</xdr:rowOff>
    </xdr:from>
    <xdr:to>
      <xdr:col>12</xdr:col>
      <xdr:colOff>393700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22</xdr:row>
      <xdr:rowOff>127000</xdr:rowOff>
    </xdr:from>
    <xdr:to>
      <xdr:col>12</xdr:col>
      <xdr:colOff>355600</xdr:colOff>
      <xdr:row>39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42</xdr:row>
      <xdr:rowOff>12700</xdr:rowOff>
    </xdr:from>
    <xdr:to>
      <xdr:col>12</xdr:col>
      <xdr:colOff>406400</xdr:colOff>
      <xdr:row>58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127000</xdr:colOff>
      <xdr:row>60</xdr:row>
      <xdr:rowOff>177800</xdr:rowOff>
    </xdr:from>
    <xdr:to>
      <xdr:col>10</xdr:col>
      <xdr:colOff>63500</xdr:colOff>
      <xdr:row>77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127000</xdr:colOff>
      <xdr:row>79</xdr:row>
      <xdr:rowOff>139700</xdr:rowOff>
    </xdr:from>
    <xdr:to>
      <xdr:col>13</xdr:col>
      <xdr:colOff>190500</xdr:colOff>
      <xdr:row>96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720725</xdr:colOff>
      <xdr:row>118</xdr:row>
      <xdr:rowOff>34924</xdr:rowOff>
    </xdr:from>
    <xdr:to>
      <xdr:col>18</xdr:col>
      <xdr:colOff>211325</xdr:colOff>
      <xdr:row>145</xdr:row>
      <xdr:rowOff>34249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117475</xdr:colOff>
      <xdr:row>118</xdr:row>
      <xdr:rowOff>63500</xdr:rowOff>
    </xdr:from>
    <xdr:to>
      <xdr:col>10</xdr:col>
      <xdr:colOff>436750</xdr:colOff>
      <xdr:row>145</xdr:row>
      <xdr:rowOff>62825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2324100</xdr:colOff>
      <xdr:row>46</xdr:row>
      <xdr:rowOff>88900</xdr:rowOff>
    </xdr:from>
    <xdr:to>
      <xdr:col>7</xdr:col>
      <xdr:colOff>419100</xdr:colOff>
      <xdr:row>67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rgb="FFFFFF00"/>
  </sheetPr>
  <dimension ref="A1:AJ142"/>
  <sheetViews>
    <sheetView showGridLines="0" tabSelected="1" topLeftCell="B1" zoomScale="90" zoomScaleNormal="90" workbookViewId="0">
      <selection activeCell="C2" sqref="C2"/>
    </sheetView>
  </sheetViews>
  <sheetFormatPr defaultColWidth="10.8984375" defaultRowHeight="18"/>
  <cols>
    <col min="1" max="1" width="10.5" style="78" bestFit="1" customWidth="1"/>
    <col min="2" max="2" width="33" style="78" customWidth="1"/>
    <col min="3" max="3" width="20.8984375" style="78" customWidth="1"/>
    <col min="4" max="4" width="19.09765625" style="78" customWidth="1"/>
    <col min="5" max="5" width="20.19921875" style="78" bestFit="1" customWidth="1"/>
    <col min="6" max="6" width="12" style="78" customWidth="1"/>
    <col min="7" max="8" width="17" style="78" customWidth="1"/>
    <col min="9" max="9" width="20.69921875" style="78" customWidth="1"/>
    <col min="10" max="10" width="25.19921875" style="247" customWidth="1"/>
    <col min="11" max="11" width="20.19921875" style="78" customWidth="1"/>
    <col min="12" max="12" width="37.3984375" style="78" customWidth="1"/>
    <col min="13" max="14" width="12" style="78" customWidth="1"/>
    <col min="15" max="15" width="18" style="78" customWidth="1"/>
    <col min="16" max="16" width="12" style="78" customWidth="1"/>
    <col min="17" max="21" width="10.8984375" style="78"/>
    <col min="22" max="22" width="16.19921875" style="78" customWidth="1"/>
    <col min="23" max="24" width="15.69921875" style="78" bestFit="1" customWidth="1"/>
    <col min="25" max="25" width="22.3984375" style="78" customWidth="1"/>
    <col min="26" max="26" width="19.8984375" style="78" customWidth="1"/>
    <col min="27" max="16384" width="10.8984375" style="78"/>
  </cols>
  <sheetData>
    <row r="1" spans="2:36">
      <c r="B1" s="202" t="s">
        <v>0</v>
      </c>
      <c r="C1" s="202" t="s">
        <v>1</v>
      </c>
      <c r="D1" s="202" t="s">
        <v>2</v>
      </c>
      <c r="E1" s="202" t="s">
        <v>3</v>
      </c>
      <c r="F1" s="202" t="s">
        <v>4</v>
      </c>
      <c r="G1" s="202" t="s">
        <v>5</v>
      </c>
      <c r="H1" s="202" t="s">
        <v>6</v>
      </c>
      <c r="I1" s="202" t="s">
        <v>7</v>
      </c>
      <c r="J1" s="202" t="s">
        <v>8</v>
      </c>
      <c r="K1" s="202" t="s">
        <v>9</v>
      </c>
      <c r="L1" s="208" t="s">
        <v>10</v>
      </c>
      <c r="M1" s="215" t="s">
        <v>11</v>
      </c>
      <c r="N1" s="215"/>
      <c r="O1" s="215"/>
      <c r="P1" s="208" t="s">
        <v>12</v>
      </c>
      <c r="Q1" s="202" t="s">
        <v>13</v>
      </c>
      <c r="R1" s="202" t="s">
        <v>14</v>
      </c>
      <c r="S1" s="208" t="s">
        <v>15</v>
      </c>
      <c r="T1" s="208" t="s">
        <v>16</v>
      </c>
      <c r="U1" s="202" t="s">
        <v>17</v>
      </c>
      <c r="V1" s="208" t="s">
        <v>18</v>
      </c>
      <c r="W1" s="208" t="s">
        <v>19</v>
      </c>
      <c r="X1" s="208" t="s">
        <v>20</v>
      </c>
      <c r="Y1" s="208" t="s">
        <v>821</v>
      </c>
      <c r="Z1" s="208" t="s">
        <v>820</v>
      </c>
      <c r="AA1" s="78" t="s">
        <v>854</v>
      </c>
      <c r="AI1" s="299"/>
      <c r="AJ1" s="299"/>
    </row>
    <row r="2" spans="2:36">
      <c r="B2" s="206" t="s">
        <v>71</v>
      </c>
      <c r="C2" s="206"/>
      <c r="D2" s="206" t="s">
        <v>848</v>
      </c>
      <c r="E2" s="206"/>
      <c r="F2" s="206"/>
      <c r="G2" s="206"/>
      <c r="H2" s="206"/>
      <c r="I2" s="206" t="s">
        <v>52</v>
      </c>
      <c r="J2" s="207">
        <f ca="1">TODAY()</f>
        <v>44617</v>
      </c>
      <c r="K2" s="202" t="str">
        <f>_xlfn.IFS(OR(Cálculo!B17='Painel e Inversor'!B62,Cálculo!B17='Painel e Inversor'!B63,Cálculo!B17='Painel e Inversor'!B64),"06",OR(Cálculo!B17='Painel e Inversor'!B66,Cálculo!B17='Painel e Inversor'!B67,Cálculo!B17='Painel e Inversor'!B65),"10",OR(Cálculo!B17='Painel e Inversor'!B68,Cálculo!B17='Painel e Inversor'!B69,Cálculo!B17='Painel e Inversor'!B71,Cálculo!B17='Painel e Inversor'!B73,Cálculo!B17='Painel e Inversor'!B74,Cálculo!B17='Painel e Inversor'!B75),"12")</f>
        <v>10</v>
      </c>
      <c r="L2" s="209">
        <f>'Resumo dos Cálculos'!B19</f>
        <v>545</v>
      </c>
      <c r="M2" s="208" t="str" cm="1">
        <f t="array" ref="M2:O2">'Resumo dos Cálculos'!B24:D24</f>
        <v>INVERSOR RENO-7,7k</v>
      </c>
      <c r="N2" s="208">
        <v>0</v>
      </c>
      <c r="O2" s="208">
        <v>0</v>
      </c>
      <c r="P2" s="209">
        <f>'Resumo dos Cálculos'!B20</f>
        <v>12</v>
      </c>
      <c r="Q2" s="209">
        <f>'Resumo dos Cálculos'!B21</f>
        <v>31.012631999999996</v>
      </c>
      <c r="R2" s="216">
        <f>'Resumo dos Cálculos'!B31</f>
        <v>57.223359025590703</v>
      </c>
      <c r="S2" s="315">
        <f>'Resumo dos Cálculos'!B28</f>
        <v>6.54</v>
      </c>
      <c r="T2" s="314">
        <f>ROUNDUP('Resumo dos Cálculos'!B30,0)</f>
        <v>8241</v>
      </c>
      <c r="U2" s="216" t="str">
        <f>IF(Cálculo!B20&lt;"10","0"&amp;'Resumo dos Cálculos'!B25,Cálculo!B20)</f>
        <v>01</v>
      </c>
      <c r="V2" s="215">
        <f>W2+X2</f>
        <v>35390</v>
      </c>
      <c r="W2" s="215">
        <f>P2*100</f>
        <v>1200</v>
      </c>
      <c r="X2" s="215">
        <f>ROUND(X45,-1)</f>
        <v>34190</v>
      </c>
      <c r="Y2" s="299">
        <f>VLOOKUP(Cálculo!B7,'Painel e Inversor'!H21:K34,4)</f>
        <v>83.1</v>
      </c>
      <c r="Z2" s="299">
        <f>VLOOKUP(Cálculo!B7,'Painel e Inversor'!H21:K34,3)</f>
        <v>21.1</v>
      </c>
      <c r="AA2" s="313">
        <f>Cálculo!E17</f>
        <v>21</v>
      </c>
      <c r="AB2" s="208"/>
    </row>
    <row r="3" spans="2:36">
      <c r="G3" s="205"/>
      <c r="H3" s="205"/>
    </row>
    <row r="4" spans="2:36" ht="18.600000000000001" thickBot="1"/>
    <row r="5" spans="2:36" ht="18.600000000000001" thickBot="1">
      <c r="B5" s="340" t="s">
        <v>23</v>
      </c>
      <c r="C5" s="340"/>
      <c r="D5" s="340"/>
      <c r="E5" s="340"/>
      <c r="F5" s="340"/>
      <c r="G5" s="340"/>
      <c r="H5" s="340"/>
      <c r="I5" s="340"/>
    </row>
    <row r="6" spans="2:36" ht="18.600000000000001" thickBot="1">
      <c r="B6" s="340"/>
      <c r="C6" s="340"/>
      <c r="D6" s="340"/>
      <c r="E6" s="340"/>
      <c r="F6" s="340"/>
      <c r="G6" s="340"/>
      <c r="H6" s="340"/>
      <c r="I6" s="340"/>
    </row>
    <row r="7" spans="2:36" ht="14.1" customHeight="1">
      <c r="AD7" s="224"/>
      <c r="AE7" s="224"/>
      <c r="AF7" s="224"/>
      <c r="AG7" s="224"/>
    </row>
    <row r="8" spans="2:36" ht="20.100000000000001" customHeight="1">
      <c r="B8" s="321" t="s">
        <v>24</v>
      </c>
      <c r="C8" s="322"/>
      <c r="D8" s="322"/>
      <c r="E8" s="322"/>
      <c r="F8" s="322"/>
      <c r="G8" s="322"/>
      <c r="H8" s="322"/>
      <c r="I8" s="323"/>
      <c r="Q8" s="203">
        <f>ROUNDUP('Resumo dos Cálculos'!C36,0)</f>
        <v>0</v>
      </c>
      <c r="AD8" s="224"/>
      <c r="AE8" s="224"/>
      <c r="AF8" s="224"/>
      <c r="AG8" s="224"/>
    </row>
    <row r="9" spans="2:36">
      <c r="B9" s="318" t="s">
        <v>25</v>
      </c>
      <c r="C9" s="319"/>
      <c r="D9" s="320"/>
      <c r="E9" s="353" t="s">
        <v>26</v>
      </c>
      <c r="F9" s="354"/>
      <c r="G9" s="354"/>
      <c r="H9" s="354"/>
      <c r="I9" s="355"/>
      <c r="O9" s="78" t="s">
        <v>27</v>
      </c>
      <c r="AD9" s="224"/>
      <c r="AE9" s="224"/>
      <c r="AF9" s="224"/>
      <c r="AG9" s="224"/>
    </row>
    <row r="10" spans="2:36" ht="18.600000000000001" thickBot="1">
      <c r="B10" s="318" t="s">
        <v>28</v>
      </c>
      <c r="C10" s="319"/>
      <c r="D10" s="320"/>
      <c r="E10" s="229" t="s">
        <v>29</v>
      </c>
      <c r="I10" s="106"/>
      <c r="O10" s="210" t="str">
        <f>"0"&amp;6</f>
        <v>06</v>
      </c>
      <c r="P10" s="210" t="str">
        <f>"0"&amp;8</f>
        <v>08</v>
      </c>
      <c r="Q10" s="211">
        <v>10</v>
      </c>
      <c r="R10" s="211">
        <v>12</v>
      </c>
      <c r="S10" s="211">
        <v>14</v>
      </c>
      <c r="T10" s="211">
        <v>16</v>
      </c>
      <c r="U10" s="211">
        <v>18</v>
      </c>
      <c r="V10" s="212">
        <v>20</v>
      </c>
      <c r="W10" s="213">
        <v>22</v>
      </c>
      <c r="X10" s="214">
        <v>24</v>
      </c>
      <c r="Y10" s="214">
        <v>26</v>
      </c>
      <c r="Z10" s="214">
        <v>28</v>
      </c>
      <c r="AA10" s="214">
        <v>30</v>
      </c>
      <c r="AB10" s="214">
        <v>32</v>
      </c>
      <c r="AC10" s="222">
        <v>34</v>
      </c>
      <c r="AD10" s="224"/>
      <c r="AE10" s="224"/>
      <c r="AF10" s="224"/>
      <c r="AG10" s="224"/>
    </row>
    <row r="11" spans="2:36" ht="18.600000000000001" thickBot="1">
      <c r="B11" s="318" t="s">
        <v>30</v>
      </c>
      <c r="C11" s="319"/>
      <c r="D11" s="320"/>
      <c r="E11" s="229" t="s">
        <v>784</v>
      </c>
      <c r="I11" s="106"/>
      <c r="O11" s="221">
        <v>15500</v>
      </c>
      <c r="P11" s="221">
        <v>19100</v>
      </c>
      <c r="Q11" s="221">
        <v>21900</v>
      </c>
      <c r="R11" s="221">
        <v>24800</v>
      </c>
      <c r="S11" s="221">
        <v>27950</v>
      </c>
      <c r="T11" s="221">
        <v>30750</v>
      </c>
      <c r="U11" s="221">
        <v>39450</v>
      </c>
      <c r="V11" s="221">
        <v>41950</v>
      </c>
      <c r="W11" s="221">
        <v>44600</v>
      </c>
      <c r="X11" s="221">
        <v>47700</v>
      </c>
      <c r="Y11" s="221">
        <v>51900</v>
      </c>
      <c r="Z11" s="221">
        <v>58100</v>
      </c>
      <c r="AA11" s="221">
        <v>60400</v>
      </c>
      <c r="AB11" s="221">
        <v>63350</v>
      </c>
      <c r="AC11" s="220">
        <v>66050</v>
      </c>
      <c r="AD11" s="225"/>
      <c r="AE11" s="225"/>
      <c r="AF11" s="225"/>
      <c r="AG11" s="225"/>
    </row>
    <row r="12" spans="2:36">
      <c r="B12" s="230" t="s">
        <v>32</v>
      </c>
      <c r="C12" s="231"/>
      <c r="D12" s="232"/>
      <c r="E12" s="229">
        <v>220</v>
      </c>
      <c r="I12" s="106"/>
      <c r="O12" s="78" t="s">
        <v>33</v>
      </c>
      <c r="AD12" s="224"/>
      <c r="AE12" s="224"/>
      <c r="AF12" s="224"/>
      <c r="AG12" s="224"/>
    </row>
    <row r="13" spans="2:36" ht="18.600000000000001" thickBot="1">
      <c r="B13" s="318" t="s">
        <v>34</v>
      </c>
      <c r="C13" s="319"/>
      <c r="D13" s="320"/>
      <c r="E13" s="79">
        <v>1</v>
      </c>
      <c r="I13" s="106"/>
      <c r="K13" s="217"/>
      <c r="O13" s="210" t="str">
        <f>"0"&amp;6</f>
        <v>06</v>
      </c>
      <c r="P13" s="210" t="str">
        <f>"0"&amp;8</f>
        <v>08</v>
      </c>
      <c r="Q13" s="211">
        <v>10</v>
      </c>
      <c r="R13" s="211">
        <v>12</v>
      </c>
      <c r="S13" s="211">
        <v>14</v>
      </c>
      <c r="T13" s="211">
        <v>16</v>
      </c>
      <c r="U13" s="211">
        <v>18</v>
      </c>
      <c r="V13" s="212">
        <v>20</v>
      </c>
      <c r="W13" s="213">
        <v>22</v>
      </c>
      <c r="X13" s="214">
        <v>24</v>
      </c>
      <c r="Y13" s="214">
        <v>26</v>
      </c>
      <c r="Z13" s="214">
        <v>28</v>
      </c>
      <c r="AA13" s="214">
        <v>30</v>
      </c>
      <c r="AB13" s="214">
        <v>32</v>
      </c>
      <c r="AC13" s="222">
        <v>34</v>
      </c>
      <c r="AD13" s="224"/>
      <c r="AE13" s="224"/>
      <c r="AF13" s="224"/>
      <c r="AG13" s="224"/>
    </row>
    <row r="14" spans="2:36" ht="18.600000000000001" thickBot="1">
      <c r="B14" s="105"/>
      <c r="I14" s="106"/>
      <c r="J14" s="217"/>
      <c r="O14" s="218">
        <v>14500</v>
      </c>
      <c r="P14" s="218">
        <v>17500</v>
      </c>
      <c r="Q14" s="218">
        <v>20000</v>
      </c>
      <c r="R14" s="218">
        <v>23100</v>
      </c>
      <c r="S14" s="218">
        <v>25500</v>
      </c>
      <c r="T14" s="218">
        <v>27800</v>
      </c>
      <c r="U14" s="218">
        <v>30200</v>
      </c>
      <c r="V14" s="218">
        <v>38300</v>
      </c>
      <c r="W14" s="218">
        <v>40500</v>
      </c>
      <c r="X14" s="218">
        <v>42800</v>
      </c>
      <c r="Y14" s="218">
        <v>46000</v>
      </c>
      <c r="Z14" s="218">
        <v>52250</v>
      </c>
      <c r="AA14" s="218">
        <v>54200</v>
      </c>
      <c r="AB14" s="218">
        <v>56300</v>
      </c>
      <c r="AC14" s="223">
        <v>58500</v>
      </c>
      <c r="AD14" s="224"/>
      <c r="AE14" s="224"/>
      <c r="AF14" s="224"/>
      <c r="AG14" s="224"/>
    </row>
    <row r="15" spans="2:36">
      <c r="B15" s="115" t="s">
        <v>35</v>
      </c>
      <c r="C15" s="116"/>
      <c r="D15" s="237" t="s">
        <v>766</v>
      </c>
      <c r="E15" s="238" t="s">
        <v>767</v>
      </c>
      <c r="F15" s="238" t="s">
        <v>768</v>
      </c>
      <c r="G15" s="238" t="s">
        <v>769</v>
      </c>
      <c r="H15" s="238" t="s">
        <v>768</v>
      </c>
      <c r="I15" s="238" t="s">
        <v>769</v>
      </c>
      <c r="O15" s="78" t="s">
        <v>779</v>
      </c>
      <c r="AD15" s="224"/>
      <c r="AE15" s="224"/>
      <c r="AF15" s="224"/>
      <c r="AG15" s="224"/>
    </row>
    <row r="16" spans="2:36" ht="18.600000000000001" thickBot="1">
      <c r="B16" s="227" t="s">
        <v>36</v>
      </c>
      <c r="C16" s="241">
        <f>SUM(D16:I16)</f>
        <v>0</v>
      </c>
      <c r="D16" s="208"/>
      <c r="E16" s="208"/>
      <c r="F16" s="208"/>
      <c r="G16" s="208"/>
      <c r="H16" s="208"/>
      <c r="I16" s="208"/>
      <c r="O16" s="210" t="str">
        <f>"0"&amp;6</f>
        <v>06</v>
      </c>
      <c r="P16" s="210" t="str">
        <f>"0"&amp;8</f>
        <v>08</v>
      </c>
      <c r="Q16" s="211">
        <v>10</v>
      </c>
      <c r="R16" s="211">
        <v>12</v>
      </c>
      <c r="S16" s="211">
        <v>14</v>
      </c>
      <c r="T16" s="211">
        <v>16</v>
      </c>
      <c r="U16" s="211">
        <v>18</v>
      </c>
      <c r="V16" s="212">
        <v>20</v>
      </c>
      <c r="W16" s="213">
        <v>22</v>
      </c>
      <c r="X16" s="214">
        <v>24</v>
      </c>
      <c r="Y16" s="214">
        <v>26</v>
      </c>
      <c r="Z16" s="214">
        <v>28</v>
      </c>
      <c r="AA16" s="214">
        <v>30</v>
      </c>
      <c r="AB16" s="214">
        <v>32</v>
      </c>
      <c r="AC16" s="222">
        <v>34</v>
      </c>
      <c r="AD16" s="224"/>
      <c r="AE16" s="224"/>
      <c r="AF16" s="224"/>
      <c r="AG16" s="224"/>
    </row>
    <row r="17" spans="2:29" ht="18.600000000000001" thickBot="1">
      <c r="B17" s="227" t="s">
        <v>37</v>
      </c>
      <c r="C17" s="241">
        <f t="shared" ref="C17:C28" si="0">SUM(D17:I17)</f>
        <v>0</v>
      </c>
      <c r="D17" s="208"/>
      <c r="E17" s="208"/>
      <c r="F17" s="208"/>
      <c r="G17" s="208"/>
      <c r="H17" s="208"/>
      <c r="I17" s="208"/>
      <c r="O17" s="219">
        <v>16500</v>
      </c>
      <c r="P17" s="219">
        <v>20200</v>
      </c>
      <c r="Q17" s="219">
        <v>23300</v>
      </c>
      <c r="R17" s="219">
        <v>26400</v>
      </c>
      <c r="S17" s="219">
        <v>29500</v>
      </c>
      <c r="T17" s="219">
        <v>32500</v>
      </c>
      <c r="U17" s="219">
        <v>41800</v>
      </c>
      <c r="V17" s="219">
        <v>45000</v>
      </c>
      <c r="W17" s="219">
        <v>47900</v>
      </c>
      <c r="X17" s="219">
        <v>51000</v>
      </c>
      <c r="Y17" s="219">
        <v>54800</v>
      </c>
      <c r="Z17" s="219">
        <v>61200</v>
      </c>
      <c r="AA17" s="219">
        <v>64200</v>
      </c>
      <c r="AB17" s="219">
        <v>66900</v>
      </c>
      <c r="AC17" s="219">
        <v>70000</v>
      </c>
    </row>
    <row r="18" spans="2:29">
      <c r="B18" s="227" t="s">
        <v>38</v>
      </c>
      <c r="C18" s="241">
        <f t="shared" si="0"/>
        <v>0</v>
      </c>
      <c r="D18" s="208"/>
      <c r="E18" s="208"/>
      <c r="F18" s="208"/>
      <c r="G18" s="208"/>
      <c r="H18" s="208"/>
      <c r="I18" s="208"/>
      <c r="O18" s="78" t="s">
        <v>39</v>
      </c>
    </row>
    <row r="19" spans="2:29" ht="18.600000000000001" thickBot="1">
      <c r="B19" s="227" t="s">
        <v>40</v>
      </c>
      <c r="C19" s="241">
        <f t="shared" si="0"/>
        <v>0</v>
      </c>
      <c r="D19" s="208"/>
      <c r="E19" s="208"/>
      <c r="F19" s="208"/>
      <c r="G19" s="208"/>
      <c r="H19" s="208"/>
      <c r="I19" s="208"/>
      <c r="O19" s="210" t="str">
        <f>"0"&amp;6</f>
        <v>06</v>
      </c>
      <c r="P19" s="210" t="str">
        <f>"0"&amp;8</f>
        <v>08</v>
      </c>
      <c r="Q19" s="211">
        <v>10</v>
      </c>
      <c r="R19" s="211">
        <v>12</v>
      </c>
      <c r="S19" s="211">
        <v>14</v>
      </c>
      <c r="T19" s="211">
        <v>16</v>
      </c>
      <c r="U19" s="211">
        <v>18</v>
      </c>
      <c r="V19" s="212">
        <v>20</v>
      </c>
      <c r="W19" s="213">
        <v>22</v>
      </c>
      <c r="X19" s="214">
        <v>24</v>
      </c>
      <c r="Y19" s="214">
        <v>26</v>
      </c>
      <c r="Z19" s="214">
        <v>28</v>
      </c>
      <c r="AA19" s="214">
        <v>30</v>
      </c>
      <c r="AB19" s="214">
        <v>32</v>
      </c>
      <c r="AC19" s="222">
        <v>34</v>
      </c>
    </row>
    <row r="20" spans="2:29" ht="18.600000000000001" thickBot="1">
      <c r="B20" s="227" t="s">
        <v>41</v>
      </c>
      <c r="C20" s="241">
        <f t="shared" si="0"/>
        <v>0</v>
      </c>
      <c r="D20" s="208"/>
      <c r="E20" s="208"/>
      <c r="F20" s="208"/>
      <c r="G20" s="208"/>
      <c r="H20" s="208"/>
      <c r="I20" s="208"/>
      <c r="O20" s="284">
        <v>16500</v>
      </c>
      <c r="P20" s="284">
        <v>20200</v>
      </c>
      <c r="Q20" s="284">
        <v>23300</v>
      </c>
      <c r="R20" s="284">
        <v>26400</v>
      </c>
      <c r="S20" s="284">
        <v>29500</v>
      </c>
      <c r="T20" s="284">
        <v>32500</v>
      </c>
      <c r="U20" s="284">
        <v>41800</v>
      </c>
      <c r="V20" s="284">
        <v>45000</v>
      </c>
      <c r="W20" s="284">
        <v>47900</v>
      </c>
      <c r="X20" s="284">
        <v>51000</v>
      </c>
      <c r="Y20" s="284">
        <v>54800</v>
      </c>
      <c r="Z20" s="284">
        <v>61200</v>
      </c>
      <c r="AA20" s="284">
        <v>64200</v>
      </c>
      <c r="AB20" s="284">
        <v>66900</v>
      </c>
      <c r="AC20" s="284">
        <v>70000</v>
      </c>
    </row>
    <row r="21" spans="2:29">
      <c r="B21" s="227" t="s">
        <v>42</v>
      </c>
      <c r="C21" s="241">
        <f t="shared" si="0"/>
        <v>0</v>
      </c>
      <c r="D21" s="208"/>
      <c r="E21" s="208"/>
      <c r="F21" s="208"/>
      <c r="G21" s="208"/>
      <c r="H21" s="208"/>
      <c r="I21" s="208"/>
      <c r="O21" s="78" t="s">
        <v>777</v>
      </c>
    </row>
    <row r="22" spans="2:29" ht="18.600000000000001" thickBot="1">
      <c r="B22" s="227" t="s">
        <v>43</v>
      </c>
      <c r="C22" s="241">
        <f t="shared" si="0"/>
        <v>0</v>
      </c>
      <c r="D22" s="208"/>
      <c r="E22" s="208"/>
      <c r="F22" s="208"/>
      <c r="G22" s="208"/>
      <c r="H22" s="208"/>
      <c r="I22" s="208"/>
      <c r="O22" s="210" t="str">
        <f>"0"&amp;6</f>
        <v>06</v>
      </c>
      <c r="P22" s="210" t="str">
        <f>"0"&amp;8</f>
        <v>08</v>
      </c>
      <c r="Q22" s="211">
        <v>10</v>
      </c>
      <c r="R22" s="211">
        <v>12</v>
      </c>
      <c r="S22" s="211">
        <v>14</v>
      </c>
      <c r="T22" s="211">
        <v>16</v>
      </c>
      <c r="U22" s="211">
        <v>18</v>
      </c>
      <c r="V22" s="212">
        <v>20</v>
      </c>
      <c r="W22" s="213">
        <v>22</v>
      </c>
      <c r="X22" s="214">
        <v>24</v>
      </c>
      <c r="Y22" s="214">
        <v>26</v>
      </c>
      <c r="Z22" s="214">
        <v>28</v>
      </c>
      <c r="AA22" s="214">
        <v>30</v>
      </c>
      <c r="AB22" s="214">
        <v>32</v>
      </c>
      <c r="AC22" s="222">
        <v>34</v>
      </c>
    </row>
    <row r="23" spans="2:29" ht="18.600000000000001" thickBot="1">
      <c r="B23" s="227" t="s">
        <v>44</v>
      </c>
      <c r="C23" s="241">
        <f t="shared" si="0"/>
        <v>0</v>
      </c>
      <c r="D23" s="208"/>
      <c r="E23" s="208"/>
      <c r="F23" s="208"/>
      <c r="G23" s="208"/>
      <c r="H23" s="208"/>
      <c r="I23" s="208"/>
      <c r="O23" s="243">
        <v>16800</v>
      </c>
      <c r="P23" s="243">
        <v>20400</v>
      </c>
      <c r="Q23" s="243">
        <v>23900</v>
      </c>
      <c r="R23" s="243">
        <v>26900</v>
      </c>
      <c r="S23" s="243">
        <v>29900</v>
      </c>
      <c r="T23" s="243">
        <v>32900</v>
      </c>
      <c r="U23" s="243">
        <v>42500</v>
      </c>
      <c r="V23" s="243">
        <v>45800</v>
      </c>
      <c r="W23" s="243">
        <v>48700</v>
      </c>
      <c r="X23" s="243">
        <v>51900</v>
      </c>
      <c r="Y23" s="243">
        <v>55800</v>
      </c>
      <c r="Z23" s="243">
        <v>62300</v>
      </c>
      <c r="AA23" s="243">
        <v>65300</v>
      </c>
      <c r="AB23" s="243">
        <v>68100</v>
      </c>
      <c r="AC23" s="243">
        <v>71300</v>
      </c>
    </row>
    <row r="24" spans="2:29">
      <c r="B24" s="227" t="s">
        <v>45</v>
      </c>
      <c r="C24" s="241">
        <f t="shared" si="0"/>
        <v>0</v>
      </c>
      <c r="D24" s="208"/>
      <c r="E24" s="208"/>
      <c r="F24" s="208"/>
      <c r="G24" s="208"/>
      <c r="H24" s="208"/>
      <c r="I24" s="208"/>
      <c r="O24" s="78" t="s">
        <v>778</v>
      </c>
    </row>
    <row r="25" spans="2:29">
      <c r="B25" s="227" t="s">
        <v>46</v>
      </c>
      <c r="C25" s="241">
        <f t="shared" si="0"/>
        <v>0</v>
      </c>
      <c r="D25" s="208"/>
      <c r="E25" s="208"/>
      <c r="F25" s="208"/>
      <c r="G25" s="208"/>
      <c r="H25" s="208"/>
      <c r="I25" s="208"/>
      <c r="O25" s="210" t="str">
        <f>"0"&amp;5</f>
        <v>05</v>
      </c>
      <c r="P25" s="210" t="str">
        <f>"0"&amp;6</f>
        <v>06</v>
      </c>
      <c r="Q25" s="211" t="str">
        <f>"0"&amp;7</f>
        <v>07</v>
      </c>
      <c r="R25" s="211" t="str">
        <f>"0"&amp;8</f>
        <v>08</v>
      </c>
      <c r="S25" s="211" t="str">
        <f>"0"&amp;9</f>
        <v>09</v>
      </c>
      <c r="T25" s="211">
        <v>10</v>
      </c>
      <c r="U25" s="211">
        <v>12</v>
      </c>
      <c r="V25" s="212">
        <v>14</v>
      </c>
      <c r="W25" s="213">
        <v>16</v>
      </c>
      <c r="X25" s="214">
        <v>18</v>
      </c>
      <c r="Y25" s="214">
        <v>20</v>
      </c>
      <c r="Z25" s="214">
        <v>22</v>
      </c>
      <c r="AA25" s="214">
        <v>24</v>
      </c>
      <c r="AB25" s="214">
        <v>26</v>
      </c>
      <c r="AC25" s="245">
        <v>28</v>
      </c>
    </row>
    <row r="26" spans="2:29">
      <c r="B26" s="227" t="s">
        <v>47</v>
      </c>
      <c r="C26" s="241">
        <f t="shared" si="0"/>
        <v>0</v>
      </c>
      <c r="D26" s="208"/>
      <c r="E26" s="208"/>
      <c r="F26" s="208"/>
      <c r="G26" s="208"/>
      <c r="H26" s="208"/>
      <c r="I26" s="208"/>
      <c r="O26" s="246">
        <v>16900</v>
      </c>
      <c r="P26" s="246">
        <v>19000</v>
      </c>
      <c r="Q26" s="246">
        <v>22000</v>
      </c>
      <c r="R26" s="246">
        <v>23650</v>
      </c>
      <c r="S26" s="246">
        <v>25700</v>
      </c>
      <c r="T26" s="246">
        <v>28200</v>
      </c>
      <c r="U26" s="246">
        <v>31900</v>
      </c>
      <c r="V26" s="246">
        <v>41600</v>
      </c>
      <c r="W26" s="246">
        <v>45200</v>
      </c>
      <c r="X26" s="246">
        <v>48900</v>
      </c>
      <c r="Y26" s="246">
        <v>53300</v>
      </c>
      <c r="Z26" s="246">
        <v>61800</v>
      </c>
      <c r="AA26" s="246">
        <v>65400</v>
      </c>
      <c r="AB26" s="246">
        <v>69100</v>
      </c>
      <c r="AC26" s="246">
        <v>75300</v>
      </c>
    </row>
    <row r="27" spans="2:29">
      <c r="B27" s="227" t="s">
        <v>48</v>
      </c>
      <c r="C27" s="241">
        <f t="shared" si="0"/>
        <v>0</v>
      </c>
      <c r="D27" s="208"/>
      <c r="E27" s="208"/>
      <c r="F27" s="208"/>
      <c r="G27" s="208"/>
      <c r="H27" s="208"/>
      <c r="I27" s="208"/>
      <c r="O27" s="78" t="s">
        <v>782</v>
      </c>
    </row>
    <row r="28" spans="2:29">
      <c r="B28" s="117" t="s">
        <v>49</v>
      </c>
      <c r="C28" s="241">
        <f t="shared" si="0"/>
        <v>0</v>
      </c>
      <c r="D28" s="208">
        <f>SUM(D16:D27)</f>
        <v>0</v>
      </c>
      <c r="E28" s="208">
        <f t="shared" ref="E28" si="1">SUM(E16:E27)</f>
        <v>0</v>
      </c>
      <c r="F28" s="208">
        <f>SUM(F16:F27)</f>
        <v>0</v>
      </c>
      <c r="G28" s="208">
        <f>SUM(G16:G27)</f>
        <v>0</v>
      </c>
      <c r="H28" s="208">
        <f>SUM(H16:H27)</f>
        <v>0</v>
      </c>
      <c r="I28" s="208">
        <f>SUM(I16:I27)</f>
        <v>0</v>
      </c>
      <c r="O28" s="210" t="str">
        <f>"0"&amp;6</f>
        <v>06</v>
      </c>
      <c r="P28" s="210" t="str">
        <f>"0"&amp;8</f>
        <v>08</v>
      </c>
      <c r="Q28" s="211">
        <v>10</v>
      </c>
      <c r="R28" s="211">
        <v>12</v>
      </c>
      <c r="S28" s="211">
        <v>14</v>
      </c>
      <c r="T28" s="211">
        <v>16</v>
      </c>
      <c r="U28" s="211">
        <v>18</v>
      </c>
      <c r="V28" s="212">
        <v>20</v>
      </c>
      <c r="W28" s="213">
        <v>22</v>
      </c>
      <c r="X28" s="214">
        <v>24</v>
      </c>
      <c r="Y28" s="214">
        <v>26</v>
      </c>
      <c r="Z28" s="214">
        <v>28</v>
      </c>
      <c r="AA28" s="214">
        <v>30</v>
      </c>
      <c r="AB28" s="214">
        <v>32</v>
      </c>
      <c r="AC28" s="222">
        <v>34</v>
      </c>
    </row>
    <row r="29" spans="2:29">
      <c r="B29" s="111" t="s">
        <v>50</v>
      </c>
      <c r="C29" s="242">
        <f>AVERAGE(C16:C27)</f>
        <v>0</v>
      </c>
      <c r="D29" s="208" t="e">
        <f>AVERAGE(D16:D27)</f>
        <v>#DIV/0!</v>
      </c>
      <c r="E29" s="208" t="e">
        <f t="shared" ref="E29" si="2">AVERAGE(E16:E27)</f>
        <v>#DIV/0!</v>
      </c>
      <c r="F29" s="208" t="e">
        <f>AVERAGE(F16:F27)</f>
        <v>#DIV/0!</v>
      </c>
      <c r="G29" s="208" t="e">
        <f>AVERAGE(G16:G27)</f>
        <v>#DIV/0!</v>
      </c>
      <c r="H29" s="208" t="e">
        <f>AVERAGE(H16:H27)</f>
        <v>#DIV/0!</v>
      </c>
      <c r="I29" s="208" t="e">
        <f>AVERAGE(I16:I27)</f>
        <v>#DIV/0!</v>
      </c>
      <c r="O29" s="283">
        <v>14000</v>
      </c>
      <c r="P29" s="283">
        <v>16900</v>
      </c>
      <c r="Q29" s="283">
        <v>19200</v>
      </c>
      <c r="R29" s="283">
        <v>21500</v>
      </c>
      <c r="S29" s="283">
        <v>23400</v>
      </c>
      <c r="T29" s="283">
        <v>26450</v>
      </c>
      <c r="U29" s="283">
        <v>28600</v>
      </c>
      <c r="V29" s="283">
        <v>30900</v>
      </c>
      <c r="W29" s="283">
        <v>33100</v>
      </c>
      <c r="X29" s="283">
        <v>40600</v>
      </c>
      <c r="Y29" s="283">
        <v>43200</v>
      </c>
      <c r="Z29" s="283">
        <v>45400</v>
      </c>
      <c r="AA29" s="283">
        <v>46800</v>
      </c>
      <c r="AB29" s="283">
        <v>51350</v>
      </c>
      <c r="AC29" s="283">
        <v>53800</v>
      </c>
    </row>
    <row r="30" spans="2:29">
      <c r="O30" s="78" t="s">
        <v>805</v>
      </c>
    </row>
    <row r="31" spans="2:29" ht="21.75" customHeight="1">
      <c r="O31" s="210" t="str">
        <f>"0"&amp;6</f>
        <v>06</v>
      </c>
      <c r="P31" s="210" t="str">
        <f>"0"&amp;8</f>
        <v>08</v>
      </c>
      <c r="Q31" s="211">
        <v>10</v>
      </c>
      <c r="R31" s="211">
        <v>12</v>
      </c>
      <c r="S31" s="211">
        <v>14</v>
      </c>
      <c r="T31" s="211">
        <v>16</v>
      </c>
      <c r="U31" s="211">
        <v>18</v>
      </c>
      <c r="V31" s="212">
        <v>20</v>
      </c>
      <c r="W31" s="213">
        <v>22</v>
      </c>
      <c r="X31" s="214">
        <v>24</v>
      </c>
      <c r="Y31" s="214">
        <v>26</v>
      </c>
      <c r="Z31" s="214">
        <v>28</v>
      </c>
      <c r="AA31" s="214">
        <v>30</v>
      </c>
      <c r="AB31" s="214">
        <v>32</v>
      </c>
      <c r="AC31" s="222">
        <v>34</v>
      </c>
    </row>
    <row r="32" spans="2:29">
      <c r="B32" s="321" t="s">
        <v>51</v>
      </c>
      <c r="C32" s="322"/>
      <c r="D32" s="322"/>
      <c r="E32" s="322"/>
      <c r="F32" s="322"/>
      <c r="G32" s="322"/>
      <c r="H32" s="322"/>
      <c r="I32" s="323"/>
      <c r="O32" s="282">
        <v>16850</v>
      </c>
      <c r="P32" s="282">
        <v>21000</v>
      </c>
      <c r="Q32" s="282">
        <v>25000</v>
      </c>
      <c r="R32" s="282">
        <v>28100</v>
      </c>
      <c r="S32" s="282">
        <v>31300</v>
      </c>
      <c r="T32" s="282">
        <v>34400</v>
      </c>
      <c r="U32" s="282">
        <v>43200</v>
      </c>
      <c r="V32" s="282">
        <v>46600</v>
      </c>
      <c r="W32" s="282">
        <v>49800</v>
      </c>
      <c r="X32" s="282">
        <v>52900</v>
      </c>
      <c r="Y32" s="282">
        <v>56830</v>
      </c>
      <c r="Z32" s="282">
        <v>66150</v>
      </c>
      <c r="AA32" s="282">
        <v>69300</v>
      </c>
      <c r="AB32" s="282">
        <v>72350</v>
      </c>
      <c r="AC32" s="282">
        <v>75600</v>
      </c>
    </row>
    <row r="33" spans="2:29">
      <c r="B33" s="105"/>
      <c r="I33" s="106"/>
      <c r="K33" s="208" t="s">
        <v>837</v>
      </c>
      <c r="L33" s="186" t="s">
        <v>52</v>
      </c>
      <c r="O33" s="78" t="s">
        <v>832</v>
      </c>
    </row>
    <row r="34" spans="2:29">
      <c r="B34" s="348" t="s">
        <v>53</v>
      </c>
      <c r="C34" s="349"/>
      <c r="D34" s="350" t="s">
        <v>54</v>
      </c>
      <c r="E34" s="350"/>
      <c r="F34" s="350"/>
      <c r="I34" s="106"/>
      <c r="K34" s="208" t="s">
        <v>781</v>
      </c>
      <c r="L34" s="186" t="s">
        <v>84</v>
      </c>
      <c r="O34" s="210" t="str">
        <f>"0"&amp;6</f>
        <v>06</v>
      </c>
      <c r="P34" s="210" t="str">
        <f>"0"&amp;8</f>
        <v>08</v>
      </c>
      <c r="Q34" s="211">
        <v>10</v>
      </c>
      <c r="R34" s="211">
        <v>12</v>
      </c>
      <c r="S34" s="211">
        <v>14</v>
      </c>
      <c r="T34" s="211">
        <v>16</v>
      </c>
      <c r="U34" s="211">
        <v>18</v>
      </c>
      <c r="V34" s="212">
        <v>20</v>
      </c>
      <c r="W34" s="213">
        <v>22</v>
      </c>
      <c r="X34" s="214">
        <v>24</v>
      </c>
      <c r="Y34" s="214">
        <v>28</v>
      </c>
      <c r="Z34" s="214">
        <v>32</v>
      </c>
      <c r="AA34" s="214">
        <v>36</v>
      </c>
      <c r="AB34" s="214">
        <v>44</v>
      </c>
      <c r="AC34" s="222">
        <v>50</v>
      </c>
    </row>
    <row r="35" spans="2:29" ht="18.75" customHeight="1">
      <c r="B35" s="105"/>
      <c r="I35" s="106"/>
      <c r="K35" s="208" t="s">
        <v>67</v>
      </c>
      <c r="L35" s="186" t="s">
        <v>75</v>
      </c>
      <c r="O35" s="282">
        <v>16000</v>
      </c>
      <c r="P35" s="282">
        <v>19900</v>
      </c>
      <c r="Q35" s="282">
        <v>22900</v>
      </c>
      <c r="R35" s="282">
        <v>26600</v>
      </c>
      <c r="S35" s="282">
        <v>29600</v>
      </c>
      <c r="T35" s="282">
        <v>38400</v>
      </c>
      <c r="U35" s="282">
        <v>41350</v>
      </c>
      <c r="V35" s="282">
        <v>44300</v>
      </c>
      <c r="W35" s="282">
        <v>47600</v>
      </c>
      <c r="X35" s="282">
        <v>50600</v>
      </c>
      <c r="Y35" s="282">
        <v>61200</v>
      </c>
      <c r="Z35" s="282">
        <v>67000</v>
      </c>
      <c r="AA35" s="282">
        <v>72950</v>
      </c>
      <c r="AB35" s="282">
        <v>86100</v>
      </c>
      <c r="AC35" s="282">
        <v>94900</v>
      </c>
    </row>
    <row r="36" spans="2:29">
      <c r="B36" s="105"/>
      <c r="C36" s="356" t="s">
        <v>59</v>
      </c>
      <c r="D36" s="356"/>
      <c r="I36" s="106"/>
      <c r="K36" s="208" t="s">
        <v>806</v>
      </c>
      <c r="L36" s="186" t="s">
        <v>72</v>
      </c>
      <c r="O36" s="78" t="s">
        <v>856</v>
      </c>
    </row>
    <row r="37" spans="2:29">
      <c r="B37" s="105"/>
      <c r="C37" s="228" t="s">
        <v>36</v>
      </c>
      <c r="D37" s="91">
        <f>Temperatura!T3</f>
        <v>24.9</v>
      </c>
      <c r="I37" s="106"/>
      <c r="K37" s="208" t="s">
        <v>861</v>
      </c>
      <c r="L37" s="186" t="s">
        <v>81</v>
      </c>
      <c r="O37" s="210" t="str">
        <f>"0"&amp;5</f>
        <v>05</v>
      </c>
      <c r="P37" s="210" t="str">
        <f>"0"&amp;6</f>
        <v>06</v>
      </c>
      <c r="Q37" s="211" t="str">
        <f>"0"&amp;7</f>
        <v>07</v>
      </c>
      <c r="R37" s="211" t="str">
        <f>"0"&amp;8</f>
        <v>08</v>
      </c>
      <c r="S37" s="211" t="str">
        <f>"0"&amp;9</f>
        <v>09</v>
      </c>
      <c r="T37" s="211">
        <v>10</v>
      </c>
      <c r="U37" s="211">
        <v>12</v>
      </c>
      <c r="V37" s="212">
        <v>14</v>
      </c>
      <c r="W37" s="213">
        <v>16</v>
      </c>
      <c r="X37" s="214">
        <v>18</v>
      </c>
      <c r="Y37" s="214">
        <v>20</v>
      </c>
      <c r="Z37" s="214">
        <v>22</v>
      </c>
      <c r="AA37" s="214">
        <v>24</v>
      </c>
      <c r="AB37" s="214">
        <v>26</v>
      </c>
      <c r="AC37" s="245">
        <v>28</v>
      </c>
    </row>
    <row r="38" spans="2:29">
      <c r="B38" s="105"/>
      <c r="C38" s="228" t="s">
        <v>37</v>
      </c>
      <c r="D38" s="91">
        <f>Temperatura!T4</f>
        <v>24.4</v>
      </c>
      <c r="I38" s="106"/>
      <c r="K38" s="208" t="s">
        <v>65</v>
      </c>
      <c r="L38" s="186" t="s">
        <v>68</v>
      </c>
      <c r="O38" s="246">
        <v>17960</v>
      </c>
      <c r="P38" s="246">
        <v>20165</v>
      </c>
      <c r="Q38" s="246">
        <v>23415</v>
      </c>
      <c r="R38" s="246">
        <v>25620</v>
      </c>
      <c r="S38" s="246">
        <v>27825</v>
      </c>
      <c r="T38" s="246">
        <v>30885</v>
      </c>
      <c r="U38" s="246">
        <v>35390</v>
      </c>
      <c r="V38" s="246">
        <v>45215</v>
      </c>
      <c r="W38" s="246">
        <v>49625</v>
      </c>
      <c r="X38" s="246">
        <v>54035</v>
      </c>
      <c r="Y38" s="246">
        <v>59965</v>
      </c>
      <c r="Z38" s="246">
        <v>72450</v>
      </c>
      <c r="AA38" s="246">
        <v>76860</v>
      </c>
      <c r="AB38" s="246">
        <v>81270</v>
      </c>
      <c r="AC38" s="246">
        <v>87580</v>
      </c>
    </row>
    <row r="39" spans="2:29">
      <c r="B39" s="105"/>
      <c r="C39" s="228" t="s">
        <v>38</v>
      </c>
      <c r="D39" s="91">
        <f>Temperatura!T5</f>
        <v>22.6</v>
      </c>
      <c r="I39" s="106"/>
      <c r="K39" s="208" t="s">
        <v>55</v>
      </c>
      <c r="L39" s="186" t="s">
        <v>76</v>
      </c>
    </row>
    <row r="40" spans="2:29" ht="18.600000000000001" thickBot="1">
      <c r="B40" s="105"/>
      <c r="C40" s="228" t="s">
        <v>40</v>
      </c>
      <c r="D40" s="91">
        <f>Temperatura!T6</f>
        <v>19.399999999999999</v>
      </c>
      <c r="I40" s="106"/>
      <c r="K40" s="208" t="s">
        <v>57</v>
      </c>
      <c r="L40" s="186" t="s">
        <v>83</v>
      </c>
    </row>
    <row r="41" spans="2:29">
      <c r="B41" s="105"/>
      <c r="C41" s="228" t="s">
        <v>41</v>
      </c>
      <c r="D41" s="91">
        <f>Temperatura!T7</f>
        <v>16.5</v>
      </c>
      <c r="F41" s="324" t="s">
        <v>69</v>
      </c>
      <c r="G41" s="325"/>
      <c r="H41" s="325"/>
      <c r="I41" s="326"/>
      <c r="K41" s="208" t="s">
        <v>21</v>
      </c>
      <c r="L41" s="186" t="s">
        <v>80</v>
      </c>
    </row>
    <row r="42" spans="2:29">
      <c r="B42" s="105"/>
      <c r="C42" s="228" t="s">
        <v>42</v>
      </c>
      <c r="D42" s="91">
        <f>Temperatura!T8</f>
        <v>14.2</v>
      </c>
      <c r="E42" s="173"/>
      <c r="F42" s="327"/>
      <c r="G42" s="328"/>
      <c r="H42" s="328"/>
      <c r="I42" s="329"/>
      <c r="K42" s="208" t="s">
        <v>833</v>
      </c>
      <c r="L42" s="186" t="s">
        <v>92</v>
      </c>
    </row>
    <row r="43" spans="2:29" ht="18.600000000000001" thickBot="1">
      <c r="B43" s="105"/>
      <c r="C43" s="228" t="s">
        <v>43</v>
      </c>
      <c r="D43" s="91">
        <f>Temperatura!T9</f>
        <v>14.6</v>
      </c>
      <c r="F43" s="330"/>
      <c r="G43" s="331"/>
      <c r="H43" s="331"/>
      <c r="I43" s="332"/>
      <c r="K43" s="208" t="s">
        <v>61</v>
      </c>
      <c r="L43" s="186" t="s">
        <v>22</v>
      </c>
    </row>
    <row r="44" spans="2:29">
      <c r="B44" s="105"/>
      <c r="C44" s="228" t="s">
        <v>44</v>
      </c>
      <c r="D44" s="91">
        <f>Temperatura!T10</f>
        <v>16.2</v>
      </c>
      <c r="I44" s="106"/>
      <c r="K44" s="208" t="s">
        <v>63</v>
      </c>
      <c r="L44" s="215" t="s">
        <v>780</v>
      </c>
    </row>
    <row r="45" spans="2:29">
      <c r="B45" s="105"/>
      <c r="C45" s="228" t="s">
        <v>45</v>
      </c>
      <c r="D45" s="91">
        <f>Temperatura!T11</f>
        <v>17.399999999999999</v>
      </c>
      <c r="I45" s="106"/>
      <c r="K45" s="208" t="s">
        <v>847</v>
      </c>
      <c r="L45" s="186" t="s">
        <v>73</v>
      </c>
      <c r="V45" s="235">
        <f>_xlfn.IFS(L2=410,HLOOKUP(P2,O16:AC17,2,0),L2=365,HLOOKUP(P2,O13:AC14,2,0),L2=440,HLOOKUP(P2,O10:AC11,2,0),L2=400,HLOOKUP(P2,O19:AC20,2,0),L2=415,HLOOKUP(P2,O22:AC23,2,0),L2=535,HLOOKUP(P2,O25:AC26,2,0),L2=340,HLOOKUP(P2,O28:AC29,2,0),L2=450,HLOOKUP(P2,O31:AC32,2,0),L2=445,HLOOKUP(P2,O34:AC35,2,0),L2=545,HLOOKUP(P2,O37:AC38,2,0),L2=540,HLOOKUP(P2,O37:AC38,2,0))</f>
        <v>35390</v>
      </c>
      <c r="W45" s="235">
        <f>V45-W2</f>
        <v>34190</v>
      </c>
      <c r="X45" s="215">
        <f>(VLOOKUP(C98,U98:W99,3))</f>
        <v>34190</v>
      </c>
    </row>
    <row r="46" spans="2:29">
      <c r="B46" s="105"/>
      <c r="C46" s="228" t="s">
        <v>46</v>
      </c>
      <c r="D46" s="91">
        <f>Temperatura!T12</f>
        <v>19.899999999999999</v>
      </c>
      <c r="I46" s="106"/>
      <c r="K46" s="208" t="s">
        <v>867</v>
      </c>
      <c r="L46" s="186" t="s">
        <v>95</v>
      </c>
    </row>
    <row r="47" spans="2:29">
      <c r="B47" s="105"/>
      <c r="C47" s="228" t="s">
        <v>47</v>
      </c>
      <c r="D47" s="91">
        <f>Temperatura!T13</f>
        <v>22.5</v>
      </c>
      <c r="I47" s="106"/>
      <c r="K47" s="270" t="s">
        <v>71</v>
      </c>
      <c r="L47" s="186" t="s">
        <v>90</v>
      </c>
    </row>
    <row r="48" spans="2:29">
      <c r="B48" s="105"/>
      <c r="C48" s="228" t="s">
        <v>48</v>
      </c>
      <c r="D48" s="91">
        <f>Temperatura!T14</f>
        <v>24.2</v>
      </c>
      <c r="I48" s="106"/>
      <c r="L48" s="186" t="s">
        <v>64</v>
      </c>
    </row>
    <row r="49" spans="2:15">
      <c r="B49" s="113"/>
      <c r="C49" s="114" t="s">
        <v>50</v>
      </c>
      <c r="D49" s="112">
        <f>AVERAGE(D37:D48)</f>
        <v>19.733333333333334</v>
      </c>
      <c r="E49" s="109"/>
      <c r="F49" s="109"/>
      <c r="G49" s="109"/>
      <c r="H49" s="109"/>
      <c r="I49" s="110"/>
      <c r="L49" s="186" t="s">
        <v>77</v>
      </c>
    </row>
    <row r="50" spans="2:15">
      <c r="L50" s="186" t="s">
        <v>66</v>
      </c>
    </row>
    <row r="51" spans="2:15">
      <c r="L51" s="186" t="s">
        <v>74</v>
      </c>
    </row>
    <row r="52" spans="2:15">
      <c r="B52" s="336" t="s">
        <v>82</v>
      </c>
      <c r="C52" s="337"/>
      <c r="D52" s="337"/>
      <c r="E52" s="337"/>
      <c r="F52" s="337"/>
      <c r="G52" s="337"/>
      <c r="H52" s="337"/>
      <c r="I52" s="338"/>
      <c r="L52" s="186" t="s">
        <v>78</v>
      </c>
    </row>
    <row r="53" spans="2:15" ht="18.600000000000001" thickBot="1">
      <c r="B53" s="105"/>
      <c r="I53" s="106"/>
      <c r="L53" s="186" t="s">
        <v>62</v>
      </c>
    </row>
    <row r="54" spans="2:15" ht="18" customHeight="1" thickBot="1">
      <c r="B54" s="318" t="s">
        <v>85</v>
      </c>
      <c r="C54" s="319"/>
      <c r="D54" s="320"/>
      <c r="E54" s="169">
        <v>27</v>
      </c>
      <c r="F54" s="333" t="s">
        <v>86</v>
      </c>
      <c r="G54" s="334"/>
      <c r="H54" s="334"/>
      <c r="I54" s="335"/>
      <c r="L54" s="186" t="s">
        <v>87</v>
      </c>
    </row>
    <row r="55" spans="2:15" ht="18.600000000000001" thickBot="1">
      <c r="B55" s="318" t="s">
        <v>88</v>
      </c>
      <c r="C55" s="319"/>
      <c r="D55" s="320"/>
      <c r="E55" s="172">
        <v>15</v>
      </c>
      <c r="F55" s="333" t="s">
        <v>89</v>
      </c>
      <c r="G55" s="334"/>
      <c r="H55" s="334"/>
      <c r="I55" s="335"/>
      <c r="L55" s="186" t="s">
        <v>70</v>
      </c>
    </row>
    <row r="56" spans="2:15">
      <c r="B56" s="318" t="s">
        <v>91</v>
      </c>
      <c r="C56" s="319"/>
      <c r="D56" s="320"/>
      <c r="E56" s="98">
        <f>ATAN('Dados compilados'!C4*3.14159265/180)</f>
        <v>0.25605276970079444</v>
      </c>
      <c r="I56" s="171"/>
      <c r="L56" s="186" t="s">
        <v>79</v>
      </c>
    </row>
    <row r="57" spans="2:15" ht="18.600000000000001" thickBot="1">
      <c r="B57" s="105"/>
      <c r="I57" s="106"/>
      <c r="L57" s="186" t="s">
        <v>60</v>
      </c>
    </row>
    <row r="58" spans="2:15" ht="16.5" customHeight="1" thickBot="1">
      <c r="B58" s="351" t="s">
        <v>93</v>
      </c>
      <c r="C58" s="352"/>
      <c r="F58" s="347" t="s">
        <v>94</v>
      </c>
      <c r="G58" s="347"/>
      <c r="H58" s="347"/>
      <c r="I58" s="347"/>
      <c r="L58" s="186" t="s">
        <v>56</v>
      </c>
    </row>
    <row r="59" spans="2:15" ht="18.75" customHeight="1" thickBot="1">
      <c r="B59" s="227" t="s">
        <v>36</v>
      </c>
      <c r="C59" s="170">
        <v>6.5</v>
      </c>
      <c r="F59" s="347"/>
      <c r="G59" s="347"/>
      <c r="H59" s="347"/>
      <c r="I59" s="347"/>
      <c r="L59" s="186" t="s">
        <v>58</v>
      </c>
    </row>
    <row r="60" spans="2:15" ht="18.600000000000001" thickBot="1">
      <c r="B60" s="227" t="s">
        <v>37</v>
      </c>
      <c r="C60" s="170">
        <v>6.1</v>
      </c>
      <c r="F60" s="347"/>
      <c r="G60" s="347"/>
      <c r="H60" s="347"/>
      <c r="I60" s="347"/>
    </row>
    <row r="61" spans="2:15" ht="18.75" customHeight="1" thickBot="1">
      <c r="B61" s="227" t="s">
        <v>38</v>
      </c>
      <c r="C61" s="170">
        <v>5.2</v>
      </c>
      <c r="F61" s="347"/>
      <c r="G61" s="347"/>
      <c r="H61" s="347"/>
      <c r="I61" s="347"/>
      <c r="N61" s="174"/>
      <c r="O61" s="174"/>
    </row>
    <row r="62" spans="2:15">
      <c r="B62" s="227" t="s">
        <v>40</v>
      </c>
      <c r="C62" s="170">
        <v>4.0999999999999996</v>
      </c>
      <c r="I62" s="106"/>
      <c r="N62" s="174"/>
      <c r="O62" s="174"/>
    </row>
    <row r="63" spans="2:15">
      <c r="B63" s="227" t="s">
        <v>41</v>
      </c>
      <c r="C63" s="170">
        <v>3.1</v>
      </c>
      <c r="I63" s="106"/>
    </row>
    <row r="64" spans="2:15" ht="18.600000000000001" thickBot="1">
      <c r="B64" s="227" t="s">
        <v>42</v>
      </c>
      <c r="C64" s="170">
        <v>2.6</v>
      </c>
      <c r="I64" s="106"/>
    </row>
    <row r="65" spans="2:9" ht="19.5" customHeight="1">
      <c r="B65" s="227" t="s">
        <v>43</v>
      </c>
      <c r="C65" s="170">
        <v>2.9</v>
      </c>
      <c r="F65" s="341" t="s">
        <v>96</v>
      </c>
      <c r="G65" s="342"/>
      <c r="H65" s="342"/>
      <c r="I65" s="343"/>
    </row>
    <row r="66" spans="2:9" ht="18.600000000000001" thickBot="1">
      <c r="B66" s="227" t="s">
        <v>44</v>
      </c>
      <c r="C66" s="170">
        <v>3.7</v>
      </c>
      <c r="F66" s="344"/>
      <c r="G66" s="345"/>
      <c r="H66" s="345"/>
      <c r="I66" s="346"/>
    </row>
    <row r="67" spans="2:9">
      <c r="B67" s="227" t="s">
        <v>45</v>
      </c>
      <c r="C67" s="170">
        <v>4.0999999999999996</v>
      </c>
      <c r="I67" s="106"/>
    </row>
    <row r="68" spans="2:9" ht="18.600000000000001" thickBot="1">
      <c r="B68" s="227" t="s">
        <v>46</v>
      </c>
      <c r="C68" s="170">
        <v>5.2</v>
      </c>
      <c r="I68" s="106"/>
    </row>
    <row r="69" spans="2:9" ht="18.75" customHeight="1" thickBot="1">
      <c r="B69" s="227" t="s">
        <v>47</v>
      </c>
      <c r="C69" s="170">
        <v>6.3</v>
      </c>
      <c r="F69" s="347" t="s">
        <v>97</v>
      </c>
      <c r="G69" s="347"/>
      <c r="H69" s="347"/>
      <c r="I69" s="347"/>
    </row>
    <row r="70" spans="2:9" ht="18.600000000000001" thickBot="1">
      <c r="B70" s="227" t="s">
        <v>48</v>
      </c>
      <c r="C70" s="170">
        <v>6.7</v>
      </c>
      <c r="F70" s="347"/>
      <c r="G70" s="347"/>
      <c r="H70" s="347"/>
      <c r="I70" s="347"/>
    </row>
    <row r="71" spans="2:9" ht="18.600000000000001" thickBot="1">
      <c r="B71" s="111" t="s">
        <v>50</v>
      </c>
      <c r="C71" s="112">
        <f>SUM(C59:C70)/12</f>
        <v>4.7083333333333339</v>
      </c>
      <c r="D71" s="109"/>
      <c r="E71" s="109"/>
      <c r="F71" s="347"/>
      <c r="G71" s="347"/>
      <c r="H71" s="347"/>
      <c r="I71" s="347"/>
    </row>
    <row r="74" spans="2:9">
      <c r="B74" s="321" t="s">
        <v>98</v>
      </c>
      <c r="C74" s="322"/>
      <c r="D74" s="322"/>
      <c r="E74" s="322"/>
      <c r="F74" s="322"/>
      <c r="G74" s="322"/>
      <c r="H74" s="322"/>
      <c r="I74" s="323"/>
    </row>
    <row r="75" spans="2:9">
      <c r="B75" s="105"/>
      <c r="I75" s="106"/>
    </row>
    <row r="76" spans="2:9">
      <c r="B76" s="107" t="s">
        <v>99</v>
      </c>
      <c r="I76" s="106"/>
    </row>
    <row r="77" spans="2:9">
      <c r="B77" s="105"/>
      <c r="I77" s="106"/>
    </row>
    <row r="78" spans="2:9">
      <c r="B78" s="351" t="s">
        <v>100</v>
      </c>
      <c r="C78" s="352"/>
      <c r="I78" s="106"/>
    </row>
    <row r="79" spans="2:9" ht="18.75" customHeight="1">
      <c r="B79" s="227" t="s">
        <v>36</v>
      </c>
      <c r="C79" s="104">
        <v>0.11</v>
      </c>
      <c r="F79" s="175"/>
      <c r="G79" s="175"/>
      <c r="H79" s="175"/>
      <c r="I79" s="176"/>
    </row>
    <row r="80" spans="2:9">
      <c r="B80" s="227" t="s">
        <v>37</v>
      </c>
      <c r="C80" s="104">
        <v>0.11</v>
      </c>
      <c r="E80" s="175"/>
      <c r="F80" s="175"/>
      <c r="G80" s="175"/>
      <c r="H80" s="175"/>
      <c r="I80" s="176"/>
    </row>
    <row r="81" spans="2:22">
      <c r="B81" s="227" t="s">
        <v>38</v>
      </c>
      <c r="C81" s="104">
        <v>0.11</v>
      </c>
      <c r="E81" s="175"/>
      <c r="F81" s="175"/>
      <c r="G81" s="175"/>
      <c r="H81" s="175"/>
      <c r="I81" s="176"/>
    </row>
    <row r="82" spans="2:22" ht="18.600000000000001" thickBot="1">
      <c r="B82" s="227" t="s">
        <v>40</v>
      </c>
      <c r="C82" s="104">
        <v>0.11</v>
      </c>
      <c r="I82" s="106"/>
    </row>
    <row r="83" spans="2:22" ht="18" customHeight="1">
      <c r="B83" s="227" t="s">
        <v>41</v>
      </c>
      <c r="C83" s="104">
        <v>0.11</v>
      </c>
      <c r="E83" s="341" t="s">
        <v>101</v>
      </c>
      <c r="F83" s="342"/>
      <c r="G83" s="342"/>
      <c r="H83" s="342"/>
      <c r="I83" s="343"/>
    </row>
    <row r="84" spans="2:22" ht="18.600000000000001" thickBot="1">
      <c r="B84" s="227" t="s">
        <v>42</v>
      </c>
      <c r="C84" s="104">
        <v>0.11</v>
      </c>
      <c r="E84" s="344"/>
      <c r="F84" s="345"/>
      <c r="G84" s="345"/>
      <c r="H84" s="345"/>
      <c r="I84" s="346"/>
    </row>
    <row r="85" spans="2:22">
      <c r="B85" s="227" t="s">
        <v>43</v>
      </c>
      <c r="C85" s="104">
        <v>0.11</v>
      </c>
      <c r="I85" s="106"/>
    </row>
    <row r="86" spans="2:22">
      <c r="B86" s="227" t="s">
        <v>44</v>
      </c>
      <c r="C86" s="104">
        <v>0.11</v>
      </c>
      <c r="I86" s="106"/>
    </row>
    <row r="87" spans="2:22">
      <c r="B87" s="227" t="s">
        <v>45</v>
      </c>
      <c r="C87" s="104">
        <v>0.11</v>
      </c>
      <c r="I87" s="106"/>
    </row>
    <row r="88" spans="2:22">
      <c r="B88" s="227" t="s">
        <v>46</v>
      </c>
      <c r="C88" s="104">
        <v>0.11</v>
      </c>
      <c r="I88" s="106"/>
    </row>
    <row r="89" spans="2:22">
      <c r="B89" s="227" t="s">
        <v>47</v>
      </c>
      <c r="C89" s="104">
        <v>0.11</v>
      </c>
      <c r="I89" s="106"/>
    </row>
    <row r="90" spans="2:22">
      <c r="B90" s="108" t="s">
        <v>48</v>
      </c>
      <c r="C90" s="104">
        <v>0.11</v>
      </c>
      <c r="D90" s="109"/>
      <c r="E90" s="109"/>
      <c r="F90" s="109"/>
      <c r="G90" s="109"/>
      <c r="H90" s="109"/>
      <c r="I90" s="110"/>
    </row>
    <row r="91" spans="2:22">
      <c r="U91" s="208" t="s">
        <v>860</v>
      </c>
      <c r="V91" s="215" t="s">
        <v>302</v>
      </c>
    </row>
    <row r="92" spans="2:22" hidden="1">
      <c r="B92" s="78" t="s">
        <v>783</v>
      </c>
      <c r="C92" s="215">
        <f>K95</f>
        <v>30</v>
      </c>
      <c r="J92" s="247" t="s">
        <v>784</v>
      </c>
      <c r="K92" s="247">
        <v>30</v>
      </c>
    </row>
    <row r="93" spans="2:22" hidden="1">
      <c r="B93" s="78" t="s">
        <v>785</v>
      </c>
      <c r="C93" s="248">
        <v>0.92</v>
      </c>
      <c r="J93" s="247" t="s">
        <v>786</v>
      </c>
      <c r="K93" s="247">
        <v>50</v>
      </c>
    </row>
    <row r="94" spans="2:22" hidden="1">
      <c r="B94" s="78" t="s">
        <v>787</v>
      </c>
      <c r="C94" s="248">
        <v>10</v>
      </c>
      <c r="J94" s="247" t="s">
        <v>31</v>
      </c>
      <c r="K94" s="247">
        <v>100</v>
      </c>
    </row>
    <row r="95" spans="2:22" hidden="1">
      <c r="B95" s="78" t="s">
        <v>788</v>
      </c>
      <c r="C95" s="249">
        <v>0.85</v>
      </c>
      <c r="D95" s="250"/>
      <c r="K95" s="215">
        <f>VLOOKUP(E11,J92:K94,2,0)</f>
        <v>30</v>
      </c>
    </row>
    <row r="96" spans="2:22" hidden="1">
      <c r="B96" s="78" t="s">
        <v>789</v>
      </c>
      <c r="C96" s="251">
        <v>0.38</v>
      </c>
      <c r="F96" s="250"/>
    </row>
    <row r="97" spans="1:23" hidden="1">
      <c r="B97" s="78" t="s">
        <v>790</v>
      </c>
      <c r="C97" s="317"/>
      <c r="K97" s="252">
        <v>1</v>
      </c>
      <c r="L97" s="250">
        <v>0.2</v>
      </c>
    </row>
    <row r="98" spans="1:23">
      <c r="B98" s="316" t="s">
        <v>859</v>
      </c>
      <c r="C98" s="248" t="s">
        <v>858</v>
      </c>
      <c r="K98" s="250">
        <f>K97-L97</f>
        <v>0.8</v>
      </c>
      <c r="U98" s="208" t="s">
        <v>857</v>
      </c>
      <c r="V98" s="215">
        <v>0.96499999999999997</v>
      </c>
      <c r="W98" s="235">
        <f>($W$45*V98)</f>
        <v>32993.35</v>
      </c>
    </row>
    <row r="99" spans="1:23">
      <c r="U99" s="208" t="s">
        <v>858</v>
      </c>
      <c r="V99" s="215">
        <v>1</v>
      </c>
      <c r="W99" s="235">
        <f>$W$45*V99</f>
        <v>34190</v>
      </c>
    </row>
    <row r="100" spans="1:23">
      <c r="K100" s="78">
        <f>C92*C93</f>
        <v>27.6</v>
      </c>
    </row>
    <row r="107" spans="1:23">
      <c r="A107" s="215" t="s">
        <v>36</v>
      </c>
      <c r="B107" s="215" t="s">
        <v>37</v>
      </c>
      <c r="C107" s="215" t="s">
        <v>38</v>
      </c>
      <c r="D107" s="215" t="s">
        <v>40</v>
      </c>
      <c r="E107" s="215" t="s">
        <v>41</v>
      </c>
      <c r="F107" s="215" t="s">
        <v>42</v>
      </c>
      <c r="G107" s="215" t="s">
        <v>43</v>
      </c>
      <c r="H107" s="215" t="s">
        <v>44</v>
      </c>
      <c r="I107" s="215" t="s">
        <v>45</v>
      </c>
      <c r="J107" s="215" t="s">
        <v>46</v>
      </c>
      <c r="K107" s="215" t="s">
        <v>47</v>
      </c>
      <c r="L107" s="215" t="s">
        <v>48</v>
      </c>
      <c r="M107" s="215" t="s">
        <v>791</v>
      </c>
      <c r="N107" s="215" t="s">
        <v>49</v>
      </c>
    </row>
    <row r="108" spans="1:23">
      <c r="A108" s="253">
        <f>SUM($K$98*AH4)*$K$101+$C$94+$K$100</f>
        <v>37.6</v>
      </c>
      <c r="B108" s="253">
        <f t="shared" ref="B108:L108" si="3">SUM($K$98*AI4)*$K$101+$C$94+$K$100</f>
        <v>37.6</v>
      </c>
      <c r="C108" s="253">
        <f t="shared" si="3"/>
        <v>37.6</v>
      </c>
      <c r="D108" s="253">
        <f t="shared" si="3"/>
        <v>37.6</v>
      </c>
      <c r="E108" s="253">
        <f t="shared" si="3"/>
        <v>37.6</v>
      </c>
      <c r="F108" s="253">
        <f t="shared" si="3"/>
        <v>37.6</v>
      </c>
      <c r="G108" s="253">
        <f t="shared" si="3"/>
        <v>37.6</v>
      </c>
      <c r="H108" s="253">
        <f t="shared" si="3"/>
        <v>37.6</v>
      </c>
      <c r="I108" s="253">
        <f t="shared" si="3"/>
        <v>37.6</v>
      </c>
      <c r="J108" s="253">
        <f t="shared" si="3"/>
        <v>37.6</v>
      </c>
      <c r="K108" s="253">
        <f t="shared" si="3"/>
        <v>37.6</v>
      </c>
      <c r="L108" s="253">
        <f t="shared" si="3"/>
        <v>37.6</v>
      </c>
      <c r="M108" s="254">
        <f>MEDIAN(A108:L108)</f>
        <v>37.6</v>
      </c>
      <c r="N108" s="254">
        <f>SUM(A108:L108)</f>
        <v>451.2000000000001</v>
      </c>
    </row>
    <row r="110" spans="1:23">
      <c r="A110" s="215" t="s">
        <v>36</v>
      </c>
      <c r="B110" s="215" t="s">
        <v>37</v>
      </c>
      <c r="C110" s="215" t="s">
        <v>38</v>
      </c>
      <c r="D110" s="215" t="s">
        <v>40</v>
      </c>
      <c r="E110" s="215" t="s">
        <v>41</v>
      </c>
      <c r="F110" s="215" t="s">
        <v>42</v>
      </c>
      <c r="G110" s="215" t="s">
        <v>43</v>
      </c>
      <c r="H110" s="215" t="s">
        <v>44</v>
      </c>
      <c r="I110" s="215" t="s">
        <v>45</v>
      </c>
      <c r="J110" s="215" t="s">
        <v>46</v>
      </c>
      <c r="K110" s="215" t="s">
        <v>47</v>
      </c>
      <c r="L110" s="215" t="s">
        <v>48</v>
      </c>
      <c r="M110" s="215" t="s">
        <v>791</v>
      </c>
      <c r="N110" s="215" t="s">
        <v>49</v>
      </c>
    </row>
    <row r="111" spans="1:23">
      <c r="A111" s="253">
        <f t="shared" ref="A111:L111" si="4">(AH4*$C$93+$C$94)-A108</f>
        <v>-27.6</v>
      </c>
      <c r="B111" s="253">
        <f t="shared" si="4"/>
        <v>-27.6</v>
      </c>
      <c r="C111" s="253">
        <f t="shared" si="4"/>
        <v>-27.6</v>
      </c>
      <c r="D111" s="253">
        <f t="shared" si="4"/>
        <v>-27.6</v>
      </c>
      <c r="E111" s="253">
        <f t="shared" si="4"/>
        <v>-27.6</v>
      </c>
      <c r="F111" s="253">
        <f t="shared" si="4"/>
        <v>-27.6</v>
      </c>
      <c r="G111" s="253">
        <f t="shared" si="4"/>
        <v>-27.6</v>
      </c>
      <c r="H111" s="253">
        <f t="shared" si="4"/>
        <v>-27.6</v>
      </c>
      <c r="I111" s="253">
        <f t="shared" si="4"/>
        <v>-27.6</v>
      </c>
      <c r="J111" s="253">
        <f t="shared" si="4"/>
        <v>-27.6</v>
      </c>
      <c r="K111" s="253">
        <f t="shared" si="4"/>
        <v>-27.6</v>
      </c>
      <c r="L111" s="253">
        <f t="shared" si="4"/>
        <v>-27.6</v>
      </c>
      <c r="M111" s="253">
        <f>(AT4*O93+O94)-M108</f>
        <v>-37.6</v>
      </c>
      <c r="N111" s="253">
        <f>SUM(A111:L111)</f>
        <v>-331.20000000000005</v>
      </c>
    </row>
    <row r="114" spans="1:18" ht="18.600000000000001" thickBot="1">
      <c r="A114" s="339" t="s">
        <v>792</v>
      </c>
      <c r="B114" s="339"/>
      <c r="C114" s="339"/>
      <c r="D114" s="339"/>
      <c r="E114" s="339"/>
    </row>
    <row r="115" spans="1:18">
      <c r="A115" s="255"/>
      <c r="B115" s="255" t="s">
        <v>793</v>
      </c>
      <c r="C115" s="256">
        <v>100000</v>
      </c>
      <c r="D115" s="255"/>
      <c r="E115" s="255"/>
      <c r="G115" s="264"/>
      <c r="H115" s="265"/>
      <c r="I115" s="265"/>
      <c r="J115" s="266"/>
      <c r="K115" s="265"/>
      <c r="L115" s="265"/>
      <c r="M115" s="267"/>
      <c r="N115" s="267">
        <v>0.99099999999999999</v>
      </c>
      <c r="O115" s="268"/>
    </row>
    <row r="116" spans="1:18">
      <c r="A116" s="257" t="s">
        <v>794</v>
      </c>
      <c r="B116" s="257" t="s">
        <v>795</v>
      </c>
      <c r="C116" s="257" t="s">
        <v>796</v>
      </c>
      <c r="D116" s="257" t="s">
        <v>797</v>
      </c>
      <c r="E116" s="257" t="s">
        <v>798</v>
      </c>
      <c r="G116" s="269"/>
      <c r="H116" s="270"/>
      <c r="I116" s="270"/>
      <c r="J116" s="271" t="s">
        <v>799</v>
      </c>
      <c r="K116" s="271" t="s">
        <v>800</v>
      </c>
      <c r="L116" s="272" t="s">
        <v>801</v>
      </c>
      <c r="M116" s="270"/>
      <c r="N116" s="270"/>
      <c r="O116" s="273" t="s">
        <v>802</v>
      </c>
      <c r="R116" s="78" t="s">
        <v>803</v>
      </c>
    </row>
    <row r="117" spans="1:18">
      <c r="A117" s="258">
        <v>0</v>
      </c>
      <c r="B117" s="259">
        <f>'Resumo dos Cálculos'!B30</f>
        <v>8240.1636996850611</v>
      </c>
      <c r="C117" s="260">
        <f>C93</f>
        <v>0.92</v>
      </c>
      <c r="D117" s="260">
        <f>O117</f>
        <v>6451.2787412107746</v>
      </c>
      <c r="E117" s="260">
        <f>D117-C$115</f>
        <v>-93548.721258789228</v>
      </c>
      <c r="G117" s="269"/>
      <c r="H117" s="270"/>
      <c r="I117" s="270"/>
      <c r="J117" s="274">
        <f>B117*$C$95*C117</f>
        <v>6443.8080131537181</v>
      </c>
      <c r="K117" s="274">
        <f t="shared" ref="K117:K142" si="5">(B117*(1-$C$95))*(C117-(0.3*R117))</f>
        <v>996.23579129192422</v>
      </c>
      <c r="L117" s="275">
        <f>(B117*0.7)*(R117*0.3)+($C$92*C117)*12</f>
        <v>988.76506323486785</v>
      </c>
      <c r="M117" s="270"/>
      <c r="N117" s="270"/>
      <c r="O117" s="276">
        <f t="shared" ref="O117:O142" si="6">J117+K117-L117</f>
        <v>6451.2787412107746</v>
      </c>
      <c r="P117" s="261"/>
      <c r="R117" s="262">
        <f>C96</f>
        <v>0.38</v>
      </c>
    </row>
    <row r="118" spans="1:18">
      <c r="A118" s="258">
        <v>1</v>
      </c>
      <c r="B118" s="263">
        <f>B117*$N$115</f>
        <v>8166.0022263878955</v>
      </c>
      <c r="C118" s="260">
        <f>G118</f>
        <v>0.96600000000000008</v>
      </c>
      <c r="D118" s="260">
        <f t="shared" ref="D118:D142" si="7">O118</f>
        <v>6709.7482541668714</v>
      </c>
      <c r="E118" s="260">
        <f>D118+E117</f>
        <v>-86838.973004622356</v>
      </c>
      <c r="G118" s="269">
        <f>C117*1.05</f>
        <v>0.96600000000000008</v>
      </c>
      <c r="H118" s="270"/>
      <c r="I118" s="270"/>
      <c r="J118" s="274">
        <f t="shared" ref="J118:J142" si="8">B118*$C$95*C118</f>
        <v>6705.104428087102</v>
      </c>
      <c r="K118" s="274">
        <f t="shared" si="5"/>
        <v>1036.6331526288116</v>
      </c>
      <c r="L118" s="275">
        <f t="shared" ref="L118:L142" si="9">(B118*0.7)*(R118*0.3)+($C$92*C118)*12</f>
        <v>1031.9893265490418</v>
      </c>
      <c r="M118" s="270"/>
      <c r="N118" s="270"/>
      <c r="O118" s="276">
        <f t="shared" si="6"/>
        <v>6709.7482541668714</v>
      </c>
      <c r="R118" s="262">
        <f>R117*1.05</f>
        <v>0.39900000000000002</v>
      </c>
    </row>
    <row r="119" spans="1:18">
      <c r="A119" s="258">
        <v>2</v>
      </c>
      <c r="B119" s="263">
        <f>B118*$N$115</f>
        <v>8092.5082063504042</v>
      </c>
      <c r="C119" s="260">
        <f>G119</f>
        <v>1.0143000000000002</v>
      </c>
      <c r="D119" s="260">
        <f t="shared" si="7"/>
        <v>6978.5422138733375</v>
      </c>
      <c r="E119" s="260">
        <f>D119+E118</f>
        <v>-79860.430790749015</v>
      </c>
      <c r="G119" s="269">
        <f t="shared" ref="G119:G142" si="10">C118*1.05</f>
        <v>1.0143000000000002</v>
      </c>
      <c r="H119" s="270"/>
      <c r="I119" s="270"/>
      <c r="J119" s="274">
        <f t="shared" si="8"/>
        <v>6976.9964126460336</v>
      </c>
      <c r="K119" s="274">
        <f t="shared" si="5"/>
        <v>1078.6686269679099</v>
      </c>
      <c r="L119" s="275">
        <f t="shared" si="9"/>
        <v>1077.1228257406055</v>
      </c>
      <c r="M119" s="270"/>
      <c r="N119" s="270"/>
      <c r="O119" s="276">
        <f t="shared" si="6"/>
        <v>6978.5422138733375</v>
      </c>
      <c r="R119" s="262">
        <f t="shared" ref="R119:R142" si="11">R118*1.05</f>
        <v>0.41895000000000004</v>
      </c>
    </row>
    <row r="120" spans="1:18">
      <c r="A120" s="258">
        <v>3</v>
      </c>
      <c r="B120" s="263">
        <f t="shared" ref="B120:B142" si="12">B119*$N$115</f>
        <v>8019.6756324932503</v>
      </c>
      <c r="C120" s="260">
        <f t="shared" ref="C120:C142" si="13">G120</f>
        <v>1.0650150000000003</v>
      </c>
      <c r="D120" s="260">
        <f t="shared" si="7"/>
        <v>7258.0714520459014</v>
      </c>
      <c r="E120" s="260">
        <f t="shared" ref="E120:E142" si="14">D120+E119</f>
        <v>-72602.359338703114</v>
      </c>
      <c r="G120" s="269">
        <f t="shared" si="10"/>
        <v>1.0650150000000003</v>
      </c>
      <c r="H120" s="270"/>
      <c r="I120" s="270"/>
      <c r="J120" s="274">
        <f t="shared" si="8"/>
        <v>7259.9136171788305</v>
      </c>
      <c r="K120" s="274">
        <f t="shared" si="5"/>
        <v>1122.4086397914587</v>
      </c>
      <c r="L120" s="275">
        <f t="shared" si="9"/>
        <v>1124.250804924387</v>
      </c>
      <c r="M120" s="270"/>
      <c r="N120" s="270"/>
      <c r="O120" s="276">
        <f t="shared" si="6"/>
        <v>7258.0714520459014</v>
      </c>
      <c r="R120" s="262">
        <f t="shared" si="11"/>
        <v>0.43989750000000005</v>
      </c>
    </row>
    <row r="121" spans="1:18">
      <c r="A121" s="258">
        <v>4</v>
      </c>
      <c r="B121" s="263">
        <f t="shared" si="12"/>
        <v>7947.4985518008107</v>
      </c>
      <c r="C121" s="260">
        <f t="shared" si="13"/>
        <v>1.1182657500000004</v>
      </c>
      <c r="D121" s="260">
        <f t="shared" si="7"/>
        <v>7548.7630683963653</v>
      </c>
      <c r="E121" s="260">
        <f t="shared" si="14"/>
        <v>-65053.596270306749</v>
      </c>
      <c r="G121" s="269">
        <f t="shared" si="10"/>
        <v>1.1182657500000004</v>
      </c>
      <c r="H121" s="270"/>
      <c r="I121" s="270"/>
      <c r="J121" s="274">
        <f t="shared" si="8"/>
        <v>7554.3031143554326</v>
      </c>
      <c r="K121" s="274">
        <f t="shared" si="5"/>
        <v>1167.9223101350026</v>
      </c>
      <c r="L121" s="275">
        <f t="shared" si="9"/>
        <v>1173.4623560940709</v>
      </c>
      <c r="M121" s="270"/>
      <c r="N121" s="270"/>
      <c r="O121" s="276">
        <f t="shared" si="6"/>
        <v>7548.7630683963653</v>
      </c>
      <c r="R121" s="262">
        <f t="shared" si="11"/>
        <v>0.46189237500000008</v>
      </c>
    </row>
    <row r="122" spans="1:18">
      <c r="A122" s="258">
        <v>5</v>
      </c>
      <c r="B122" s="263">
        <f t="shared" si="12"/>
        <v>7875.9710648346036</v>
      </c>
      <c r="C122" s="260">
        <f t="shared" si="13"/>
        <v>1.1741790375000005</v>
      </c>
      <c r="D122" s="260">
        <f t="shared" si="7"/>
        <v>7851.0610707383366</v>
      </c>
      <c r="E122" s="260">
        <f t="shared" si="14"/>
        <v>-57202.53519956841</v>
      </c>
      <c r="G122" s="269">
        <f t="shared" si="10"/>
        <v>1.1741790375000005</v>
      </c>
      <c r="H122" s="270"/>
      <c r="I122" s="270"/>
      <c r="J122" s="274">
        <f t="shared" si="8"/>
        <v>7860.6301056425464</v>
      </c>
      <c r="K122" s="274">
        <f t="shared" si="5"/>
        <v>1215.2815598109771</v>
      </c>
      <c r="L122" s="275">
        <f t="shared" si="9"/>
        <v>1224.8505947151857</v>
      </c>
      <c r="M122" s="270"/>
      <c r="N122" s="270"/>
      <c r="O122" s="276">
        <f t="shared" si="6"/>
        <v>7851.0610707383366</v>
      </c>
      <c r="R122" s="262">
        <f t="shared" si="11"/>
        <v>0.48498699375000009</v>
      </c>
    </row>
    <row r="123" spans="1:18">
      <c r="A123" s="258">
        <v>6</v>
      </c>
      <c r="B123" s="263">
        <f t="shared" si="12"/>
        <v>7805.0873252510919</v>
      </c>
      <c r="C123" s="260">
        <f t="shared" si="13"/>
        <v>1.2328879893750007</v>
      </c>
      <c r="D123" s="260">
        <f t="shared" si="7"/>
        <v>8165.427040071203</v>
      </c>
      <c r="E123" s="260">
        <f t="shared" si="14"/>
        <v>-49037.108159497206</v>
      </c>
      <c r="G123" s="269">
        <f t="shared" si="10"/>
        <v>1.2328879893750007</v>
      </c>
      <c r="H123" s="270"/>
      <c r="I123" s="270"/>
      <c r="J123" s="274">
        <f t="shared" si="8"/>
        <v>8179.3786564263528</v>
      </c>
      <c r="K123" s="274">
        <f t="shared" si="5"/>
        <v>1264.5612270613121</v>
      </c>
      <c r="L123" s="275">
        <f t="shared" si="9"/>
        <v>1278.5128434164615</v>
      </c>
      <c r="M123" s="270"/>
      <c r="N123" s="270"/>
      <c r="O123" s="276">
        <f t="shared" si="6"/>
        <v>8165.427040071203</v>
      </c>
      <c r="R123" s="262">
        <f t="shared" si="11"/>
        <v>0.50923634343750013</v>
      </c>
    </row>
    <row r="124" spans="1:18">
      <c r="A124" s="258">
        <v>7</v>
      </c>
      <c r="B124" s="263">
        <f t="shared" si="12"/>
        <v>7734.841539323832</v>
      </c>
      <c r="C124" s="260">
        <f t="shared" si="13"/>
        <v>1.2945323888437508</v>
      </c>
      <c r="D124" s="260">
        <f t="shared" si="7"/>
        <v>8492.340821606238</v>
      </c>
      <c r="E124" s="260">
        <f t="shared" si="14"/>
        <v>-40544.767337890968</v>
      </c>
      <c r="G124" s="269">
        <f t="shared" si="10"/>
        <v>1.2945323888437508</v>
      </c>
      <c r="H124" s="270"/>
      <c r="I124" s="270"/>
      <c r="J124" s="274">
        <f t="shared" si="8"/>
        <v>8511.0524609444419</v>
      </c>
      <c r="K124" s="274">
        <f t="shared" si="5"/>
        <v>1315.8391848186488</v>
      </c>
      <c r="L124" s="275">
        <f t="shared" si="9"/>
        <v>1334.5508241568527</v>
      </c>
      <c r="M124" s="270"/>
      <c r="N124" s="270"/>
      <c r="O124" s="276">
        <f t="shared" si="6"/>
        <v>8492.340821606238</v>
      </c>
      <c r="R124" s="262">
        <f t="shared" si="11"/>
        <v>0.53469816060937514</v>
      </c>
    </row>
    <row r="125" spans="1:18">
      <c r="A125" s="258">
        <v>8</v>
      </c>
      <c r="B125" s="263">
        <f t="shared" si="12"/>
        <v>7665.2279654699178</v>
      </c>
      <c r="C125" s="260">
        <f t="shared" si="13"/>
        <v>1.3592590082859384</v>
      </c>
      <c r="D125" s="260">
        <f t="shared" si="7"/>
        <v>8832.3012427355243</v>
      </c>
      <c r="E125" s="260">
        <f t="shared" si="14"/>
        <v>-31712.466095155443</v>
      </c>
      <c r="G125" s="269">
        <f t="shared" si="10"/>
        <v>1.3592590082859384</v>
      </c>
      <c r="H125" s="270"/>
      <c r="I125" s="270"/>
      <c r="J125" s="274">
        <f t="shared" si="8"/>
        <v>8856.1756382357398</v>
      </c>
      <c r="K125" s="274">
        <f t="shared" si="5"/>
        <v>1369.1964637630449</v>
      </c>
      <c r="L125" s="275">
        <f t="shared" si="9"/>
        <v>1393.0708592632595</v>
      </c>
      <c r="M125" s="270"/>
      <c r="N125" s="270"/>
      <c r="O125" s="276">
        <f t="shared" si="6"/>
        <v>8832.3012427355243</v>
      </c>
      <c r="R125" s="262">
        <f t="shared" si="11"/>
        <v>0.56143306863984388</v>
      </c>
    </row>
    <row r="126" spans="1:18">
      <c r="A126" s="258">
        <v>9</v>
      </c>
      <c r="B126" s="263">
        <f t="shared" si="12"/>
        <v>7596.2409137806881</v>
      </c>
      <c r="C126" s="260">
        <f t="shared" si="13"/>
        <v>1.4272219587002353</v>
      </c>
      <c r="D126" s="260">
        <f t="shared" si="7"/>
        <v>9185.8268589822601</v>
      </c>
      <c r="E126" s="260">
        <f t="shared" si="14"/>
        <v>-22526.639236173185</v>
      </c>
      <c r="G126" s="269">
        <f t="shared" si="10"/>
        <v>1.4272219587002353</v>
      </c>
      <c r="H126" s="270"/>
      <c r="I126" s="270"/>
      <c r="J126" s="274">
        <f t="shared" si="8"/>
        <v>9215.2935603661972</v>
      </c>
      <c r="K126" s="274">
        <f t="shared" si="5"/>
        <v>1424.7173803686362</v>
      </c>
      <c r="L126" s="275">
        <f t="shared" si="9"/>
        <v>1454.1840817525733</v>
      </c>
      <c r="M126" s="270"/>
      <c r="N126" s="270"/>
      <c r="O126" s="276">
        <f t="shared" si="6"/>
        <v>9185.8268589822601</v>
      </c>
      <c r="R126" s="262">
        <f t="shared" si="11"/>
        <v>0.58950472207183613</v>
      </c>
    </row>
    <row r="127" spans="1:18">
      <c r="A127" s="258">
        <v>10</v>
      </c>
      <c r="B127" s="263">
        <f t="shared" si="12"/>
        <v>7527.8747455566618</v>
      </c>
      <c r="C127" s="260">
        <f t="shared" si="13"/>
        <v>1.4985830566352472</v>
      </c>
      <c r="D127" s="260">
        <f t="shared" si="7"/>
        <v>9553.4567290104933</v>
      </c>
      <c r="E127" s="260">
        <f t="shared" si="14"/>
        <v>-12973.182507162692</v>
      </c>
      <c r="G127" s="269">
        <f t="shared" si="10"/>
        <v>1.4985830566352472</v>
      </c>
      <c r="H127" s="270"/>
      <c r="I127" s="270"/>
      <c r="J127" s="274">
        <f t="shared" si="8"/>
        <v>9588.9737142390477</v>
      </c>
      <c r="K127" s="274">
        <f t="shared" si="5"/>
        <v>1482.4896701425846</v>
      </c>
      <c r="L127" s="275">
        <f t="shared" si="9"/>
        <v>1518.0066553711388</v>
      </c>
      <c r="M127" s="270"/>
      <c r="N127" s="270"/>
      <c r="O127" s="276">
        <f t="shared" si="6"/>
        <v>9553.4567290104933</v>
      </c>
      <c r="R127" s="262">
        <f t="shared" si="11"/>
        <v>0.61897995817542795</v>
      </c>
    </row>
    <row r="128" spans="1:18">
      <c r="A128" s="258">
        <v>11</v>
      </c>
      <c r="B128" s="263">
        <f t="shared" si="12"/>
        <v>7460.1238728466515</v>
      </c>
      <c r="C128" s="260">
        <f t="shared" si="13"/>
        <v>1.5735122094670095</v>
      </c>
      <c r="D128" s="260">
        <f t="shared" si="7"/>
        <v>9935.7512198131953</v>
      </c>
      <c r="E128" s="260">
        <f t="shared" si="14"/>
        <v>-3037.4312873494964</v>
      </c>
      <c r="G128" s="269">
        <f t="shared" si="10"/>
        <v>1.5735122094670095</v>
      </c>
      <c r="H128" s="270"/>
      <c r="I128" s="270"/>
      <c r="J128" s="274">
        <f t="shared" si="8"/>
        <v>9977.8065983514407</v>
      </c>
      <c r="K128" s="274">
        <f t="shared" si="5"/>
        <v>1542.6046262668663</v>
      </c>
      <c r="L128" s="275">
        <f t="shared" si="9"/>
        <v>1584.6600048051114</v>
      </c>
      <c r="M128" s="270"/>
      <c r="N128" s="270"/>
      <c r="O128" s="276">
        <f t="shared" si="6"/>
        <v>9935.7512198131953</v>
      </c>
      <c r="R128" s="262">
        <f t="shared" si="11"/>
        <v>0.64992895608419932</v>
      </c>
    </row>
    <row r="129" spans="1:18">
      <c r="A129" s="258">
        <v>12</v>
      </c>
      <c r="B129" s="263">
        <f t="shared" si="12"/>
        <v>7392.9827579910316</v>
      </c>
      <c r="C129" s="260">
        <f t="shared" si="13"/>
        <v>1.6521878199403601</v>
      </c>
      <c r="D129" s="260">
        <f t="shared" si="7"/>
        <v>10333.292843240015</v>
      </c>
      <c r="E129" s="260">
        <f t="shared" si="14"/>
        <v>7295.8615558905185</v>
      </c>
      <c r="G129" s="269">
        <f t="shared" si="10"/>
        <v>1.6521878199403601</v>
      </c>
      <c r="H129" s="270"/>
      <c r="I129" s="270"/>
      <c r="J129" s="274">
        <f t="shared" si="8"/>
        <v>10382.406655914592</v>
      </c>
      <c r="K129" s="274">
        <f t="shared" si="5"/>
        <v>1605.1572438619878</v>
      </c>
      <c r="L129" s="275">
        <f t="shared" si="9"/>
        <v>1654.2710565365655</v>
      </c>
      <c r="M129" s="270"/>
      <c r="N129" s="270"/>
      <c r="O129" s="276">
        <f t="shared" si="6"/>
        <v>10333.292843240015</v>
      </c>
      <c r="R129" s="262">
        <f t="shared" si="11"/>
        <v>0.68242540388840933</v>
      </c>
    </row>
    <row r="130" spans="1:18">
      <c r="A130" s="258">
        <v>13</v>
      </c>
      <c r="B130" s="263">
        <f t="shared" si="12"/>
        <v>7326.4459131691119</v>
      </c>
      <c r="C130" s="260">
        <f t="shared" si="13"/>
        <v>1.7347972109373782</v>
      </c>
      <c r="D130" s="260">
        <f t="shared" si="7"/>
        <v>10746.687125069961</v>
      </c>
      <c r="E130" s="260">
        <f t="shared" si="14"/>
        <v>18042.548680960477</v>
      </c>
      <c r="G130" s="269">
        <f t="shared" si="10"/>
        <v>1.7347972109373782</v>
      </c>
      <c r="H130" s="270"/>
      <c r="I130" s="270"/>
      <c r="J130" s="274">
        <f t="shared" si="8"/>
        <v>10803.413245811929</v>
      </c>
      <c r="K130" s="274">
        <f t="shared" si="5"/>
        <v>1670.2463701005915</v>
      </c>
      <c r="L130" s="275">
        <f t="shared" si="9"/>
        <v>1726.9724908425603</v>
      </c>
      <c r="M130" s="270"/>
      <c r="N130" s="270"/>
      <c r="O130" s="276">
        <f t="shared" si="6"/>
        <v>10746.687125069961</v>
      </c>
      <c r="R130" s="262">
        <f t="shared" si="11"/>
        <v>0.71654667408282979</v>
      </c>
    </row>
    <row r="131" spans="1:18">
      <c r="A131" s="258">
        <v>14</v>
      </c>
      <c r="B131" s="263">
        <f t="shared" si="12"/>
        <v>7260.5078999505895</v>
      </c>
      <c r="C131" s="260">
        <f t="shared" si="13"/>
        <v>1.8215370714842472</v>
      </c>
      <c r="D131" s="260">
        <f t="shared" si="7"/>
        <v>11176.563507879939</v>
      </c>
      <c r="E131" s="260">
        <f t="shared" si="14"/>
        <v>29219.112188840416</v>
      </c>
      <c r="G131" s="269">
        <f t="shared" si="10"/>
        <v>1.8215370714842472</v>
      </c>
      <c r="H131" s="270"/>
      <c r="I131" s="270"/>
      <c r="J131" s="274">
        <f t="shared" si="8"/>
        <v>11241.491652929602</v>
      </c>
      <c r="K131" s="274">
        <f t="shared" si="5"/>
        <v>1737.9748604081706</v>
      </c>
      <c r="L131" s="275">
        <f t="shared" si="9"/>
        <v>1802.9030054578352</v>
      </c>
      <c r="M131" s="270"/>
      <c r="N131" s="270"/>
      <c r="O131" s="276">
        <f t="shared" si="6"/>
        <v>11176.563507879939</v>
      </c>
      <c r="R131" s="262">
        <f t="shared" si="11"/>
        <v>0.75237400778697128</v>
      </c>
    </row>
    <row r="132" spans="1:18">
      <c r="A132" s="258">
        <v>15</v>
      </c>
      <c r="B132" s="263">
        <f t="shared" si="12"/>
        <v>7195.1633288510338</v>
      </c>
      <c r="C132" s="260">
        <f t="shared" si="13"/>
        <v>1.9126139250584595</v>
      </c>
      <c r="D132" s="260">
        <f t="shared" si="7"/>
        <v>11623.576289007277</v>
      </c>
      <c r="E132" s="260">
        <f t="shared" si="14"/>
        <v>40842.688477847696</v>
      </c>
      <c r="G132" s="269">
        <f t="shared" si="10"/>
        <v>1.9126139250584595</v>
      </c>
      <c r="H132" s="270"/>
      <c r="I132" s="270"/>
      <c r="J132" s="274">
        <f t="shared" si="8"/>
        <v>11697.334139455896</v>
      </c>
      <c r="K132" s="274">
        <f t="shared" si="5"/>
        <v>1808.4497409977218</v>
      </c>
      <c r="L132" s="275">
        <f t="shared" si="9"/>
        <v>1882.2075914463396</v>
      </c>
      <c r="M132" s="270"/>
      <c r="N132" s="270"/>
      <c r="O132" s="276">
        <f t="shared" si="6"/>
        <v>11623.576289007277</v>
      </c>
      <c r="R132" s="262">
        <f t="shared" si="11"/>
        <v>0.78999270817631984</v>
      </c>
    </row>
    <row r="133" spans="1:18">
      <c r="A133" s="258">
        <v>16</v>
      </c>
      <c r="B133" s="263">
        <f t="shared" si="12"/>
        <v>7130.4068588913742</v>
      </c>
      <c r="C133" s="260">
        <f t="shared" si="13"/>
        <v>2.0082446213113827</v>
      </c>
      <c r="D133" s="260">
        <f t="shared" si="7"/>
        <v>12088.405594953474</v>
      </c>
      <c r="E133" s="260">
        <f t="shared" si="14"/>
        <v>52931.09407280117</v>
      </c>
      <c r="G133" s="269">
        <f t="shared" si="10"/>
        <v>2.0082446213113827</v>
      </c>
      <c r="H133" s="270"/>
      <c r="I133" s="270"/>
      <c r="J133" s="274">
        <f t="shared" si="8"/>
        <v>12171.661038810833</v>
      </c>
      <c r="K133" s="274">
        <f t="shared" si="5"/>
        <v>1881.7823779951796</v>
      </c>
      <c r="L133" s="275">
        <f t="shared" si="9"/>
        <v>1965.0378218525377</v>
      </c>
      <c r="M133" s="270"/>
      <c r="N133" s="270"/>
      <c r="O133" s="276">
        <f t="shared" si="6"/>
        <v>12088.405594953474</v>
      </c>
      <c r="R133" s="262">
        <f t="shared" si="11"/>
        <v>0.82949234358513591</v>
      </c>
    </row>
    <row r="134" spans="1:18">
      <c r="A134" s="258">
        <v>17</v>
      </c>
      <c r="B134" s="263">
        <f t="shared" si="12"/>
        <v>7066.2331971613521</v>
      </c>
      <c r="C134" s="260">
        <f t="shared" si="13"/>
        <v>2.108656852376952</v>
      </c>
      <c r="D134" s="260">
        <f t="shared" si="7"/>
        <v>12571.75839362714</v>
      </c>
      <c r="E134" s="260">
        <f t="shared" si="14"/>
        <v>65502.85246642831</v>
      </c>
      <c r="G134" s="269">
        <f t="shared" si="10"/>
        <v>2.108656852376952</v>
      </c>
      <c r="H134" s="270"/>
      <c r="I134" s="270"/>
      <c r="J134" s="274">
        <f t="shared" si="8"/>
        <v>12665.221893934615</v>
      </c>
      <c r="K134" s="274">
        <f t="shared" si="5"/>
        <v>1958.0886534228841</v>
      </c>
      <c r="L134" s="275">
        <f t="shared" si="9"/>
        <v>2051.5521537303598</v>
      </c>
      <c r="M134" s="270"/>
      <c r="N134" s="270"/>
      <c r="O134" s="276">
        <f t="shared" si="6"/>
        <v>12571.75839362714</v>
      </c>
      <c r="R134" s="262">
        <f t="shared" si="11"/>
        <v>0.87096696076439273</v>
      </c>
    </row>
    <row r="135" spans="1:18">
      <c r="A135" s="258">
        <v>18</v>
      </c>
      <c r="B135" s="263">
        <f t="shared" si="12"/>
        <v>7002.6370983869001</v>
      </c>
      <c r="C135" s="260">
        <f t="shared" si="13"/>
        <v>2.2140896949957996</v>
      </c>
      <c r="D135" s="260">
        <f t="shared" si="7"/>
        <v>13074.369545876934</v>
      </c>
      <c r="E135" s="260">
        <f t="shared" si="14"/>
        <v>78577.222012305239</v>
      </c>
      <c r="G135" s="269">
        <f t="shared" si="10"/>
        <v>2.2140896949957996</v>
      </c>
      <c r="H135" s="270"/>
      <c r="I135" s="270"/>
      <c r="J135" s="274">
        <f t="shared" si="8"/>
        <v>13178.796641733665</v>
      </c>
      <c r="K135" s="274">
        <f t="shared" si="5"/>
        <v>2037.4891483191818</v>
      </c>
      <c r="L135" s="275">
        <f t="shared" si="9"/>
        <v>2141.9162441759122</v>
      </c>
      <c r="M135" s="270"/>
      <c r="N135" s="270"/>
      <c r="O135" s="276">
        <f t="shared" si="6"/>
        <v>13074.369545876934</v>
      </c>
      <c r="R135" s="262">
        <f t="shared" si="11"/>
        <v>0.91451530880261245</v>
      </c>
    </row>
    <row r="136" spans="1:18">
      <c r="A136" s="258">
        <v>19</v>
      </c>
      <c r="B136" s="263">
        <f t="shared" si="12"/>
        <v>6939.6133645014179</v>
      </c>
      <c r="C136" s="260">
        <f t="shared" si="13"/>
        <v>2.3247941797455898</v>
      </c>
      <c r="D136" s="260">
        <f t="shared" si="7"/>
        <v>13597.002897819868</v>
      </c>
      <c r="E136" s="260">
        <f t="shared" si="14"/>
        <v>92174.224910125107</v>
      </c>
      <c r="G136" s="269">
        <f t="shared" si="10"/>
        <v>2.3247941797455898</v>
      </c>
      <c r="H136" s="270"/>
      <c r="I136" s="270"/>
      <c r="J136" s="274">
        <f t="shared" si="8"/>
        <v>13713.196845555965</v>
      </c>
      <c r="K136" s="274">
        <f t="shared" si="5"/>
        <v>2120.1093332835248</v>
      </c>
      <c r="L136" s="275">
        <f t="shared" si="9"/>
        <v>2236.303281019621</v>
      </c>
      <c r="M136" s="270"/>
      <c r="N136" s="270"/>
      <c r="O136" s="276">
        <f t="shared" si="6"/>
        <v>13597.002897819868</v>
      </c>
      <c r="R136" s="262">
        <f t="shared" si="11"/>
        <v>0.96024107424274308</v>
      </c>
    </row>
    <row r="137" spans="1:18">
      <c r="A137" s="258">
        <v>20</v>
      </c>
      <c r="B137" s="263">
        <f t="shared" si="12"/>
        <v>6877.1568442209054</v>
      </c>
      <c r="C137" s="260">
        <f t="shared" si="13"/>
        <v>2.4410338887328695</v>
      </c>
      <c r="D137" s="260">
        <f t="shared" si="7"/>
        <v>14140.452415526972</v>
      </c>
      <c r="E137" s="260">
        <f t="shared" si="14"/>
        <v>106314.67732565208</v>
      </c>
      <c r="G137" s="269">
        <f t="shared" si="10"/>
        <v>2.4410338887328695</v>
      </c>
      <c r="H137" s="270"/>
      <c r="I137" s="270"/>
      <c r="J137" s="274">
        <f t="shared" si="8"/>
        <v>14269.266977643261</v>
      </c>
      <c r="K137" s="274">
        <f t="shared" si="5"/>
        <v>2206.0797667481725</v>
      </c>
      <c r="L137" s="275">
        <f t="shared" si="9"/>
        <v>2334.8943288644618</v>
      </c>
      <c r="M137" s="270"/>
      <c r="N137" s="270"/>
      <c r="O137" s="276">
        <f t="shared" si="6"/>
        <v>14140.452415526972</v>
      </c>
      <c r="R137" s="262">
        <f t="shared" si="11"/>
        <v>1.0082531279548803</v>
      </c>
    </row>
    <row r="138" spans="1:18">
      <c r="A138" s="258">
        <v>21</v>
      </c>
      <c r="B138" s="263">
        <f t="shared" si="12"/>
        <v>6815.262432622917</v>
      </c>
      <c r="C138" s="260">
        <f t="shared" si="13"/>
        <v>2.5630855831695132</v>
      </c>
      <c r="D138" s="260">
        <f t="shared" si="7"/>
        <v>14705.543363687124</v>
      </c>
      <c r="E138" s="260">
        <f t="shared" si="14"/>
        <v>121020.22068933921</v>
      </c>
      <c r="G138" s="269">
        <f t="shared" si="10"/>
        <v>2.5630855831695132</v>
      </c>
      <c r="H138" s="270"/>
      <c r="I138" s="270"/>
      <c r="J138" s="274">
        <f t="shared" si="8"/>
        <v>14847.885753586696</v>
      </c>
      <c r="K138" s="274">
        <f t="shared" si="5"/>
        <v>2295.5363012898106</v>
      </c>
      <c r="L138" s="275">
        <f t="shared" si="9"/>
        <v>2437.8786911893849</v>
      </c>
      <c r="M138" s="270"/>
      <c r="N138" s="270"/>
      <c r="O138" s="276">
        <f t="shared" si="6"/>
        <v>14705.543363687124</v>
      </c>
      <c r="R138" s="262">
        <f t="shared" si="11"/>
        <v>1.0586657843526244</v>
      </c>
    </row>
    <row r="139" spans="1:18">
      <c r="A139" s="258">
        <v>22</v>
      </c>
      <c r="B139" s="263">
        <f t="shared" si="12"/>
        <v>6753.9250707293104</v>
      </c>
      <c r="C139" s="260">
        <f t="shared" si="13"/>
        <v>2.691239862327989</v>
      </c>
      <c r="D139" s="260">
        <f t="shared" si="7"/>
        <v>15293.133529930692</v>
      </c>
      <c r="E139" s="260">
        <f t="shared" si="14"/>
        <v>136313.35421926991</v>
      </c>
      <c r="G139" s="269">
        <f t="shared" si="10"/>
        <v>2.691239862327989</v>
      </c>
      <c r="H139" s="270"/>
      <c r="I139" s="270"/>
      <c r="J139" s="274">
        <f t="shared" si="8"/>
        <v>15449.967520894637</v>
      </c>
      <c r="K139" s="274">
        <f t="shared" si="5"/>
        <v>2388.6202983071125</v>
      </c>
      <c r="L139" s="275">
        <f t="shared" si="9"/>
        <v>2545.454289271057</v>
      </c>
      <c r="M139" s="270"/>
      <c r="N139" s="270"/>
      <c r="O139" s="276">
        <f t="shared" si="6"/>
        <v>15293.133529930692</v>
      </c>
      <c r="R139" s="262">
        <f t="shared" si="11"/>
        <v>1.1115990735702557</v>
      </c>
    </row>
    <row r="140" spans="1:18">
      <c r="A140" s="258">
        <v>23</v>
      </c>
      <c r="B140" s="263">
        <f t="shared" si="12"/>
        <v>6693.1397450927461</v>
      </c>
      <c r="C140" s="260">
        <f t="shared" si="13"/>
        <v>2.8258018554443884</v>
      </c>
      <c r="D140" s="260">
        <f t="shared" si="7"/>
        <v>15904.11449655774</v>
      </c>
      <c r="E140" s="260">
        <f t="shared" si="14"/>
        <v>152217.46871582765</v>
      </c>
      <c r="G140" s="269">
        <f t="shared" si="10"/>
        <v>2.8258018554443884</v>
      </c>
      <c r="H140" s="270"/>
      <c r="I140" s="270"/>
      <c r="J140" s="274">
        <f t="shared" si="8"/>
        <v>16076.463703866913</v>
      </c>
      <c r="K140" s="274">
        <f t="shared" si="5"/>
        <v>2485.4788514034658</v>
      </c>
      <c r="L140" s="275">
        <f t="shared" si="9"/>
        <v>2657.8280587126383</v>
      </c>
      <c r="M140" s="270"/>
      <c r="N140" s="270"/>
      <c r="O140" s="276">
        <f t="shared" si="6"/>
        <v>15904.11449655774</v>
      </c>
      <c r="R140" s="262">
        <f t="shared" si="11"/>
        <v>1.1671790272487685</v>
      </c>
    </row>
    <row r="141" spans="1:18">
      <c r="A141" s="258">
        <v>24</v>
      </c>
      <c r="B141" s="263">
        <f t="shared" si="12"/>
        <v>6632.901487386911</v>
      </c>
      <c r="C141" s="260">
        <f t="shared" si="13"/>
        <v>2.9670919482166078</v>
      </c>
      <c r="D141" s="260">
        <f t="shared" si="7"/>
        <v>16539.412961480935</v>
      </c>
      <c r="E141" s="260">
        <f t="shared" si="14"/>
        <v>168756.88167730859</v>
      </c>
      <c r="G141" s="269">
        <f t="shared" si="10"/>
        <v>2.9670919482166078</v>
      </c>
      <c r="H141" s="270"/>
      <c r="I141" s="270"/>
      <c r="J141" s="274">
        <f t="shared" si="8"/>
        <v>16728.364307058717</v>
      </c>
      <c r="K141" s="274">
        <f t="shared" si="5"/>
        <v>2586.2650188278762</v>
      </c>
      <c r="L141" s="275">
        <f t="shared" si="9"/>
        <v>2775.2163644056573</v>
      </c>
      <c r="M141" s="270"/>
      <c r="N141" s="270"/>
      <c r="O141" s="276">
        <f t="shared" si="6"/>
        <v>16539.412961480935</v>
      </c>
      <c r="R141" s="262">
        <f t="shared" si="11"/>
        <v>1.2255379786112071</v>
      </c>
    </row>
    <row r="142" spans="1:18" ht="18.600000000000001" thickBot="1">
      <c r="A142" s="258">
        <v>25</v>
      </c>
      <c r="B142" s="263">
        <f t="shared" si="12"/>
        <v>6573.2053740004285</v>
      </c>
      <c r="C142" s="260">
        <f t="shared" si="13"/>
        <v>3.1154465456274383</v>
      </c>
      <c r="D142" s="260">
        <f t="shared" si="7"/>
        <v>17199.992110261155</v>
      </c>
      <c r="E142" s="260">
        <f t="shared" si="14"/>
        <v>185956.87378756976</v>
      </c>
      <c r="G142" s="277">
        <f t="shared" si="10"/>
        <v>3.1154465456274383</v>
      </c>
      <c r="H142" s="278"/>
      <c r="I142" s="278"/>
      <c r="J142" s="279">
        <f t="shared" si="8"/>
        <v>17406.699479709947</v>
      </c>
      <c r="K142" s="279">
        <f t="shared" si="5"/>
        <v>2691.1380653413466</v>
      </c>
      <c r="L142" s="280">
        <f t="shared" si="9"/>
        <v>2897.8454347901397</v>
      </c>
      <c r="M142" s="278"/>
      <c r="N142" s="278"/>
      <c r="O142" s="281">
        <f t="shared" si="6"/>
        <v>17199.992110261155</v>
      </c>
      <c r="R142" s="262">
        <f t="shared" si="11"/>
        <v>1.2868148775417674</v>
      </c>
    </row>
  </sheetData>
  <sortState xmlns:xlrd2="http://schemas.microsoft.com/office/spreadsheetml/2017/richdata2" ref="K33:K47">
    <sortCondition ref="K33:K47"/>
  </sortState>
  <mergeCells count="26">
    <mergeCell ref="A114:E114"/>
    <mergeCell ref="B5:I6"/>
    <mergeCell ref="E83:I84"/>
    <mergeCell ref="F65:I66"/>
    <mergeCell ref="F69:I71"/>
    <mergeCell ref="F58:I61"/>
    <mergeCell ref="B34:C34"/>
    <mergeCell ref="D34:F34"/>
    <mergeCell ref="B9:D9"/>
    <mergeCell ref="B10:D10"/>
    <mergeCell ref="B11:D11"/>
    <mergeCell ref="B13:D13"/>
    <mergeCell ref="B78:C78"/>
    <mergeCell ref="E9:I9"/>
    <mergeCell ref="C36:D36"/>
    <mergeCell ref="B58:C58"/>
    <mergeCell ref="B56:D56"/>
    <mergeCell ref="B8:I8"/>
    <mergeCell ref="B32:I32"/>
    <mergeCell ref="B74:I74"/>
    <mergeCell ref="F41:I43"/>
    <mergeCell ref="F54:I54"/>
    <mergeCell ref="F55:I55"/>
    <mergeCell ref="B52:I52"/>
    <mergeCell ref="B54:D54"/>
    <mergeCell ref="B55:D55"/>
  </mergeCells>
  <dataValidations count="3">
    <dataValidation type="list" allowBlank="1" showInputMessage="1" showErrorMessage="1" sqref="B2" xr:uid="{00000000-0002-0000-0000-000000000000}">
      <formula1>$K$33:$K$47</formula1>
    </dataValidation>
    <dataValidation type="list" allowBlank="1" showInputMessage="1" showErrorMessage="1" sqref="I2" xr:uid="{00000000-0002-0000-0000-000001000000}">
      <formula1>$L$33:$L$59</formula1>
    </dataValidation>
    <dataValidation type="list" allowBlank="1" showInputMessage="1" showErrorMessage="1" sqref="C98" xr:uid="{37AF1356-BB5E-4A5F-811A-1E7BA4552B95}">
      <formula1>$U$98:$U$99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2000000}">
          <x14:formula1>
            <xm:f>Temperatura!$C$303:$C$329</xm:f>
          </x14:formula1>
          <xm:sqref>E10</xm:sqref>
        </x14:dataValidation>
        <x14:dataValidation type="list" allowBlank="1" showInputMessage="1" showErrorMessage="1" xr:uid="{00000000-0002-0000-0000-000003000000}">
          <x14:formula1>
            <xm:f>Temperatura!$A$8:$A$298</xm:f>
          </x14:formula1>
          <xm:sqref>D34:F34</xm:sqref>
        </x14:dataValidation>
        <x14:dataValidation type="list" allowBlank="1" showInputMessage="1" showErrorMessage="1" xr:uid="{00000000-0002-0000-0000-000004000000}">
          <x14:formula1>
            <xm:f>'Painel e Inversor'!$B$78:$B$84</xm:f>
          </x14:formula1>
          <xm:sqref>E12</xm:sqref>
        </x14:dataValidation>
        <x14:dataValidation type="list" allowBlank="1" showInputMessage="1" showErrorMessage="1" xr:uid="{00000000-0002-0000-0000-000005000000}">
          <x14:formula1>
            <xm:f>'Painel e Inversor'!B78:B84</xm:f>
          </x14:formula1>
          <xm:sqref>E12</xm:sqref>
        </x14:dataValidation>
        <x14:dataValidation type="list" allowBlank="1" showInputMessage="1" showErrorMessage="1" xr:uid="{00000000-0002-0000-0000-000006000000}">
          <x14:formula1>
            <xm:f>Temperatura!A8:A298</xm:f>
          </x14:formula1>
          <xm:sqref>D34:F34</xm:sqref>
        </x14:dataValidation>
        <x14:dataValidation type="list" allowBlank="1" showInputMessage="1" showErrorMessage="1" xr:uid="{00000000-0002-0000-0000-000007000000}">
          <x14:formula1>
            <xm:f>Temperatura!C303:C329</xm:f>
          </x14:formula1>
          <xm:sqref>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>
    <tabColor theme="8" tint="0.39997558519241921"/>
  </sheetPr>
  <dimension ref="A2:T125"/>
  <sheetViews>
    <sheetView showGridLines="0" zoomScale="90" zoomScaleNormal="90" workbookViewId="0">
      <selection activeCell="F12" sqref="F12"/>
    </sheetView>
  </sheetViews>
  <sheetFormatPr defaultColWidth="11" defaultRowHeight="15.6"/>
  <cols>
    <col min="1" max="1" width="91" customWidth="1"/>
    <col min="2" max="2" width="14.5" customWidth="1"/>
    <col min="3" max="3" width="9.5" customWidth="1"/>
    <col min="4" max="4" width="17.3984375" customWidth="1"/>
    <col min="5" max="5" width="15.09765625" customWidth="1"/>
    <col min="6" max="6" width="8.8984375" customWidth="1"/>
    <col min="7" max="7" width="13.09765625" customWidth="1"/>
    <col min="8" max="8" width="26.19921875" customWidth="1"/>
    <col min="9" max="9" width="30.09765625" customWidth="1"/>
    <col min="10" max="18" width="14.3984375" bestFit="1" customWidth="1"/>
  </cols>
  <sheetData>
    <row r="2" spans="1:5" ht="21">
      <c r="A2" s="357" t="s">
        <v>102</v>
      </c>
      <c r="B2" s="358"/>
      <c r="C2" s="358"/>
      <c r="D2" s="359"/>
    </row>
    <row r="3" spans="1:5" ht="16.2" thickBot="1"/>
    <row r="4" spans="1:5" ht="16.2" thickBot="1">
      <c r="A4" s="374" t="s">
        <v>103</v>
      </c>
      <c r="B4" s="374"/>
      <c r="C4" s="374"/>
      <c r="D4" s="374"/>
    </row>
    <row r="5" spans="1:5" ht="16.2" thickBot="1">
      <c r="A5" s="374"/>
      <c r="B5" s="374"/>
      <c r="C5" s="374"/>
      <c r="D5" s="374"/>
    </row>
    <row r="7" spans="1:5">
      <c r="A7" s="136" t="s">
        <v>104</v>
      </c>
      <c r="B7" s="289" t="s">
        <v>835</v>
      </c>
      <c r="C7" s="285"/>
      <c r="D7" s="287" t="s">
        <v>819</v>
      </c>
      <c r="E7" s="286">
        <v>0.2</v>
      </c>
    </row>
    <row r="8" spans="1:5">
      <c r="B8" s="5"/>
    </row>
    <row r="9" spans="1:5">
      <c r="A9" s="60" t="s">
        <v>106</v>
      </c>
      <c r="B9" s="290">
        <f>D68</f>
        <v>-0.52405172486622364</v>
      </c>
      <c r="C9" s="1"/>
      <c r="E9" s="288">
        <f>(B9*E7)+B9</f>
        <v>-0.62886206983946835</v>
      </c>
    </row>
    <row r="10" spans="1:5">
      <c r="B10" s="291"/>
    </row>
    <row r="11" spans="1:5">
      <c r="A11" s="296" t="s">
        <v>107</v>
      </c>
      <c r="B11" s="297">
        <v>12</v>
      </c>
    </row>
    <row r="12" spans="1:5">
      <c r="A12" s="59"/>
      <c r="B12" s="5"/>
      <c r="C12" s="5"/>
    </row>
    <row r="13" spans="1:5">
      <c r="A13" s="60" t="s">
        <v>108</v>
      </c>
      <c r="B13" s="292">
        <f>B11*'Painel e Inversor'!R17</f>
        <v>31.012631999999996</v>
      </c>
    </row>
    <row r="15" spans="1:5" ht="21">
      <c r="A15" s="357" t="s">
        <v>109</v>
      </c>
      <c r="B15" s="358"/>
      <c r="C15" s="358"/>
      <c r="D15" s="359"/>
    </row>
    <row r="16" spans="1:5">
      <c r="C16" s="5"/>
    </row>
    <row r="17" spans="1:10" ht="18">
      <c r="A17" s="60" t="s">
        <v>110</v>
      </c>
      <c r="B17" s="360" t="s">
        <v>855</v>
      </c>
      <c r="C17" s="361"/>
      <c r="D17" s="361"/>
      <c r="E17" s="376">
        <f>VLOOKUP(B17,'Painel e Inversor'!B60:Y87,24,FALSE)</f>
        <v>21</v>
      </c>
      <c r="F17" s="376"/>
      <c r="G17" s="376"/>
      <c r="H17" s="376"/>
      <c r="I17" s="376"/>
    </row>
    <row r="18" spans="1:10" ht="18">
      <c r="A18" s="59"/>
      <c r="B18" s="236"/>
      <c r="C18" s="18"/>
      <c r="D18" s="236"/>
      <c r="E18" s="376">
        <f>VLOOKUP(B17,'Painel e Inversor'!B60:R76,13,FALSE)</f>
        <v>0</v>
      </c>
      <c r="F18" s="376"/>
      <c r="G18" s="376"/>
      <c r="H18" s="376"/>
      <c r="I18" s="376"/>
    </row>
    <row r="19" spans="1:10">
      <c r="A19" s="50" t="s">
        <v>111</v>
      </c>
      <c r="B19" s="293">
        <f>VLOOKUP(B17,'Painel e Inversor'!B60:Q75,8,FALSE)</f>
        <v>0</v>
      </c>
      <c r="E19" s="373"/>
      <c r="F19" s="373"/>
      <c r="G19" s="373"/>
    </row>
    <row r="20" spans="1:10">
      <c r="A20" s="60" t="s">
        <v>112</v>
      </c>
      <c r="B20" s="294">
        <v>1</v>
      </c>
      <c r="C20" s="5"/>
      <c r="E20" s="373"/>
      <c r="F20" s="373"/>
      <c r="G20" s="373"/>
    </row>
    <row r="21" spans="1:10">
      <c r="A21" s="50" t="s">
        <v>113</v>
      </c>
      <c r="B21" s="295">
        <f>B11/B20</f>
        <v>12</v>
      </c>
      <c r="C21" s="371" t="str">
        <f>IF(AND(D112&gt;10000,DADOS!E12&lt;200),"Para inversores 20kW e 12kW Será necessário um Autotransformador 380/220 V  e para inversor 50kW/60kW/30kW será necessário um transformador Isolador, para que consiga utilizar Inversores Trifásicos 380V em sua instalação. ","")</f>
        <v/>
      </c>
      <c r="D21" s="371"/>
      <c r="E21" s="371"/>
      <c r="F21" s="371"/>
      <c r="G21" s="371"/>
      <c r="H21" s="371"/>
      <c r="I21" s="371"/>
      <c r="J21" s="180"/>
    </row>
    <row r="22" spans="1:10" ht="16.5" customHeight="1" thickBot="1">
      <c r="C22" s="372"/>
      <c r="D22" s="372"/>
      <c r="E22" s="372"/>
      <c r="F22" s="372"/>
      <c r="G22" s="372"/>
      <c r="H22" s="372"/>
      <c r="I22" s="372"/>
      <c r="J22" s="180"/>
    </row>
    <row r="23" spans="1:10" ht="18.75" customHeight="1" thickBot="1">
      <c r="A23" s="298">
        <v>0</v>
      </c>
      <c r="B23" s="179">
        <f>D116</f>
        <v>4</v>
      </c>
      <c r="C23" s="375">
        <f>VLOOKUP(B17,'Painel e Inversor'!B60:R76,14,FALSE)</f>
        <v>0</v>
      </c>
      <c r="D23" s="375"/>
      <c r="E23" s="375"/>
      <c r="F23" s="375"/>
      <c r="G23" s="375"/>
      <c r="H23" s="375"/>
      <c r="I23" s="375"/>
      <c r="J23" s="375"/>
    </row>
    <row r="24" spans="1:10" ht="18.75" customHeight="1">
      <c r="A24" s="175"/>
      <c r="B24" s="177"/>
      <c r="C24" s="375"/>
      <c r="D24" s="375"/>
      <c r="E24" s="375"/>
      <c r="F24" s="375"/>
      <c r="G24" s="375"/>
      <c r="H24" s="375"/>
      <c r="I24" s="375"/>
      <c r="J24" s="375"/>
    </row>
    <row r="25" spans="1:10" ht="29.25" customHeight="1">
      <c r="C25" s="375" t="s">
        <v>114</v>
      </c>
      <c r="D25" s="375"/>
      <c r="E25" s="375"/>
      <c r="F25" s="375"/>
      <c r="G25" s="375"/>
      <c r="H25" s="375"/>
      <c r="I25" s="375"/>
      <c r="J25" s="180"/>
    </row>
    <row r="26" spans="1:10" ht="18.75" customHeight="1">
      <c r="C26" s="178"/>
      <c r="D26" s="178"/>
      <c r="E26" s="178"/>
      <c r="F26" s="178"/>
      <c r="G26" s="178"/>
      <c r="H26" s="178"/>
      <c r="I26" s="178"/>
    </row>
    <row r="27" spans="1:10">
      <c r="B27" s="137" t="s">
        <v>115</v>
      </c>
      <c r="C27" s="137" t="s">
        <v>116</v>
      </c>
      <c r="D27" s="370" t="s">
        <v>117</v>
      </c>
      <c r="E27" s="370"/>
      <c r="F27" s="370"/>
      <c r="G27" s="370"/>
      <c r="H27" s="370"/>
      <c r="I27" s="370"/>
      <c r="J27" s="370"/>
    </row>
    <row r="28" spans="1:10">
      <c r="A28" s="50" t="s">
        <v>118</v>
      </c>
      <c r="B28" s="138">
        <f>D112*B20</f>
        <v>11550</v>
      </c>
      <c r="C28" s="138">
        <f>D85</f>
        <v>6540</v>
      </c>
      <c r="D28" s="364" t="str">
        <f>IF(C28&lt;=D112*B20,"OK","ERRO: Maior que a Potência Máxima do inversor - reduza a quantidade de painéis por entrada do inversor")</f>
        <v>OK</v>
      </c>
      <c r="E28" s="365"/>
      <c r="F28" s="365"/>
      <c r="G28" s="365"/>
      <c r="H28" s="365"/>
      <c r="I28" s="365"/>
      <c r="J28" s="366"/>
    </row>
    <row r="29" spans="1:10">
      <c r="A29" s="50" t="s">
        <v>119</v>
      </c>
      <c r="B29" s="139">
        <f>'Resumo dos Cálculos'!N37</f>
        <v>-30</v>
      </c>
      <c r="C29" s="139">
        <f>'Resumo dos Cálculos'!N35</f>
        <v>686.68030830708847</v>
      </c>
      <c r="D29" s="367" t="str">
        <f>IF(C29/B29-1&lt;=5%,"OK","ATENÇÃO: Energia GERADA MAIOR que a COMPENSÁVEL - Verifique e, se necessário, reduza a quantidade de painéis")</f>
        <v>OK</v>
      </c>
      <c r="E29" s="368"/>
      <c r="F29" s="368"/>
      <c r="G29" s="368"/>
      <c r="H29" s="368"/>
      <c r="I29" s="368"/>
      <c r="J29" s="369"/>
    </row>
    <row r="32" spans="1:10">
      <c r="A32" s="363" t="s">
        <v>120</v>
      </c>
      <c r="B32" s="363"/>
      <c r="C32" s="363"/>
      <c r="D32" s="363"/>
    </row>
    <row r="38" spans="1:19" ht="21">
      <c r="A38" s="362" t="s">
        <v>121</v>
      </c>
      <c r="B38" s="362"/>
      <c r="C38" s="362"/>
      <c r="D38" s="362"/>
      <c r="E38" s="362"/>
      <c r="F38" s="362"/>
      <c r="G38" s="362"/>
      <c r="H38" s="362"/>
      <c r="I38" s="362"/>
      <c r="J38" s="362"/>
      <c r="K38" s="362"/>
      <c r="L38" s="362"/>
      <c r="M38" s="362"/>
      <c r="N38" s="362"/>
      <c r="O38" s="362"/>
      <c r="P38" s="362"/>
      <c r="Q38" s="362"/>
      <c r="R38" s="362"/>
    </row>
    <row r="40" spans="1:19">
      <c r="A40" s="6"/>
      <c r="B40" s="6"/>
      <c r="C40" s="6"/>
      <c r="D40" s="6"/>
      <c r="F40" s="6" t="s">
        <v>122</v>
      </c>
      <c r="G40" s="6" t="s">
        <v>123</v>
      </c>
      <c r="H40" s="6" t="s">
        <v>124</v>
      </c>
      <c r="I40" s="6" t="s">
        <v>125</v>
      </c>
      <c r="J40" s="6" t="s">
        <v>126</v>
      </c>
      <c r="K40" s="6" t="s">
        <v>127</v>
      </c>
      <c r="L40" s="6" t="s">
        <v>128</v>
      </c>
      <c r="M40" s="6" t="s">
        <v>129</v>
      </c>
      <c r="N40" s="6" t="s">
        <v>130</v>
      </c>
      <c r="O40" s="6" t="s">
        <v>131</v>
      </c>
      <c r="P40" s="6" t="s">
        <v>132</v>
      </c>
      <c r="Q40" s="6" t="s">
        <v>133</v>
      </c>
      <c r="R40" s="6" t="s">
        <v>50</v>
      </c>
      <c r="S40" s="6" t="s">
        <v>49</v>
      </c>
    </row>
    <row r="41" spans="1:19">
      <c r="A41" s="50" t="s">
        <v>134</v>
      </c>
      <c r="B41" s="7"/>
      <c r="C41" s="8" t="s">
        <v>135</v>
      </c>
      <c r="D41" s="7"/>
      <c r="F41" s="8">
        <f>'Dados compilados'!C12</f>
        <v>-30</v>
      </c>
      <c r="G41" s="8">
        <f>'Dados compilados'!D12</f>
        <v>-30</v>
      </c>
      <c r="H41" s="8">
        <f>'Dados compilados'!E12</f>
        <v>-30</v>
      </c>
      <c r="I41" s="8">
        <f>'Dados compilados'!F12</f>
        <v>-30</v>
      </c>
      <c r="J41" s="8">
        <f>'Dados compilados'!G12</f>
        <v>-30</v>
      </c>
      <c r="K41" s="8">
        <f>'Dados compilados'!H12</f>
        <v>-30</v>
      </c>
      <c r="L41" s="8">
        <f>'Dados compilados'!I12</f>
        <v>-30</v>
      </c>
      <c r="M41" s="8">
        <f>'Dados compilados'!J12</f>
        <v>-30</v>
      </c>
      <c r="N41" s="8">
        <f>'Dados compilados'!K12</f>
        <v>-30</v>
      </c>
      <c r="O41" s="8">
        <f>'Dados compilados'!L12</f>
        <v>-30</v>
      </c>
      <c r="P41" s="8">
        <f>'Dados compilados'!M12</f>
        <v>-30</v>
      </c>
      <c r="Q41" s="8">
        <f>'Dados compilados'!N12</f>
        <v>-30</v>
      </c>
      <c r="R41" s="129">
        <f>AVERAGE(F41:Q41)</f>
        <v>-30</v>
      </c>
      <c r="S41" s="129">
        <f>SUM(F41:Q41)</f>
        <v>-360</v>
      </c>
    </row>
    <row r="42" spans="1:19">
      <c r="A42" s="50" t="s">
        <v>136</v>
      </c>
      <c r="B42" s="7"/>
      <c r="C42" s="8"/>
      <c r="D42" s="7"/>
      <c r="F42" s="8">
        <v>31</v>
      </c>
      <c r="G42" s="8">
        <v>28</v>
      </c>
      <c r="H42" s="8">
        <v>31</v>
      </c>
      <c r="I42" s="8">
        <v>30</v>
      </c>
      <c r="J42" s="8">
        <v>31</v>
      </c>
      <c r="K42" s="8">
        <v>30</v>
      </c>
      <c r="L42" s="8">
        <v>31</v>
      </c>
      <c r="M42" s="8">
        <v>31</v>
      </c>
      <c r="N42" s="8">
        <v>30</v>
      </c>
      <c r="O42" s="8">
        <v>31</v>
      </c>
      <c r="P42" s="8">
        <v>30</v>
      </c>
      <c r="Q42" s="8">
        <v>31</v>
      </c>
      <c r="R42" s="126"/>
    </row>
    <row r="43" spans="1:19">
      <c r="A43" s="50" t="s">
        <v>137</v>
      </c>
      <c r="B43" s="7"/>
      <c r="C43" s="8" t="s">
        <v>138</v>
      </c>
      <c r="D43" s="10"/>
      <c r="F43" s="129">
        <f>F41/F42</f>
        <v>-0.967741935483871</v>
      </c>
      <c r="G43" s="129">
        <f t="shared" ref="G43:Q43" si="0">G41/G42</f>
        <v>-1.0714285714285714</v>
      </c>
      <c r="H43" s="129">
        <f t="shared" si="0"/>
        <v>-0.967741935483871</v>
      </c>
      <c r="I43" s="129">
        <f t="shared" si="0"/>
        <v>-1</v>
      </c>
      <c r="J43" s="129">
        <f t="shared" si="0"/>
        <v>-0.967741935483871</v>
      </c>
      <c r="K43" s="129">
        <f t="shared" si="0"/>
        <v>-1</v>
      </c>
      <c r="L43" s="129">
        <f t="shared" si="0"/>
        <v>-0.967741935483871</v>
      </c>
      <c r="M43" s="129">
        <f t="shared" si="0"/>
        <v>-0.967741935483871</v>
      </c>
      <c r="N43" s="129">
        <f t="shared" si="0"/>
        <v>-1</v>
      </c>
      <c r="O43" s="129">
        <f t="shared" si="0"/>
        <v>-0.967741935483871</v>
      </c>
      <c r="P43" s="129">
        <f t="shared" si="0"/>
        <v>-1</v>
      </c>
      <c r="Q43" s="129">
        <f t="shared" si="0"/>
        <v>-0.967741935483871</v>
      </c>
      <c r="R43" s="129">
        <f>AVERAGE(F43:Q43)</f>
        <v>-0.98713517665130579</v>
      </c>
    </row>
    <row r="44" spans="1:19">
      <c r="C44" s="5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9" ht="21">
      <c r="A45" s="357" t="s">
        <v>139</v>
      </c>
      <c r="B45" s="358"/>
      <c r="C45" s="358"/>
      <c r="D45" s="359"/>
      <c r="F45" s="127">
        <v>11</v>
      </c>
      <c r="G45" s="127">
        <v>11</v>
      </c>
      <c r="H45" s="127">
        <v>10</v>
      </c>
      <c r="I45" s="127">
        <v>10</v>
      </c>
      <c r="J45" s="127">
        <v>10</v>
      </c>
      <c r="K45" s="127">
        <v>9</v>
      </c>
      <c r="L45" s="127">
        <v>9</v>
      </c>
      <c r="M45" s="127">
        <v>9</v>
      </c>
      <c r="N45" s="127">
        <v>10</v>
      </c>
      <c r="O45" s="127">
        <v>10</v>
      </c>
      <c r="P45" s="127">
        <v>11</v>
      </c>
      <c r="Q45" s="127">
        <v>11</v>
      </c>
      <c r="R45" s="127"/>
    </row>
    <row r="46" spans="1:19">
      <c r="C46" s="5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</row>
    <row r="47" spans="1:19">
      <c r="A47" s="61" t="s">
        <v>140</v>
      </c>
      <c r="B47" s="7" t="s">
        <v>141</v>
      </c>
      <c r="C47" s="8" t="s">
        <v>142</v>
      </c>
      <c r="D47" s="7"/>
      <c r="F47" s="128">
        <f>'Dados compilados'!C20</f>
        <v>5.72715</v>
      </c>
      <c r="G47" s="128">
        <f>'Dados compilados'!D20</f>
        <v>5.5375799999999993</v>
      </c>
      <c r="H47" s="128">
        <f>'Dados compilados'!E20</f>
        <v>4.9519600000000006</v>
      </c>
      <c r="I47" s="128">
        <f>'Dados compilados'!F20</f>
        <v>4.1233699999999995</v>
      </c>
      <c r="J47" s="128">
        <f>'Dados compilados'!G20</f>
        <v>3.2004400000000004</v>
      </c>
      <c r="K47" s="128">
        <f>'Dados compilados'!H20</f>
        <v>2.68424</v>
      </c>
      <c r="L47" s="128">
        <f>'Dados compilados'!I20</f>
        <v>2.9423399999999997</v>
      </c>
      <c r="M47" s="128">
        <f>'Dados compilados'!J20</f>
        <v>3.6223000000000005</v>
      </c>
      <c r="N47" s="128">
        <f>'Dados compilados'!K20</f>
        <v>3.8679399999999999</v>
      </c>
      <c r="O47" s="128">
        <f>'Dados compilados'!L20</f>
        <v>4.7205599999999999</v>
      </c>
      <c r="P47" s="128">
        <f>'Dados compilados'!M20</f>
        <v>5.5509300000000001</v>
      </c>
      <c r="Q47" s="128">
        <f>'Dados compilados'!N20</f>
        <v>5.7841100000000001</v>
      </c>
      <c r="R47" s="128"/>
    </row>
    <row r="48" spans="1:19">
      <c r="A48" s="50" t="s">
        <v>143</v>
      </c>
      <c r="B48" s="7"/>
      <c r="C48" s="8" t="s">
        <v>144</v>
      </c>
      <c r="D48" s="7"/>
      <c r="F48" s="129">
        <f>F47</f>
        <v>5.72715</v>
      </c>
      <c r="G48" s="129">
        <f t="shared" ref="G48:Q48" si="1">G47</f>
        <v>5.5375799999999993</v>
      </c>
      <c r="H48" s="129">
        <f t="shared" si="1"/>
        <v>4.9519600000000006</v>
      </c>
      <c r="I48" s="129">
        <f t="shared" si="1"/>
        <v>4.1233699999999995</v>
      </c>
      <c r="J48" s="129">
        <f t="shared" si="1"/>
        <v>3.2004400000000004</v>
      </c>
      <c r="K48" s="129">
        <f t="shared" si="1"/>
        <v>2.68424</v>
      </c>
      <c r="L48" s="129">
        <f t="shared" si="1"/>
        <v>2.9423399999999997</v>
      </c>
      <c r="M48" s="129">
        <f t="shared" si="1"/>
        <v>3.6223000000000005</v>
      </c>
      <c r="N48" s="129">
        <f t="shared" si="1"/>
        <v>3.8679399999999999</v>
      </c>
      <c r="O48" s="129">
        <f t="shared" si="1"/>
        <v>4.7205599999999999</v>
      </c>
      <c r="P48" s="129">
        <f t="shared" si="1"/>
        <v>5.5509300000000001</v>
      </c>
      <c r="Q48" s="129">
        <f t="shared" si="1"/>
        <v>5.7841100000000001</v>
      </c>
      <c r="R48" s="128"/>
    </row>
    <row r="49" spans="1:20">
      <c r="A49" s="50" t="s">
        <v>145</v>
      </c>
      <c r="B49" s="7"/>
      <c r="C49" s="8" t="s">
        <v>146</v>
      </c>
      <c r="D49" s="7"/>
      <c r="F49" s="129">
        <f t="shared" ref="F49:Q49" si="2">F47/F48*1000</f>
        <v>1000</v>
      </c>
      <c r="G49" s="129">
        <f t="shared" si="2"/>
        <v>1000</v>
      </c>
      <c r="H49" s="129">
        <f t="shared" si="2"/>
        <v>1000</v>
      </c>
      <c r="I49" s="129">
        <f t="shared" si="2"/>
        <v>1000</v>
      </c>
      <c r="J49" s="129">
        <f t="shared" si="2"/>
        <v>1000</v>
      </c>
      <c r="K49" s="129">
        <f t="shared" si="2"/>
        <v>1000</v>
      </c>
      <c r="L49" s="129">
        <f t="shared" si="2"/>
        <v>1000</v>
      </c>
      <c r="M49" s="129">
        <f t="shared" si="2"/>
        <v>1000</v>
      </c>
      <c r="N49" s="129">
        <f t="shared" si="2"/>
        <v>1000</v>
      </c>
      <c r="O49" s="129">
        <f t="shared" si="2"/>
        <v>1000</v>
      </c>
      <c r="P49" s="129">
        <f t="shared" si="2"/>
        <v>1000</v>
      </c>
      <c r="Q49" s="129">
        <f t="shared" si="2"/>
        <v>1000</v>
      </c>
      <c r="R49" s="128"/>
    </row>
    <row r="50" spans="1:20">
      <c r="A50" s="50" t="s">
        <v>147</v>
      </c>
      <c r="B50" s="7"/>
      <c r="C50" s="8" t="s">
        <v>148</v>
      </c>
      <c r="D50" s="7"/>
      <c r="F50" s="129">
        <f>Temperatura!$T3</f>
        <v>24.9</v>
      </c>
      <c r="G50" s="129">
        <f>Temperatura!$T4</f>
        <v>24.4</v>
      </c>
      <c r="H50" s="129">
        <f>Temperatura!$T5</f>
        <v>22.6</v>
      </c>
      <c r="I50" s="129">
        <f>Temperatura!$T6</f>
        <v>19.399999999999999</v>
      </c>
      <c r="J50" s="129">
        <f>Temperatura!$T7</f>
        <v>16.5</v>
      </c>
      <c r="K50" s="129">
        <f>Temperatura!$T8</f>
        <v>14.2</v>
      </c>
      <c r="L50" s="129">
        <f>Temperatura!$T9</f>
        <v>14.6</v>
      </c>
      <c r="M50" s="129">
        <f>Temperatura!$T10</f>
        <v>16.2</v>
      </c>
      <c r="N50" s="129">
        <f>Temperatura!$T11</f>
        <v>17.399999999999999</v>
      </c>
      <c r="O50" s="129">
        <f>Temperatura!$T12</f>
        <v>19.899999999999999</v>
      </c>
      <c r="P50" s="129">
        <f>Temperatura!$T13</f>
        <v>22.5</v>
      </c>
      <c r="Q50" s="129">
        <f>Temperatura!$T14</f>
        <v>24.2</v>
      </c>
      <c r="R50" s="128"/>
    </row>
    <row r="51" spans="1:20">
      <c r="A51" s="50" t="s">
        <v>149</v>
      </c>
      <c r="B51" s="7" t="s">
        <v>150</v>
      </c>
      <c r="C51" s="8">
        <f>'Painel e Inversor'!E14</f>
        <v>45</v>
      </c>
      <c r="D51" s="7"/>
      <c r="F51" s="129">
        <f>F50+F49*(($C$51-20)/800)*0.9</f>
        <v>53.024999999999999</v>
      </c>
      <c r="G51" s="129">
        <f t="shared" ref="G51:Q51" si="3">G50+G49*(($C$51-20)/800)*0.9</f>
        <v>52.524999999999999</v>
      </c>
      <c r="H51" s="129">
        <f t="shared" si="3"/>
        <v>50.725000000000001</v>
      </c>
      <c r="I51" s="129">
        <f t="shared" si="3"/>
        <v>47.524999999999999</v>
      </c>
      <c r="J51" s="129">
        <f t="shared" si="3"/>
        <v>44.625</v>
      </c>
      <c r="K51" s="129">
        <f t="shared" si="3"/>
        <v>42.325000000000003</v>
      </c>
      <c r="L51" s="129">
        <f t="shared" si="3"/>
        <v>42.725000000000001</v>
      </c>
      <c r="M51" s="129">
        <f t="shared" si="3"/>
        <v>44.325000000000003</v>
      </c>
      <c r="N51" s="129">
        <f t="shared" si="3"/>
        <v>45.524999999999999</v>
      </c>
      <c r="O51" s="129">
        <f t="shared" si="3"/>
        <v>48.024999999999999</v>
      </c>
      <c r="P51" s="129">
        <f t="shared" si="3"/>
        <v>50.625</v>
      </c>
      <c r="Q51" s="129">
        <f t="shared" si="3"/>
        <v>52.325000000000003</v>
      </c>
      <c r="R51" s="128"/>
    </row>
    <row r="52" spans="1:20">
      <c r="A52" s="234" t="s">
        <v>151</v>
      </c>
      <c r="B52" s="53" t="s">
        <v>152</v>
      </c>
      <c r="C52" s="58">
        <f>'Painel e Inversor'!R12/100*-1</f>
        <v>3.4999999999999996E-3</v>
      </c>
      <c r="D52" s="53">
        <f>IF(B7="340W",340,IF(B7="410W",410,IF(B7="400W",400,IF(B7="365W",365,IF(B7="420W",420,IF(B7="405W",405,IF(B7="415W",415,IF(B7="440W",440,IF(B7="535W",535,IF(B7="450W",450,IF(B7="445W",445,IF(B7="540W",540,IF(B7="545W",545)))))))))))))</f>
        <v>545</v>
      </c>
      <c r="F52" s="125">
        <f>$D$52*(1-$C$52*(F51-25))</f>
        <v>491.54231249999998</v>
      </c>
      <c r="G52" s="125">
        <f t="shared" ref="G52:Q52" si="4">$D$52*(1-$C$52*(G51-25))</f>
        <v>492.49606249999999</v>
      </c>
      <c r="H52" s="125">
        <f t="shared" si="4"/>
        <v>495.92956250000003</v>
      </c>
      <c r="I52" s="125">
        <f t="shared" si="4"/>
        <v>502.03356250000002</v>
      </c>
      <c r="J52" s="125">
        <f t="shared" si="4"/>
        <v>507.5653125</v>
      </c>
      <c r="K52" s="125">
        <f t="shared" si="4"/>
        <v>511.9525625</v>
      </c>
      <c r="L52" s="125">
        <f t="shared" si="4"/>
        <v>511.18956250000002</v>
      </c>
      <c r="M52" s="125">
        <f t="shared" si="4"/>
        <v>508.1375625</v>
      </c>
      <c r="N52" s="125">
        <f t="shared" si="4"/>
        <v>505.84856250000001</v>
      </c>
      <c r="O52" s="125">
        <f t="shared" si="4"/>
        <v>501.0798125</v>
      </c>
      <c r="P52" s="125">
        <f t="shared" si="4"/>
        <v>496.12031250000001</v>
      </c>
      <c r="Q52" s="125">
        <f t="shared" si="4"/>
        <v>492.87756249999995</v>
      </c>
      <c r="R52" s="125">
        <f>AVERAGE(F52:Q52)</f>
        <v>501.39772916666675</v>
      </c>
    </row>
    <row r="53" spans="1:20">
      <c r="A53" s="141"/>
      <c r="B53" s="17"/>
      <c r="C53" s="77"/>
      <c r="D53" s="17"/>
      <c r="F53" s="143">
        <f>F52/$D$52</f>
        <v>0.90191250000000001</v>
      </c>
      <c r="G53" s="143">
        <f t="shared" ref="G53:Q53" si="5">G52/$D$52</f>
        <v>0.90366250000000004</v>
      </c>
      <c r="H53" s="143">
        <f t="shared" si="5"/>
        <v>0.90996250000000001</v>
      </c>
      <c r="I53" s="143">
        <f t="shared" si="5"/>
        <v>0.9211625</v>
      </c>
      <c r="J53" s="143">
        <f t="shared" si="5"/>
        <v>0.93131249999999999</v>
      </c>
      <c r="K53" s="143">
        <f t="shared" si="5"/>
        <v>0.93936249999999999</v>
      </c>
      <c r="L53" s="143">
        <f t="shared" si="5"/>
        <v>0.93796250000000003</v>
      </c>
      <c r="M53" s="143">
        <f t="shared" si="5"/>
        <v>0.93236249999999998</v>
      </c>
      <c r="N53" s="143">
        <f t="shared" si="5"/>
        <v>0.9281625</v>
      </c>
      <c r="O53" s="143">
        <f t="shared" si="5"/>
        <v>0.91941249999999997</v>
      </c>
      <c r="P53" s="143">
        <f t="shared" si="5"/>
        <v>0.91031249999999997</v>
      </c>
      <c r="Q53" s="143">
        <f t="shared" si="5"/>
        <v>0.90436249999999996</v>
      </c>
      <c r="R53" s="142"/>
    </row>
    <row r="54" spans="1:20">
      <c r="A54" s="141"/>
      <c r="B54" s="17"/>
      <c r="C54" s="77"/>
      <c r="D54" s="17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</row>
    <row r="55" spans="1:20">
      <c r="C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20" ht="21">
      <c r="A56" s="357" t="s">
        <v>153</v>
      </c>
      <c r="B56" s="358"/>
      <c r="C56" s="358"/>
      <c r="D56" s="35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20">
      <c r="C57" s="5"/>
      <c r="F57" s="6" t="s">
        <v>122</v>
      </c>
      <c r="G57" s="6" t="s">
        <v>123</v>
      </c>
      <c r="H57" s="6" t="s">
        <v>124</v>
      </c>
      <c r="I57" s="6" t="s">
        <v>125</v>
      </c>
      <c r="J57" s="6" t="s">
        <v>126</v>
      </c>
      <c r="K57" s="6" t="s">
        <v>127</v>
      </c>
      <c r="L57" s="6" t="s">
        <v>128</v>
      </c>
      <c r="M57" s="6" t="s">
        <v>129</v>
      </c>
      <c r="N57" s="6" t="s">
        <v>130</v>
      </c>
      <c r="O57" s="6" t="s">
        <v>131</v>
      </c>
      <c r="P57" s="6" t="s">
        <v>132</v>
      </c>
      <c r="Q57" s="6" t="s">
        <v>133</v>
      </c>
      <c r="R57" s="6" t="s">
        <v>50</v>
      </c>
      <c r="S57" s="6" t="s">
        <v>154</v>
      </c>
      <c r="T57" s="6" t="s">
        <v>155</v>
      </c>
    </row>
    <row r="58" spans="1:20">
      <c r="A58" s="144" t="s">
        <v>156</v>
      </c>
      <c r="B58" s="8"/>
      <c r="C58" s="8" t="s">
        <v>157</v>
      </c>
      <c r="D58" s="51">
        <v>0.1</v>
      </c>
      <c r="F58" s="158">
        <f>F52*(1-$D$58)</f>
        <v>442.38808124999997</v>
      </c>
      <c r="G58" s="158">
        <f t="shared" ref="G58:Q58" si="6">G52*(1-$D$58)</f>
        <v>443.24645624999999</v>
      </c>
      <c r="H58" s="158">
        <f t="shared" si="6"/>
        <v>446.33660625000005</v>
      </c>
      <c r="I58" s="158">
        <f t="shared" si="6"/>
        <v>451.83020625</v>
      </c>
      <c r="J58" s="158">
        <f t="shared" si="6"/>
        <v>456.80878125000004</v>
      </c>
      <c r="K58" s="158">
        <f t="shared" si="6"/>
        <v>460.75730625</v>
      </c>
      <c r="L58" s="158">
        <f t="shared" si="6"/>
        <v>460.07060625000003</v>
      </c>
      <c r="M58" s="158">
        <f t="shared" si="6"/>
        <v>457.32380625000002</v>
      </c>
      <c r="N58" s="158">
        <f t="shared" si="6"/>
        <v>455.26370625000004</v>
      </c>
      <c r="O58" s="158">
        <f t="shared" si="6"/>
        <v>450.97183125000004</v>
      </c>
      <c r="P58" s="158">
        <f t="shared" si="6"/>
        <v>446.50828125000004</v>
      </c>
      <c r="Q58" s="158">
        <f t="shared" si="6"/>
        <v>443.58980624999998</v>
      </c>
      <c r="R58" s="158">
        <f>AVERAGE(F58:Q58)</f>
        <v>451.25795625000001</v>
      </c>
      <c r="S58" s="158">
        <f>MIN(F58:Q58)</f>
        <v>442.38808124999997</v>
      </c>
      <c r="T58" s="158">
        <f>MAX(F58:Q58)</f>
        <v>460.75730625</v>
      </c>
    </row>
    <row r="59" spans="1:20">
      <c r="A59" s="16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165" t="s">
        <v>158</v>
      </c>
      <c r="B60" s="165"/>
      <c r="C60" s="166"/>
      <c r="D60" s="165">
        <v>1.03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161" t="s">
        <v>159</v>
      </c>
      <c r="B61" s="162"/>
      <c r="C61" s="162" t="s">
        <v>160</v>
      </c>
      <c r="D61" s="163"/>
      <c r="F61" s="159">
        <f>F58*F47*F42/1000</f>
        <v>78.542309885459062</v>
      </c>
      <c r="G61" s="159">
        <f t="shared" ref="G61:Q61" si="7">G58*G47*G42/1000</f>
        <v>68.726355913624488</v>
      </c>
      <c r="H61" s="159">
        <f t="shared" si="7"/>
        <v>68.517471641258268</v>
      </c>
      <c r="I61" s="159">
        <f t="shared" si="7"/>
        <v>55.891893526351872</v>
      </c>
      <c r="J61" s="159">
        <f t="shared" si="7"/>
        <v>45.321661971776258</v>
      </c>
      <c r="K61" s="159">
        <f t="shared" si="7"/>
        <v>37.103495751855</v>
      </c>
      <c r="L61" s="159">
        <f t="shared" si="7"/>
        <v>41.964208575402374</v>
      </c>
      <c r="M61" s="159">
        <f t="shared" si="7"/>
        <v>51.353484724760641</v>
      </c>
      <c r="N61" s="159">
        <f t="shared" si="7"/>
        <v>52.827980998578759</v>
      </c>
      <c r="O61" s="159">
        <f t="shared" si="7"/>
        <v>65.994027219490505</v>
      </c>
      <c r="P61" s="159">
        <f t="shared" si="7"/>
        <v>74.35608640917188</v>
      </c>
      <c r="Q61" s="159">
        <f t="shared" si="7"/>
        <v>79.538939261089311</v>
      </c>
      <c r="R61" s="158">
        <f>AVERAGE(F61:Q61)</f>
        <v>60.011492989901541</v>
      </c>
      <c r="S61" s="158">
        <f>MIN(F61:Q61)</f>
        <v>37.103495751855</v>
      </c>
      <c r="T61" s="158">
        <f>MAX(F61:Q61)</f>
        <v>79.538939261089311</v>
      </c>
    </row>
    <row r="62" spans="1:20">
      <c r="C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144" t="s">
        <v>161</v>
      </c>
      <c r="B63" s="8"/>
      <c r="C63" s="8" t="s">
        <v>162</v>
      </c>
      <c r="D63" s="52">
        <f>1- VLOOKUP($B$17,'Painel e Inversor'!$B$60:$K$76,5,0)/100</f>
        <v>2.7000000000000024E-2</v>
      </c>
      <c r="F63" s="158">
        <f>F58*(1-$D$63)</f>
        <v>430.44360305624997</v>
      </c>
      <c r="G63" s="158">
        <f t="shared" ref="G63:Q63" si="8">G58*(1-$D$63)</f>
        <v>431.27880193124997</v>
      </c>
      <c r="H63" s="158">
        <f t="shared" si="8"/>
        <v>434.28551788125003</v>
      </c>
      <c r="I63" s="158">
        <f t="shared" si="8"/>
        <v>439.63079068125001</v>
      </c>
      <c r="J63" s="158">
        <f t="shared" si="8"/>
        <v>444.47494415625005</v>
      </c>
      <c r="K63" s="158">
        <f t="shared" si="8"/>
        <v>448.31685898124999</v>
      </c>
      <c r="L63" s="158">
        <f t="shared" si="8"/>
        <v>447.64869988125002</v>
      </c>
      <c r="M63" s="158">
        <f t="shared" si="8"/>
        <v>444.97606348124998</v>
      </c>
      <c r="N63" s="158">
        <f t="shared" si="8"/>
        <v>442.97158618125002</v>
      </c>
      <c r="O63" s="158">
        <f t="shared" si="8"/>
        <v>438.79559180625</v>
      </c>
      <c r="P63" s="158">
        <f t="shared" si="8"/>
        <v>434.45255765625001</v>
      </c>
      <c r="Q63" s="158">
        <f t="shared" si="8"/>
        <v>431.61288148124999</v>
      </c>
      <c r="R63" s="158">
        <f>AVERAGE(F63:Q63)</f>
        <v>439.07399143125002</v>
      </c>
      <c r="S63" s="158">
        <f>MIN(F63:Q63)</f>
        <v>430.44360305624997</v>
      </c>
      <c r="T63" s="158">
        <f>MAX(F63:Q63)</f>
        <v>448.31685898124999</v>
      </c>
    </row>
    <row r="64" spans="1:20">
      <c r="C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20">
      <c r="A65" s="144" t="s">
        <v>163</v>
      </c>
      <c r="B65" s="8"/>
      <c r="C65" s="8" t="s">
        <v>160</v>
      </c>
      <c r="D65" s="52"/>
      <c r="F65" s="159">
        <f>F63*F47*F42/1000</f>
        <v>76.421667518551672</v>
      </c>
      <c r="G65" s="159">
        <f t="shared" ref="G65:Q65" si="9">G63*G47*G42/1000</f>
        <v>66.870744303956627</v>
      </c>
      <c r="H65" s="159">
        <f t="shared" si="9"/>
        <v>66.667499906944286</v>
      </c>
      <c r="I65" s="159">
        <f t="shared" si="9"/>
        <v>54.382812401140363</v>
      </c>
      <c r="J65" s="159">
        <f t="shared" si="9"/>
        <v>44.097977098538301</v>
      </c>
      <c r="K65" s="159">
        <f t="shared" si="9"/>
        <v>36.10170136655492</v>
      </c>
      <c r="L65" s="159">
        <f t="shared" si="9"/>
        <v>40.831174943866507</v>
      </c>
      <c r="M65" s="159">
        <f t="shared" si="9"/>
        <v>49.966940637192096</v>
      </c>
      <c r="N65" s="159">
        <f t="shared" si="9"/>
        <v>51.401625511617134</v>
      </c>
      <c r="O65" s="159">
        <f t="shared" si="9"/>
        <v>64.212188484564265</v>
      </c>
      <c r="P65" s="159">
        <f t="shared" si="9"/>
        <v>72.348472076124239</v>
      </c>
      <c r="Q65" s="159">
        <f t="shared" si="9"/>
        <v>77.391387901039906</v>
      </c>
      <c r="R65" s="158">
        <f>AVERAGE(F65:Q65)</f>
        <v>58.3911826791742</v>
      </c>
      <c r="S65" s="158">
        <f>MIN(F65:Q65)</f>
        <v>36.10170136655492</v>
      </c>
      <c r="T65" s="158">
        <f>MAX(F65:Q65)</f>
        <v>77.391387901039906</v>
      </c>
    </row>
    <row r="66" spans="1:20">
      <c r="C66" s="5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</row>
    <row r="67" spans="1:20">
      <c r="A67" s="153" t="s">
        <v>164</v>
      </c>
      <c r="B67" s="154"/>
      <c r="C67" s="155" t="s">
        <v>165</v>
      </c>
      <c r="D67" s="156"/>
      <c r="F67" s="157">
        <f>F41/F65</f>
        <v>-0.39255882492641736</v>
      </c>
      <c r="G67" s="157">
        <f t="shared" ref="G67:Q67" si="10">G41/G65</f>
        <v>-0.44862667990708982</v>
      </c>
      <c r="H67" s="157">
        <f t="shared" si="10"/>
        <v>-0.44999437569842199</v>
      </c>
      <c r="I67" s="157">
        <f t="shared" si="10"/>
        <v>-0.55164487961220121</v>
      </c>
      <c r="J67" s="157">
        <f t="shared" si="10"/>
        <v>-0.68030331488821061</v>
      </c>
      <c r="K67" s="157">
        <f t="shared" si="10"/>
        <v>-0.83098576699746307</v>
      </c>
      <c r="L67" s="157">
        <f t="shared" si="10"/>
        <v>-0.73473271443310439</v>
      </c>
      <c r="M67" s="157">
        <f t="shared" si="10"/>
        <v>-0.60039697482839238</v>
      </c>
      <c r="N67" s="157">
        <f t="shared" si="10"/>
        <v>-0.58363913011310875</v>
      </c>
      <c r="O67" s="157">
        <f t="shared" si="10"/>
        <v>-0.46720102067867675</v>
      </c>
      <c r="P67" s="157">
        <f t="shared" si="10"/>
        <v>-0.41465975906767377</v>
      </c>
      <c r="Q67" s="157">
        <f t="shared" si="10"/>
        <v>-0.38764003093420285</v>
      </c>
    </row>
    <row r="68" spans="1:20">
      <c r="A68" s="146" t="s">
        <v>166</v>
      </c>
      <c r="B68" s="53"/>
      <c r="C68" s="58" t="s">
        <v>165</v>
      </c>
      <c r="D68" s="140">
        <f>(R41/R65)*(1+(1-B93))</f>
        <v>-0.52405172486622364</v>
      </c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2"/>
    </row>
    <row r="69" spans="1:20">
      <c r="C69" s="5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</row>
    <row r="70" spans="1:20">
      <c r="A70" s="144" t="s">
        <v>167</v>
      </c>
      <c r="B70" s="7"/>
      <c r="C70" s="9"/>
      <c r="D70" s="134">
        <f>B11</f>
        <v>12</v>
      </c>
      <c r="F70" s="152">
        <f>$D$70</f>
        <v>12</v>
      </c>
      <c r="G70" s="152">
        <f t="shared" ref="G70:Q70" si="11">$D$70</f>
        <v>12</v>
      </c>
      <c r="H70" s="152">
        <f t="shared" si="11"/>
        <v>12</v>
      </c>
      <c r="I70" s="152">
        <f t="shared" si="11"/>
        <v>12</v>
      </c>
      <c r="J70" s="152">
        <f t="shared" si="11"/>
        <v>12</v>
      </c>
      <c r="K70" s="152">
        <f t="shared" si="11"/>
        <v>12</v>
      </c>
      <c r="L70" s="152">
        <f t="shared" si="11"/>
        <v>12</v>
      </c>
      <c r="M70" s="152">
        <f t="shared" si="11"/>
        <v>12</v>
      </c>
      <c r="N70" s="152">
        <f t="shared" si="11"/>
        <v>12</v>
      </c>
      <c r="O70" s="152">
        <f t="shared" si="11"/>
        <v>12</v>
      </c>
      <c r="P70" s="152">
        <f t="shared" si="11"/>
        <v>12</v>
      </c>
      <c r="Q70" s="152">
        <f t="shared" si="11"/>
        <v>12</v>
      </c>
      <c r="R70" s="77"/>
    </row>
    <row r="71" spans="1:20">
      <c r="C71" s="5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 spans="1:20">
      <c r="A72" s="144" t="s">
        <v>168</v>
      </c>
      <c r="B72" s="8"/>
      <c r="C72" s="8" t="s">
        <v>169</v>
      </c>
      <c r="D72" s="52"/>
      <c r="F72" s="160">
        <f>F70*F52/1000</f>
        <v>5.8985077499999994</v>
      </c>
      <c r="G72" s="160">
        <f t="shared" ref="G72:Q72" si="12">G70*G52/1000</f>
        <v>5.9099527500000004</v>
      </c>
      <c r="H72" s="160">
        <f t="shared" si="12"/>
        <v>5.9511547500000006</v>
      </c>
      <c r="I72" s="160">
        <f t="shared" si="12"/>
        <v>6.0244027500000001</v>
      </c>
      <c r="J72" s="160">
        <f t="shared" si="12"/>
        <v>6.0907837500000008</v>
      </c>
      <c r="K72" s="160">
        <f t="shared" si="12"/>
        <v>6.1434307499999994</v>
      </c>
      <c r="L72" s="160">
        <f t="shared" si="12"/>
        <v>6.1342747500000003</v>
      </c>
      <c r="M72" s="160">
        <f t="shared" si="12"/>
        <v>6.0976507499999997</v>
      </c>
      <c r="N72" s="160">
        <f t="shared" si="12"/>
        <v>6.0701827499999998</v>
      </c>
      <c r="O72" s="160">
        <f t="shared" si="12"/>
        <v>6.01295775</v>
      </c>
      <c r="P72" s="160">
        <f t="shared" si="12"/>
        <v>5.9534437499999999</v>
      </c>
      <c r="Q72" s="160">
        <f t="shared" si="12"/>
        <v>5.9145307499999999</v>
      </c>
      <c r="R72" s="158">
        <f>AVERAGE(F72:Q72)</f>
        <v>6.0167727500000003</v>
      </c>
      <c r="S72" s="158">
        <f>MIN(F72:Q72)</f>
        <v>5.8985077499999994</v>
      </c>
      <c r="T72" s="158">
        <f>MAX(F72:Q72)</f>
        <v>6.1434307499999994</v>
      </c>
    </row>
    <row r="73" spans="1:20">
      <c r="A73" s="144" t="s">
        <v>170</v>
      </c>
      <c r="B73" s="8"/>
      <c r="C73" s="8" t="s">
        <v>169</v>
      </c>
      <c r="D73" s="145">
        <f>T72</f>
        <v>6.1434307499999994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</row>
    <row r="74" spans="1:20">
      <c r="A74" s="144" t="s">
        <v>171</v>
      </c>
      <c r="B74" s="8"/>
      <c r="C74" s="8" t="s">
        <v>169</v>
      </c>
      <c r="D74" s="145">
        <f>D73/B20</f>
        <v>6.1434307499999994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</row>
    <row r="75" spans="1:20">
      <c r="C75" s="5"/>
      <c r="F75" s="142"/>
      <c r="G75" s="142"/>
      <c r="H75" s="142"/>
      <c r="I75" s="142"/>
      <c r="J75" s="77"/>
      <c r="K75" s="77"/>
      <c r="L75" s="77"/>
      <c r="M75" s="77"/>
      <c r="N75" s="77"/>
      <c r="O75" s="77"/>
      <c r="P75" s="77"/>
      <c r="Q75" s="77"/>
      <c r="R75" s="77"/>
      <c r="S75" s="77"/>
    </row>
    <row r="76" spans="1:20">
      <c r="A76" s="50" t="s">
        <v>172</v>
      </c>
      <c r="B76" s="7" t="s">
        <v>173</v>
      </c>
      <c r="C76" s="8" t="s">
        <v>169</v>
      </c>
      <c r="D76" s="11">
        <f>VLOOKUP($B$17,'Painel e Inversor'!$B$60:$K$76,9,0)/1000</f>
        <v>3.5000000000000003E-2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</row>
    <row r="77" spans="1:20">
      <c r="A77" s="50" t="s">
        <v>174</v>
      </c>
      <c r="B77" s="7"/>
      <c r="C77" s="8"/>
      <c r="D77" s="147" t="str">
        <f>IF(D74&lt;D76,"OK","ERRO")</f>
        <v>ERRO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1:20">
      <c r="C78" s="5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</row>
    <row r="79" spans="1:20"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 spans="1:20">
      <c r="A80" t="s">
        <v>175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 spans="1:19">
      <c r="A81" s="50" t="s">
        <v>176</v>
      </c>
      <c r="B81" s="7" t="s">
        <v>177</v>
      </c>
      <c r="C81" s="8" t="s">
        <v>178</v>
      </c>
      <c r="D81" s="10">
        <f>VLOOKUP($B$17,'Painel e Inversor'!$B$60:$N$76,10,0)</f>
        <v>11550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</row>
    <row r="82" spans="1:19">
      <c r="A82" s="50" t="s">
        <v>179</v>
      </c>
      <c r="B82" s="7" t="s">
        <v>180</v>
      </c>
      <c r="C82" s="8" t="s">
        <v>178</v>
      </c>
      <c r="D82" s="10">
        <f>VLOOKUP($B$17,'Painel e Inversor'!$B$60:$K$76,3,0)</f>
        <v>120</v>
      </c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</row>
    <row r="83" spans="1:19">
      <c r="A83" s="50" t="s">
        <v>181</v>
      </c>
      <c r="B83" s="7" t="s">
        <v>182</v>
      </c>
      <c r="C83" s="8" t="s">
        <v>178</v>
      </c>
      <c r="D83" s="11">
        <f>'Dados compilados'!D28</f>
        <v>51.899199999999993</v>
      </c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 spans="1:19">
      <c r="A84" s="50" t="s">
        <v>183</v>
      </c>
      <c r="B84" s="7" t="s">
        <v>184</v>
      </c>
      <c r="C84" s="8" t="s">
        <v>178</v>
      </c>
      <c r="D84" s="11">
        <f>D104</f>
        <v>40.107099999999996</v>
      </c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</row>
    <row r="85" spans="1:19">
      <c r="A85" s="50" t="s">
        <v>185</v>
      </c>
      <c r="B85" s="7"/>
      <c r="C85" s="7"/>
      <c r="D85" s="7">
        <f>B11*D52</f>
        <v>6540</v>
      </c>
      <c r="E85" s="148"/>
      <c r="F85" s="148"/>
      <c r="G85" s="148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</row>
    <row r="86" spans="1:19">
      <c r="A86" s="59"/>
      <c r="C86" s="5"/>
      <c r="D86" s="148"/>
      <c r="E86" s="148"/>
      <c r="F86" s="148"/>
      <c r="G86" s="148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</row>
    <row r="87" spans="1:19">
      <c r="A87" s="59"/>
      <c r="C87" s="5"/>
      <c r="D87" s="148"/>
      <c r="E87" s="148"/>
      <c r="F87" s="148"/>
      <c r="G87" s="148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 spans="1:19">
      <c r="C88" s="5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</row>
    <row r="89" spans="1:19">
      <c r="A89" s="153" t="s">
        <v>186</v>
      </c>
      <c r="C89" s="5"/>
      <c r="D89" s="6" t="s">
        <v>122</v>
      </c>
      <c r="E89" s="6" t="s">
        <v>123</v>
      </c>
      <c r="F89" s="6" t="s">
        <v>124</v>
      </c>
      <c r="G89" s="6" t="s">
        <v>125</v>
      </c>
      <c r="H89" s="6" t="s">
        <v>126</v>
      </c>
      <c r="I89" s="6" t="s">
        <v>127</v>
      </c>
      <c r="J89" s="6" t="s">
        <v>128</v>
      </c>
      <c r="K89" s="6" t="s">
        <v>129</v>
      </c>
      <c r="L89" s="6" t="s">
        <v>130</v>
      </c>
      <c r="M89" s="6" t="s">
        <v>131</v>
      </c>
      <c r="N89" s="6" t="s">
        <v>132</v>
      </c>
      <c r="O89" s="6" t="s">
        <v>133</v>
      </c>
      <c r="P89" s="6" t="s">
        <v>50</v>
      </c>
      <c r="Q89" s="6" t="s">
        <v>154</v>
      </c>
      <c r="R89" s="6" t="s">
        <v>155</v>
      </c>
      <c r="S89" s="77"/>
    </row>
    <row r="90" spans="1:19">
      <c r="A90" s="50" t="s">
        <v>187</v>
      </c>
      <c r="B90" s="7" t="s">
        <v>169</v>
      </c>
      <c r="C90" s="9"/>
      <c r="D90" s="149">
        <f>F63*F70/1000</f>
        <v>5.1653232366749995</v>
      </c>
      <c r="E90" s="149">
        <f t="shared" ref="E90:O90" si="13">G63*G70/1000</f>
        <v>5.1753456231749997</v>
      </c>
      <c r="F90" s="149">
        <f t="shared" si="13"/>
        <v>5.2114262145749999</v>
      </c>
      <c r="G90" s="149">
        <f t="shared" si="13"/>
        <v>5.2755694881750008</v>
      </c>
      <c r="H90" s="149">
        <f t="shared" si="13"/>
        <v>5.3336993298750004</v>
      </c>
      <c r="I90" s="149">
        <f t="shared" si="13"/>
        <v>5.3798023077750008</v>
      </c>
      <c r="J90" s="149">
        <f t="shared" si="13"/>
        <v>5.3717843985750005</v>
      </c>
      <c r="K90" s="149">
        <f t="shared" si="13"/>
        <v>5.3397127617749991</v>
      </c>
      <c r="L90" s="149">
        <f t="shared" si="13"/>
        <v>5.3156590341749999</v>
      </c>
      <c r="M90" s="149">
        <f t="shared" si="13"/>
        <v>5.2655471016749997</v>
      </c>
      <c r="N90" s="149">
        <f t="shared" si="13"/>
        <v>5.2134306918749997</v>
      </c>
      <c r="O90" s="149">
        <f t="shared" si="13"/>
        <v>5.1793545777749994</v>
      </c>
      <c r="P90" s="150">
        <f>AVERAGE(D90:O90)</f>
        <v>5.2688878971749995</v>
      </c>
      <c r="Q90" s="150">
        <f>MIN(D90:O90)</f>
        <v>5.1653232366749995</v>
      </c>
      <c r="R90" s="150">
        <f>MAX(D90:O90)</f>
        <v>5.3798023077750008</v>
      </c>
    </row>
    <row r="91" spans="1:19">
      <c r="A91" s="50" t="s">
        <v>188</v>
      </c>
      <c r="B91" s="7" t="s">
        <v>160</v>
      </c>
      <c r="C91" s="10"/>
      <c r="D91" s="134">
        <f>F42*F47*D90*B93</f>
        <v>898.71881001816746</v>
      </c>
      <c r="E91" s="134">
        <f>G42*G47*E90*B93</f>
        <v>786.39995301452996</v>
      </c>
      <c r="F91" s="134">
        <f>H42*H47*F90*B93</f>
        <v>784.00979890566475</v>
      </c>
      <c r="G91" s="134">
        <f>I42*I47*G90*B93</f>
        <v>639.54187383741089</v>
      </c>
      <c r="H91" s="134">
        <f>J42*J47*H90*B93</f>
        <v>518.59221067881037</v>
      </c>
      <c r="I91" s="134">
        <f>K42*K47*I90*B93</f>
        <v>424.55600807068578</v>
      </c>
      <c r="J91" s="134">
        <f>L42*L47*J90*B93</f>
        <v>480.17461733987017</v>
      </c>
      <c r="K91" s="134">
        <f>M42*M47*K90*B93</f>
        <v>587.61122189337891</v>
      </c>
      <c r="L91" s="134">
        <f>N42*N47*L90*B93</f>
        <v>604.48311601661737</v>
      </c>
      <c r="M91" s="134">
        <f>O42*O47*M90*B93</f>
        <v>755.13533657847563</v>
      </c>
      <c r="N91" s="134">
        <f>P42*P47*N90*B93</f>
        <v>850.818031615221</v>
      </c>
      <c r="O91" s="134">
        <f>Q42*Q47*O90*B93</f>
        <v>910.12272171622919</v>
      </c>
      <c r="P91" s="135">
        <f>AVERAGE(D91:O91)</f>
        <v>686.68030830708847</v>
      </c>
      <c r="Q91" s="135">
        <f>MIN(D91:O91)</f>
        <v>424.55600807068578</v>
      </c>
      <c r="R91" s="135">
        <f>MAX(D91:O91)</f>
        <v>910.12272171622919</v>
      </c>
    </row>
    <row r="92" spans="1:19">
      <c r="A92" s="50" t="s">
        <v>189</v>
      </c>
      <c r="B92" s="7" t="s">
        <v>160</v>
      </c>
      <c r="C92" s="10">
        <f>P91/B11</f>
        <v>57.223359025590703</v>
      </c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</row>
    <row r="93" spans="1:19">
      <c r="A93" s="50" t="s">
        <v>190</v>
      </c>
      <c r="B93" s="8">
        <v>0.98</v>
      </c>
      <c r="C93" s="5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</row>
    <row r="94" spans="1:19">
      <c r="C94" s="5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</row>
    <row r="95" spans="1:19">
      <c r="A95" s="153" t="s">
        <v>191</v>
      </c>
      <c r="C95" s="5"/>
      <c r="D95" s="6" t="s">
        <v>122</v>
      </c>
      <c r="E95" s="6" t="s">
        <v>123</v>
      </c>
      <c r="F95" s="6" t="s">
        <v>124</v>
      </c>
      <c r="G95" s="6" t="s">
        <v>125</v>
      </c>
      <c r="H95" s="6" t="s">
        <v>126</v>
      </c>
      <c r="I95" s="6" t="s">
        <v>127</v>
      </c>
      <c r="J95" s="6" t="s">
        <v>128</v>
      </c>
      <c r="K95" s="6" t="s">
        <v>129</v>
      </c>
      <c r="L95" s="6" t="s">
        <v>130</v>
      </c>
      <c r="M95" s="6" t="s">
        <v>131</v>
      </c>
      <c r="N95" s="6" t="s">
        <v>132</v>
      </c>
      <c r="O95" s="6" t="s">
        <v>133</v>
      </c>
      <c r="P95" s="6" t="s">
        <v>50</v>
      </c>
      <c r="Q95" s="77"/>
      <c r="R95" s="77"/>
      <c r="S95" s="77"/>
    </row>
    <row r="96" spans="1:19">
      <c r="A96" s="99" t="s">
        <v>192</v>
      </c>
      <c r="B96" s="101"/>
      <c r="C96" s="100"/>
      <c r="D96" s="118">
        <f>D52</f>
        <v>545</v>
      </c>
      <c r="E96" s="118">
        <f>D96</f>
        <v>545</v>
      </c>
      <c r="F96" s="118">
        <f t="shared" ref="F96:O96" si="14">E96</f>
        <v>545</v>
      </c>
      <c r="G96" s="118">
        <f t="shared" si="14"/>
        <v>545</v>
      </c>
      <c r="H96" s="118">
        <f t="shared" si="14"/>
        <v>545</v>
      </c>
      <c r="I96" s="118">
        <f t="shared" si="14"/>
        <v>545</v>
      </c>
      <c r="J96" s="118">
        <f t="shared" si="14"/>
        <v>545</v>
      </c>
      <c r="K96" s="118">
        <f t="shared" si="14"/>
        <v>545</v>
      </c>
      <c r="L96" s="118">
        <f t="shared" si="14"/>
        <v>545</v>
      </c>
      <c r="M96" s="118">
        <f t="shared" si="14"/>
        <v>545</v>
      </c>
      <c r="N96" s="118">
        <f t="shared" si="14"/>
        <v>545</v>
      </c>
      <c r="O96" s="118">
        <f t="shared" si="14"/>
        <v>545</v>
      </c>
      <c r="P96" s="118">
        <f>AVERAGE(D96:O96)</f>
        <v>545</v>
      </c>
    </row>
    <row r="97" spans="1:19">
      <c r="A97" s="99" t="s">
        <v>151</v>
      </c>
      <c r="B97" s="101"/>
      <c r="C97" s="100"/>
      <c r="D97" s="118">
        <f>F52</f>
        <v>491.54231249999998</v>
      </c>
      <c r="E97" s="118">
        <f t="shared" ref="E97:O97" si="15">G52</f>
        <v>492.49606249999999</v>
      </c>
      <c r="F97" s="118">
        <f t="shared" si="15"/>
        <v>495.92956250000003</v>
      </c>
      <c r="G97" s="118">
        <f t="shared" si="15"/>
        <v>502.03356250000002</v>
      </c>
      <c r="H97" s="118">
        <f t="shared" si="15"/>
        <v>507.5653125</v>
      </c>
      <c r="I97" s="118">
        <f t="shared" si="15"/>
        <v>511.9525625</v>
      </c>
      <c r="J97" s="118">
        <f t="shared" si="15"/>
        <v>511.18956250000002</v>
      </c>
      <c r="K97" s="118">
        <f t="shared" si="15"/>
        <v>508.1375625</v>
      </c>
      <c r="L97" s="118">
        <f t="shared" si="15"/>
        <v>505.84856250000001</v>
      </c>
      <c r="M97" s="118">
        <f t="shared" si="15"/>
        <v>501.0798125</v>
      </c>
      <c r="N97" s="118">
        <f t="shared" si="15"/>
        <v>496.12031250000001</v>
      </c>
      <c r="O97" s="118">
        <f t="shared" si="15"/>
        <v>492.87756249999995</v>
      </c>
      <c r="P97" s="118">
        <f>AVERAGE(D97:O97)</f>
        <v>501.39772916666675</v>
      </c>
    </row>
    <row r="98" spans="1:19">
      <c r="A98" s="99" t="s">
        <v>156</v>
      </c>
      <c r="B98" s="101"/>
      <c r="C98" s="100"/>
      <c r="D98" s="118">
        <f>F58</f>
        <v>442.38808124999997</v>
      </c>
      <c r="E98" s="118">
        <f t="shared" ref="E98:O98" si="16">G58</f>
        <v>443.24645624999999</v>
      </c>
      <c r="F98" s="118">
        <f t="shared" si="16"/>
        <v>446.33660625000005</v>
      </c>
      <c r="G98" s="118">
        <f t="shared" si="16"/>
        <v>451.83020625</v>
      </c>
      <c r="H98" s="118">
        <f t="shared" si="16"/>
        <v>456.80878125000004</v>
      </c>
      <c r="I98" s="118">
        <f t="shared" si="16"/>
        <v>460.75730625</v>
      </c>
      <c r="J98" s="118">
        <f t="shared" si="16"/>
        <v>460.07060625000003</v>
      </c>
      <c r="K98" s="118">
        <f t="shared" si="16"/>
        <v>457.32380625000002</v>
      </c>
      <c r="L98" s="118">
        <f t="shared" si="16"/>
        <v>455.26370625000004</v>
      </c>
      <c r="M98" s="118">
        <f t="shared" si="16"/>
        <v>450.97183125000004</v>
      </c>
      <c r="N98" s="118">
        <f t="shared" si="16"/>
        <v>446.50828125000004</v>
      </c>
      <c r="O98" s="118">
        <f t="shared" si="16"/>
        <v>443.58980624999998</v>
      </c>
      <c r="P98" s="118">
        <f>AVERAGE(D98:O98)</f>
        <v>451.25795625000001</v>
      </c>
      <c r="Q98" s="77"/>
      <c r="R98" s="77"/>
      <c r="S98" s="77"/>
    </row>
    <row r="99" spans="1:19">
      <c r="A99" s="99" t="s">
        <v>193</v>
      </c>
      <c r="B99" s="101"/>
      <c r="C99" s="100"/>
      <c r="D99" s="118">
        <f>F63</f>
        <v>430.44360305624997</v>
      </c>
      <c r="E99" s="118">
        <f t="shared" ref="E99:O99" si="17">G63</f>
        <v>431.27880193124997</v>
      </c>
      <c r="F99" s="118">
        <f t="shared" si="17"/>
        <v>434.28551788125003</v>
      </c>
      <c r="G99" s="118">
        <f t="shared" si="17"/>
        <v>439.63079068125001</v>
      </c>
      <c r="H99" s="118">
        <f t="shared" si="17"/>
        <v>444.47494415625005</v>
      </c>
      <c r="I99" s="118">
        <f t="shared" si="17"/>
        <v>448.31685898124999</v>
      </c>
      <c r="J99" s="118">
        <f t="shared" si="17"/>
        <v>447.64869988125002</v>
      </c>
      <c r="K99" s="118">
        <f t="shared" si="17"/>
        <v>444.97606348124998</v>
      </c>
      <c r="L99" s="118">
        <f t="shared" si="17"/>
        <v>442.97158618125002</v>
      </c>
      <c r="M99" s="118">
        <f t="shared" si="17"/>
        <v>438.79559180625</v>
      </c>
      <c r="N99" s="118">
        <f t="shared" si="17"/>
        <v>434.45255765625001</v>
      </c>
      <c r="O99" s="118">
        <f t="shared" si="17"/>
        <v>431.61288148124999</v>
      </c>
      <c r="P99" s="118">
        <f>AVERAGE(D99:O99)</f>
        <v>439.07399143125002</v>
      </c>
    </row>
    <row r="100" spans="1:19">
      <c r="C100" s="5"/>
      <c r="R100" s="2"/>
    </row>
    <row r="101" spans="1:19" ht="21">
      <c r="A101" s="357" t="s">
        <v>194</v>
      </c>
      <c r="B101" s="358"/>
      <c r="C101" s="358"/>
      <c r="D101" s="359"/>
      <c r="R101" s="2"/>
    </row>
    <row r="102" spans="1:19">
      <c r="C102" s="5"/>
      <c r="R102" s="2"/>
    </row>
    <row r="103" spans="1:19">
      <c r="A103" s="50" t="s">
        <v>181</v>
      </c>
      <c r="B103" s="7" t="s">
        <v>182</v>
      </c>
      <c r="C103" s="8" t="s">
        <v>178</v>
      </c>
      <c r="D103" s="11">
        <f>'Dados compilados'!D28</f>
        <v>51.899199999999993</v>
      </c>
      <c r="R103" s="2"/>
    </row>
    <row r="104" spans="1:19">
      <c r="A104" s="50" t="s">
        <v>183</v>
      </c>
      <c r="B104" s="7" t="s">
        <v>184</v>
      </c>
      <c r="C104" s="8" t="s">
        <v>178</v>
      </c>
      <c r="D104" s="11">
        <f>'Dados compilados'!D29</f>
        <v>40.107099999999996</v>
      </c>
      <c r="R104" s="2"/>
    </row>
    <row r="105" spans="1:19">
      <c r="A105" s="50" t="s">
        <v>195</v>
      </c>
      <c r="B105" s="7" t="s">
        <v>196</v>
      </c>
      <c r="C105" s="8" t="s">
        <v>197</v>
      </c>
      <c r="D105" s="7">
        <f>'Painel e Inversor'!E9</f>
        <v>9.4</v>
      </c>
    </row>
    <row r="106" spans="1:19">
      <c r="A106" s="59"/>
      <c r="C106" s="5"/>
      <c r="R106" s="2"/>
    </row>
    <row r="107" spans="1:19">
      <c r="A107" s="50" t="s">
        <v>198</v>
      </c>
      <c r="B107" s="7" t="s">
        <v>199</v>
      </c>
      <c r="C107" s="8" t="s">
        <v>178</v>
      </c>
      <c r="D107" s="10">
        <f>VLOOKUP(B17,'Painel e Inversor'!B60:K76,2,0)</f>
        <v>600</v>
      </c>
    </row>
    <row r="108" spans="1:19">
      <c r="A108" s="50" t="s">
        <v>179</v>
      </c>
      <c r="B108" s="7" t="s">
        <v>180</v>
      </c>
      <c r="C108" s="8" t="s">
        <v>178</v>
      </c>
      <c r="D108" s="10">
        <f>VLOOKUP($B$17,'Painel e Inversor'!$B$60:$K$76,3,0)</f>
        <v>120</v>
      </c>
    </row>
    <row r="109" spans="1:19">
      <c r="A109" s="50" t="s">
        <v>176</v>
      </c>
      <c r="B109" s="7" t="s">
        <v>177</v>
      </c>
      <c r="C109" s="8" t="s">
        <v>178</v>
      </c>
      <c r="D109" s="10">
        <f>VLOOKUP($B$17,'Painel e Inversor'!$B$60:$N$76,10,0)</f>
        <v>11550</v>
      </c>
    </row>
    <row r="110" spans="1:19">
      <c r="A110" s="50" t="s">
        <v>200</v>
      </c>
      <c r="B110" s="7" t="s">
        <v>201</v>
      </c>
      <c r="C110" s="8" t="s">
        <v>197</v>
      </c>
      <c r="D110" s="9">
        <f>VLOOKUP($B$17,'Painel e Inversor'!$B$60:$K$76,4,0)</f>
        <v>0</v>
      </c>
    </row>
    <row r="111" spans="1:19">
      <c r="A111" s="50" t="s">
        <v>202</v>
      </c>
      <c r="B111" s="7" t="s">
        <v>203</v>
      </c>
      <c r="C111" s="8" t="s">
        <v>197</v>
      </c>
      <c r="D111" s="9">
        <f>VLOOKUP($B$17,'Painel e Inversor'!$B$60:$K$76,8,0)</f>
        <v>0</v>
      </c>
    </row>
    <row r="112" spans="1:19">
      <c r="A112" s="50" t="s">
        <v>204</v>
      </c>
      <c r="B112" s="7" t="s">
        <v>173</v>
      </c>
      <c r="C112" s="8" t="s">
        <v>205</v>
      </c>
      <c r="D112" s="10">
        <f>VLOOKUP($B$17,'Painel e Inversor'!$B$60:$K$76,10,0)</f>
        <v>11550</v>
      </c>
    </row>
    <row r="113" spans="1:5">
      <c r="A113" s="50" t="s">
        <v>206</v>
      </c>
      <c r="B113" s="7" t="s">
        <v>207</v>
      </c>
      <c r="C113" s="8" t="s">
        <v>205</v>
      </c>
      <c r="D113" s="10">
        <f>D112/D114/D115</f>
        <v>3850</v>
      </c>
    </row>
    <row r="114" spans="1:5">
      <c r="A114" s="50" t="s">
        <v>208</v>
      </c>
      <c r="B114" s="7" t="s">
        <v>209</v>
      </c>
      <c r="C114" s="8" t="s">
        <v>165</v>
      </c>
      <c r="D114" s="10">
        <f>VLOOKUP($B$17,'Painel e Inversor'!$B$60:$K$76,6,0)</f>
        <v>3</v>
      </c>
    </row>
    <row r="115" spans="1:5">
      <c r="A115" s="50" t="s">
        <v>210</v>
      </c>
      <c r="B115" s="7" t="s">
        <v>211</v>
      </c>
      <c r="C115" s="8" t="s">
        <v>165</v>
      </c>
      <c r="D115" s="10">
        <f>VLOOKUP($B$17,'Painel e Inversor'!$B$60:$K$76,7,0)</f>
        <v>1</v>
      </c>
    </row>
    <row r="116" spans="1:5">
      <c r="A116" s="60" t="s">
        <v>212</v>
      </c>
      <c r="B116" s="19" t="s">
        <v>213</v>
      </c>
      <c r="C116" s="20" t="s">
        <v>165</v>
      </c>
      <c r="D116" s="57">
        <f>B21/D114/D115</f>
        <v>4</v>
      </c>
      <c r="E116" s="5"/>
    </row>
    <row r="117" spans="1:5">
      <c r="A117" s="59"/>
      <c r="C117" s="5"/>
    </row>
    <row r="118" spans="1:5">
      <c r="A118" s="59"/>
    </row>
    <row r="119" spans="1:5">
      <c r="A119" s="59"/>
    </row>
    <row r="125" spans="1:5">
      <c r="C125" s="63"/>
    </row>
  </sheetData>
  <mergeCells count="18">
    <mergeCell ref="E18:I18"/>
    <mergeCell ref="E17:I17"/>
    <mergeCell ref="A45:D45"/>
    <mergeCell ref="A56:D56"/>
    <mergeCell ref="A101:D101"/>
    <mergeCell ref="B17:D17"/>
    <mergeCell ref="A2:D2"/>
    <mergeCell ref="A38:R38"/>
    <mergeCell ref="A32:D32"/>
    <mergeCell ref="D28:J28"/>
    <mergeCell ref="D29:J29"/>
    <mergeCell ref="D27:J27"/>
    <mergeCell ref="A15:D15"/>
    <mergeCell ref="C21:I22"/>
    <mergeCell ref="E19:G20"/>
    <mergeCell ref="A4:D5"/>
    <mergeCell ref="C25:I25"/>
    <mergeCell ref="C23:J24"/>
  </mergeCells>
  <pageMargins left="0.75" right="0.75" top="1" bottom="1" header="0.5" footer="0.5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'Painel e Inversor'!$E$4:$Q$4</xm:f>
          </x14:formula1>
          <xm:sqref>B7</xm:sqref>
        </x14:dataValidation>
        <x14:dataValidation type="list" allowBlank="1" showInputMessage="1" showErrorMessage="1" xr:uid="{00000000-0002-0000-0100-000001000000}">
          <x14:formula1>
            <xm:f>'Painel e Inversor'!$B$60:$B$75</xm:f>
          </x14:formula1>
          <xm:sqref>B17:D17</xm:sqref>
        </x14:dataValidation>
        <x14:dataValidation type="list" allowBlank="1" showInputMessage="1" showErrorMessage="1" xr:uid="{00000000-0002-0000-0100-000002000000}">
          <x14:formula1>
            <xm:f>'Painel e Inversor'!E4:F4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tabColor theme="6" tint="0.39997558519241921"/>
  </sheetPr>
  <dimension ref="A1:O2"/>
  <sheetViews>
    <sheetView showGridLines="0" topLeftCell="B118" zoomScale="80" zoomScaleNormal="80" workbookViewId="0">
      <selection activeCell="B126" sqref="B126"/>
    </sheetView>
  </sheetViews>
  <sheetFormatPr defaultColWidth="10.8984375" defaultRowHeight="15.6"/>
  <cols>
    <col min="1" max="16384" width="10.8984375" style="18"/>
  </cols>
  <sheetData>
    <row r="1" spans="1:15">
      <c r="A1" s="377" t="s">
        <v>244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</row>
    <row r="2" spans="1:15">
      <c r="A2" s="377"/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</row>
  </sheetData>
  <mergeCells count="1">
    <mergeCell ref="A1:O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tabColor theme="9" tint="0.39997558519241921"/>
  </sheetPr>
  <dimension ref="A2:O43"/>
  <sheetViews>
    <sheetView topLeftCell="A16" workbookViewId="0">
      <selection activeCell="D19" sqref="D19"/>
    </sheetView>
  </sheetViews>
  <sheetFormatPr defaultColWidth="10.8984375" defaultRowHeight="15.6"/>
  <cols>
    <col min="1" max="1" width="75.09765625" style="18" customWidth="1"/>
    <col min="2" max="2" width="11.5" style="18" customWidth="1"/>
    <col min="3" max="10" width="10.8984375" style="18"/>
    <col min="11" max="12" width="11.5" style="18" customWidth="1"/>
    <col min="13" max="16384" width="10.8984375" style="18"/>
  </cols>
  <sheetData>
    <row r="2" spans="1:5" ht="29.1" customHeight="1">
      <c r="A2" s="380" t="s">
        <v>214</v>
      </c>
      <c r="B2" s="381"/>
      <c r="C2" s="381"/>
      <c r="D2" s="381"/>
      <c r="E2" s="381"/>
    </row>
    <row r="5" spans="1:5">
      <c r="A5" s="26" t="s">
        <v>215</v>
      </c>
    </row>
    <row r="6" spans="1:5">
      <c r="A6" s="23" t="s">
        <v>216</v>
      </c>
      <c r="B6" s="382" t="str">
        <f>DADOS!E9</f>
        <v>SANTA ROSA</v>
      </c>
      <c r="C6" s="383"/>
      <c r="D6" s="383"/>
      <c r="E6" s="384"/>
    </row>
    <row r="7" spans="1:5">
      <c r="A7" s="23" t="s">
        <v>28</v>
      </c>
      <c r="B7" s="64" t="str">
        <f>DADOS!E10</f>
        <v>RS</v>
      </c>
    </row>
    <row r="8" spans="1:5">
      <c r="A8" s="23" t="s">
        <v>30</v>
      </c>
      <c r="B8" s="76" t="str">
        <f>UPPER(DADOS!E11)</f>
        <v>M</v>
      </c>
    </row>
    <row r="9" spans="1:5">
      <c r="A9" s="23" t="s">
        <v>34</v>
      </c>
      <c r="B9" s="131">
        <f>DADOS!E13</f>
        <v>1</v>
      </c>
    </row>
    <row r="10" spans="1:5">
      <c r="A10" s="23" t="s">
        <v>217</v>
      </c>
      <c r="B10" s="76">
        <f>DADOS!E54</f>
        <v>27</v>
      </c>
    </row>
    <row r="11" spans="1:5">
      <c r="A11" s="23" t="s">
        <v>218</v>
      </c>
      <c r="B11" s="132">
        <f>'Dados compilados'!C4</f>
        <v>15</v>
      </c>
    </row>
    <row r="12" spans="1:5">
      <c r="A12" s="23" t="s">
        <v>219</v>
      </c>
      <c r="B12" s="131">
        <f>DADOS!E56</f>
        <v>0.25605276970079444</v>
      </c>
    </row>
    <row r="13" spans="1:5">
      <c r="A13" s="23" t="s">
        <v>220</v>
      </c>
      <c r="B13" s="76">
        <f>'Dados compilados'!C5</f>
        <v>30</v>
      </c>
    </row>
    <row r="14" spans="1:5">
      <c r="A14" s="23" t="s">
        <v>221</v>
      </c>
      <c r="B14" s="132">
        <f>'Dados compilados'!C7</f>
        <v>40</v>
      </c>
    </row>
    <row r="15" spans="1:5">
      <c r="A15" s="23" t="s">
        <v>222</v>
      </c>
      <c r="B15" s="132">
        <f>'Dados compilados'!C6</f>
        <v>9</v>
      </c>
    </row>
    <row r="16" spans="1:5">
      <c r="A16" s="23" t="s">
        <v>223</v>
      </c>
      <c r="B16" s="133">
        <f>'Dados compilados'!O20</f>
        <v>4.3927433333333328</v>
      </c>
    </row>
    <row r="18" spans="1:11">
      <c r="A18" s="378" t="s">
        <v>224</v>
      </c>
      <c r="B18" s="379"/>
    </row>
    <row r="19" spans="1:11">
      <c r="A19" s="234" t="s">
        <v>225</v>
      </c>
      <c r="B19" s="66">
        <f>Cálculo!D52</f>
        <v>545</v>
      </c>
    </row>
    <row r="20" spans="1:11">
      <c r="A20" s="234" t="s">
        <v>226</v>
      </c>
      <c r="B20" s="204">
        <f>IF(Cálculo!B11&lt;10,"0"&amp;Cálculo!B11,Cálculo!B11)</f>
        <v>12</v>
      </c>
    </row>
    <row r="21" spans="1:11">
      <c r="A21" s="234" t="s">
        <v>227</v>
      </c>
      <c r="B21" s="66">
        <f>Cálculo!B13</f>
        <v>31.012631999999996</v>
      </c>
    </row>
    <row r="23" spans="1:11">
      <c r="A23" s="378" t="s">
        <v>228</v>
      </c>
      <c r="B23" s="379"/>
      <c r="C23" s="379"/>
      <c r="D23" s="379"/>
    </row>
    <row r="24" spans="1:11">
      <c r="A24" s="234" t="s">
        <v>229</v>
      </c>
      <c r="B24" s="387" t="str">
        <f>Cálculo!B17</f>
        <v>INVERSOR RENO-7,7k</v>
      </c>
      <c r="C24" s="387"/>
      <c r="D24" s="387"/>
    </row>
    <row r="25" spans="1:11">
      <c r="A25" s="54" t="s">
        <v>230</v>
      </c>
      <c r="B25" s="55">
        <f>Cálculo!B20</f>
        <v>1</v>
      </c>
      <c r="F25" s="49"/>
      <c r="G25" s="49"/>
      <c r="H25" s="49"/>
      <c r="I25" s="49"/>
      <c r="J25" s="49"/>
      <c r="K25" s="49"/>
    </row>
    <row r="27" spans="1:11">
      <c r="A27" s="378" t="s">
        <v>231</v>
      </c>
      <c r="B27" s="379"/>
      <c r="C27" s="379"/>
    </row>
    <row r="28" spans="1:11">
      <c r="A28" s="69" t="s">
        <v>232</v>
      </c>
      <c r="B28" s="72">
        <f>B19*B20/1000</f>
        <v>6.54</v>
      </c>
      <c r="C28" s="73" t="s">
        <v>169</v>
      </c>
    </row>
    <row r="29" spans="1:11">
      <c r="A29" s="69" t="s">
        <v>233</v>
      </c>
      <c r="B29" s="70">
        <f>Cálculo!P91</f>
        <v>686.68030830708847</v>
      </c>
      <c r="C29" s="71" t="s">
        <v>160</v>
      </c>
    </row>
    <row r="30" spans="1:11">
      <c r="A30" s="69" t="s">
        <v>234</v>
      </c>
      <c r="B30" s="70">
        <f>O35</f>
        <v>8240.1636996850611</v>
      </c>
      <c r="C30" s="71" t="s">
        <v>235</v>
      </c>
    </row>
    <row r="31" spans="1:11">
      <c r="A31" s="69" t="s">
        <v>236</v>
      </c>
      <c r="B31" s="74">
        <f>B29/B20</f>
        <v>57.223359025590703</v>
      </c>
      <c r="C31" s="75" t="s">
        <v>160</v>
      </c>
    </row>
    <row r="34" spans="1:15">
      <c r="A34" s="26" t="s">
        <v>237</v>
      </c>
      <c r="B34" s="56" t="s">
        <v>122</v>
      </c>
      <c r="C34" s="56" t="s">
        <v>123</v>
      </c>
      <c r="D34" s="56" t="s">
        <v>124</v>
      </c>
      <c r="E34" s="56" t="s">
        <v>125</v>
      </c>
      <c r="F34" s="56" t="s">
        <v>126</v>
      </c>
      <c r="G34" s="56" t="s">
        <v>127</v>
      </c>
      <c r="H34" s="56" t="s">
        <v>128</v>
      </c>
      <c r="I34" s="56" t="s">
        <v>129</v>
      </c>
      <c r="J34" s="56" t="s">
        <v>130</v>
      </c>
      <c r="K34" s="56" t="s">
        <v>131</v>
      </c>
      <c r="L34" s="56" t="s">
        <v>132</v>
      </c>
      <c r="M34" s="56" t="s">
        <v>133</v>
      </c>
      <c r="N34" s="56" t="s">
        <v>50</v>
      </c>
      <c r="O34" s="56" t="s">
        <v>49</v>
      </c>
    </row>
    <row r="35" spans="1:15">
      <c r="A35" s="65" t="s">
        <v>238</v>
      </c>
      <c r="B35" s="67">
        <f>Cálculo!D91</f>
        <v>898.71881001816746</v>
      </c>
      <c r="C35" s="67">
        <f>Cálculo!E91</f>
        <v>786.39995301452996</v>
      </c>
      <c r="D35" s="67">
        <f>Cálculo!F91</f>
        <v>784.00979890566475</v>
      </c>
      <c r="E35" s="67">
        <f>Cálculo!G91</f>
        <v>639.54187383741089</v>
      </c>
      <c r="F35" s="67">
        <f>Cálculo!H91</f>
        <v>518.59221067881037</v>
      </c>
      <c r="G35" s="67">
        <f>Cálculo!I91</f>
        <v>424.55600807068578</v>
      </c>
      <c r="H35" s="67">
        <f>Cálculo!J91</f>
        <v>480.17461733987017</v>
      </c>
      <c r="I35" s="67">
        <f>Cálculo!K91</f>
        <v>587.61122189337891</v>
      </c>
      <c r="J35" s="67">
        <f>Cálculo!L91</f>
        <v>604.48311601661737</v>
      </c>
      <c r="K35" s="67">
        <f>Cálculo!M91</f>
        <v>755.13533657847563</v>
      </c>
      <c r="L35" s="67">
        <f>Cálculo!N91</f>
        <v>850.818031615221</v>
      </c>
      <c r="M35" s="67">
        <f>Cálculo!O91</f>
        <v>910.12272171622919</v>
      </c>
      <c r="N35" s="67">
        <f>Cálculo!P91</f>
        <v>686.68030830708847</v>
      </c>
      <c r="O35" s="67">
        <f>SUM(B35:M35)</f>
        <v>8240.1636996850611</v>
      </c>
    </row>
    <row r="36" spans="1:15">
      <c r="A36" s="23" t="s">
        <v>239</v>
      </c>
      <c r="B36" s="68">
        <f>'Dados compilados'!C10</f>
        <v>0</v>
      </c>
      <c r="C36" s="68">
        <f>'Dados compilados'!D10</f>
        <v>0</v>
      </c>
      <c r="D36" s="68">
        <f>'Dados compilados'!E10</f>
        <v>0</v>
      </c>
      <c r="E36" s="68">
        <f>'Dados compilados'!F10</f>
        <v>0</v>
      </c>
      <c r="F36" s="68">
        <f>'Dados compilados'!G10</f>
        <v>0</v>
      </c>
      <c r="G36" s="68">
        <f>'Dados compilados'!H10</f>
        <v>0</v>
      </c>
      <c r="H36" s="68">
        <f>'Dados compilados'!I10</f>
        <v>0</v>
      </c>
      <c r="I36" s="68">
        <f>'Dados compilados'!J10</f>
        <v>0</v>
      </c>
      <c r="J36" s="68">
        <f>'Dados compilados'!K10</f>
        <v>0</v>
      </c>
      <c r="K36" s="68">
        <f>'Dados compilados'!L10</f>
        <v>0</v>
      </c>
      <c r="L36" s="68">
        <f>'Dados compilados'!M10</f>
        <v>0</v>
      </c>
      <c r="M36" s="68">
        <f>'Dados compilados'!N10</f>
        <v>0</v>
      </c>
      <c r="N36" s="68">
        <f>'Dados compilados'!O10</f>
        <v>0</v>
      </c>
      <c r="O36" s="68">
        <f>SUM(B36:M36)</f>
        <v>0</v>
      </c>
    </row>
    <row r="37" spans="1:15">
      <c r="A37" s="23" t="s">
        <v>240</v>
      </c>
      <c r="B37" s="68">
        <f>'Dados compilados'!C12</f>
        <v>-30</v>
      </c>
      <c r="C37" s="68">
        <f>'Dados compilados'!D12</f>
        <v>-30</v>
      </c>
      <c r="D37" s="68">
        <f>'Dados compilados'!E12</f>
        <v>-30</v>
      </c>
      <c r="E37" s="68">
        <f>'Dados compilados'!F12</f>
        <v>-30</v>
      </c>
      <c r="F37" s="68">
        <f>'Dados compilados'!G12</f>
        <v>-30</v>
      </c>
      <c r="G37" s="68">
        <f>'Dados compilados'!H12</f>
        <v>-30</v>
      </c>
      <c r="H37" s="68">
        <f>'Dados compilados'!I12</f>
        <v>-30</v>
      </c>
      <c r="I37" s="68">
        <f>'Dados compilados'!J12</f>
        <v>-30</v>
      </c>
      <c r="J37" s="68">
        <f>'Dados compilados'!K12</f>
        <v>-30</v>
      </c>
      <c r="K37" s="68">
        <f>'Dados compilados'!L12</f>
        <v>-30</v>
      </c>
      <c r="L37" s="68">
        <f>'Dados compilados'!M12</f>
        <v>-30</v>
      </c>
      <c r="M37" s="68">
        <f>'Dados compilados'!N12</f>
        <v>-30</v>
      </c>
      <c r="N37" s="68">
        <f>'Dados compilados'!O12</f>
        <v>-30</v>
      </c>
      <c r="O37" s="68">
        <f>SUM(B37:M37)</f>
        <v>-360</v>
      </c>
    </row>
    <row r="41" spans="1:15">
      <c r="A41" s="385" t="s">
        <v>241</v>
      </c>
      <c r="B41" s="386"/>
      <c r="C41" s="386"/>
      <c r="D41" s="386"/>
      <c r="E41" s="386"/>
      <c r="F41" s="386"/>
      <c r="G41" s="386"/>
      <c r="H41" s="386"/>
      <c r="I41" s="386"/>
      <c r="J41" s="386"/>
      <c r="K41" s="386"/>
      <c r="L41" s="386"/>
    </row>
    <row r="42" spans="1:15">
      <c r="A42" s="23" t="s">
        <v>242</v>
      </c>
      <c r="B42" s="24">
        <f>Cálculo!C28</f>
        <v>6540</v>
      </c>
      <c r="C42" s="25" t="s">
        <v>243</v>
      </c>
      <c r="D42" s="388" t="str">
        <f>Cálculo!D28</f>
        <v>OK</v>
      </c>
      <c r="E42" s="388"/>
      <c r="F42" s="388"/>
      <c r="G42" s="388"/>
      <c r="H42" s="388"/>
      <c r="I42" s="388"/>
      <c r="J42" s="388"/>
      <c r="K42" s="388"/>
      <c r="L42" s="389"/>
    </row>
    <row r="43" spans="1:15">
      <c r="A43" s="233" t="s">
        <v>119</v>
      </c>
      <c r="B43" s="130">
        <f>N35/N37-1</f>
        <v>-23.889343610236281</v>
      </c>
      <c r="C43" s="25" t="s">
        <v>243</v>
      </c>
      <c r="D43" s="383" t="str">
        <f>IF(B43&lt;=5%,"OK","ATENÇÃO: Energia GERADA MAIOR que a COMPENSÁVEL - Verifique e, se necessário, reduza a quantidade de painéis")</f>
        <v>OK</v>
      </c>
      <c r="E43" s="383"/>
      <c r="F43" s="383"/>
      <c r="G43" s="383"/>
      <c r="H43" s="383"/>
      <c r="I43" s="383"/>
      <c r="J43" s="383"/>
      <c r="K43" s="383"/>
      <c r="L43" s="384"/>
    </row>
  </sheetData>
  <mergeCells count="9">
    <mergeCell ref="A27:C27"/>
    <mergeCell ref="A2:E2"/>
    <mergeCell ref="B6:E6"/>
    <mergeCell ref="D43:L43"/>
    <mergeCell ref="A23:D23"/>
    <mergeCell ref="A18:B18"/>
    <mergeCell ref="A41:L41"/>
    <mergeCell ref="B24:D24"/>
    <mergeCell ref="D42:L42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tabColor theme="5" tint="0.39997558519241921"/>
  </sheetPr>
  <dimension ref="B3:O56"/>
  <sheetViews>
    <sheetView showGridLines="0" topLeftCell="B1" workbookViewId="0">
      <selection activeCell="D14" sqref="D14"/>
    </sheetView>
  </sheetViews>
  <sheetFormatPr defaultColWidth="10.8984375" defaultRowHeight="15.6"/>
  <cols>
    <col min="1" max="1" width="4.09765625" customWidth="1"/>
    <col min="2" max="2" width="89.5" customWidth="1"/>
    <col min="3" max="15" width="9.59765625" customWidth="1"/>
  </cols>
  <sheetData>
    <row r="3" spans="2:15" ht="17.25" customHeight="1">
      <c r="B3" s="99" t="s">
        <v>245</v>
      </c>
      <c r="C3" s="102">
        <f>3.7+0.69*DADOS!E54</f>
        <v>22.33</v>
      </c>
    </row>
    <row r="4" spans="2:15" ht="16.5" customHeight="1">
      <c r="B4" s="99" t="s">
        <v>246</v>
      </c>
      <c r="C4" s="102">
        <f>Inclinação!E4</f>
        <v>15</v>
      </c>
    </row>
    <row r="5" spans="2:15" ht="17.25" customHeight="1">
      <c r="B5" s="99" t="s">
        <v>220</v>
      </c>
      <c r="C5" s="101">
        <f>IF(DADOS!E11="t",100,IF(DADOS!E11="b",50,30))</f>
        <v>30</v>
      </c>
    </row>
    <row r="6" spans="2:15">
      <c r="B6" s="96" t="s">
        <v>247</v>
      </c>
      <c r="C6" s="94">
        <f>Temperatura!T16</f>
        <v>9</v>
      </c>
    </row>
    <row r="7" spans="2:15">
      <c r="B7" s="96" t="s">
        <v>248</v>
      </c>
      <c r="C7" s="94">
        <f>Temperatura!T17</f>
        <v>40</v>
      </c>
    </row>
    <row r="8" spans="2:15">
      <c r="B8" s="47"/>
      <c r="C8" s="18"/>
    </row>
    <row r="9" spans="2:15">
      <c r="B9" s="17"/>
      <c r="C9" s="103" t="s">
        <v>122</v>
      </c>
      <c r="D9" s="103" t="s">
        <v>123</v>
      </c>
      <c r="E9" s="103" t="s">
        <v>124</v>
      </c>
      <c r="F9" s="103" t="s">
        <v>125</v>
      </c>
      <c r="G9" s="103" t="s">
        <v>126</v>
      </c>
      <c r="H9" s="103" t="s">
        <v>127</v>
      </c>
      <c r="I9" s="103" t="s">
        <v>128</v>
      </c>
      <c r="J9" s="103" t="s">
        <v>129</v>
      </c>
      <c r="K9" s="103" t="s">
        <v>130</v>
      </c>
      <c r="L9" s="103" t="s">
        <v>131</v>
      </c>
      <c r="M9" s="103" t="s">
        <v>132</v>
      </c>
      <c r="N9" s="103" t="s">
        <v>133</v>
      </c>
      <c r="O9" s="103" t="s">
        <v>249</v>
      </c>
    </row>
    <row r="10" spans="2:15">
      <c r="B10" s="99" t="s">
        <v>250</v>
      </c>
      <c r="C10" s="124">
        <f>DADOS!C16</f>
        <v>0</v>
      </c>
      <c r="D10" s="124">
        <f>DADOS!C17</f>
        <v>0</v>
      </c>
      <c r="E10" s="124">
        <f>DADOS!C18</f>
        <v>0</v>
      </c>
      <c r="F10" s="124">
        <f>DADOS!C19</f>
        <v>0</v>
      </c>
      <c r="G10" s="124">
        <f>DADOS!C20</f>
        <v>0</v>
      </c>
      <c r="H10" s="124">
        <f>DADOS!C21</f>
        <v>0</v>
      </c>
      <c r="I10" s="124">
        <f>DADOS!C22</f>
        <v>0</v>
      </c>
      <c r="J10" s="124">
        <f>DADOS!C23</f>
        <v>0</v>
      </c>
      <c r="K10" s="124">
        <f>DADOS!C24</f>
        <v>0</v>
      </c>
      <c r="L10" s="124">
        <f>DADOS!C25</f>
        <v>0</v>
      </c>
      <c r="M10" s="124">
        <f>DADOS!C26</f>
        <v>0</v>
      </c>
      <c r="N10" s="124">
        <f>DADOS!C27</f>
        <v>0</v>
      </c>
      <c r="O10" s="124">
        <f>SUM(C10:N10)/12</f>
        <v>0</v>
      </c>
    </row>
    <row r="11" spans="2:15">
      <c r="B11" s="99" t="s">
        <v>251</v>
      </c>
      <c r="C11" s="100">
        <f>DADOS!C16-$C$5</f>
        <v>-30</v>
      </c>
      <c r="D11" s="100">
        <f>DADOS!C17-$C$5</f>
        <v>-30</v>
      </c>
      <c r="E11" s="100">
        <f>DADOS!C18-$C$5</f>
        <v>-30</v>
      </c>
      <c r="F11" s="100">
        <f>DADOS!C19-$C$5</f>
        <v>-30</v>
      </c>
      <c r="G11" s="100">
        <f>DADOS!C20-$C$5</f>
        <v>-30</v>
      </c>
      <c r="H11" s="100">
        <f>DADOS!C21-$C$5</f>
        <v>-30</v>
      </c>
      <c r="I11" s="100">
        <f>DADOS!C22-$C$5</f>
        <v>-30</v>
      </c>
      <c r="J11" s="100">
        <f>DADOS!C23-$C$5</f>
        <v>-30</v>
      </c>
      <c r="K11" s="100">
        <f>DADOS!C24-$C$5</f>
        <v>-30</v>
      </c>
      <c r="L11" s="100">
        <f>DADOS!C25-$C$5</f>
        <v>-30</v>
      </c>
      <c r="M11" s="100">
        <f>DADOS!C26-$C$5</f>
        <v>-30</v>
      </c>
      <c r="N11" s="100">
        <f>DADOS!C27-$C$5</f>
        <v>-30</v>
      </c>
      <c r="O11" s="118">
        <f>SUM(C11:N11)/12</f>
        <v>-30</v>
      </c>
    </row>
    <row r="12" spans="2:15">
      <c r="B12" s="99" t="s">
        <v>252</v>
      </c>
      <c r="C12" s="100">
        <f>C11*DADOS!$E$13</f>
        <v>-30</v>
      </c>
      <c r="D12" s="100">
        <f>D11*DADOS!$E$13</f>
        <v>-30</v>
      </c>
      <c r="E12" s="100">
        <f>E11*DADOS!$E$13</f>
        <v>-30</v>
      </c>
      <c r="F12" s="100">
        <f>F11*DADOS!$E$13</f>
        <v>-30</v>
      </c>
      <c r="G12" s="100">
        <f>G11*DADOS!$E$13</f>
        <v>-30</v>
      </c>
      <c r="H12" s="100">
        <f>H11*DADOS!$E$13</f>
        <v>-30</v>
      </c>
      <c r="I12" s="100">
        <f>I11*DADOS!$E$13</f>
        <v>-30</v>
      </c>
      <c r="J12" s="100">
        <f>J11*DADOS!$E$13</f>
        <v>-30</v>
      </c>
      <c r="K12" s="100">
        <f>K11*DADOS!$E$13</f>
        <v>-30</v>
      </c>
      <c r="L12" s="100">
        <f>L11*DADOS!$E$13</f>
        <v>-30</v>
      </c>
      <c r="M12" s="100">
        <f>M11*DADOS!$E$13</f>
        <v>-30</v>
      </c>
      <c r="N12" s="100">
        <f>N11*DADOS!$E$13</f>
        <v>-30</v>
      </c>
      <c r="O12" s="118">
        <f>SUM(C12:N12)/12</f>
        <v>-30</v>
      </c>
    </row>
    <row r="13" spans="2:15">
      <c r="B13" s="99" t="s">
        <v>253</v>
      </c>
      <c r="C13" s="119">
        <f>DADOS!$C59</f>
        <v>6.5</v>
      </c>
      <c r="D13" s="119">
        <f>DADOS!$C60</f>
        <v>6.1</v>
      </c>
      <c r="E13" s="119">
        <f>DADOS!$C61</f>
        <v>5.2</v>
      </c>
      <c r="F13" s="119">
        <f>DADOS!$C62</f>
        <v>4.0999999999999996</v>
      </c>
      <c r="G13" s="119">
        <f>DADOS!$C63</f>
        <v>3.1</v>
      </c>
      <c r="H13" s="119">
        <f>DADOS!$C64</f>
        <v>2.6</v>
      </c>
      <c r="I13" s="119">
        <f>DADOS!$C65</f>
        <v>2.9</v>
      </c>
      <c r="J13" s="119">
        <f>DADOS!$C66</f>
        <v>3.7</v>
      </c>
      <c r="K13" s="119">
        <f>DADOS!$C67</f>
        <v>4.0999999999999996</v>
      </c>
      <c r="L13" s="119">
        <f>DADOS!$C68</f>
        <v>5.2</v>
      </c>
      <c r="M13" s="119">
        <f>DADOS!$C69</f>
        <v>6.3</v>
      </c>
      <c r="N13" s="119">
        <f>DADOS!$C70</f>
        <v>6.7</v>
      </c>
      <c r="O13" s="97">
        <f>DADOS!C71</f>
        <v>4.7083333333333339</v>
      </c>
    </row>
    <row r="14" spans="2:15">
      <c r="B14" s="99" t="s">
        <v>59</v>
      </c>
      <c r="C14" s="119">
        <f>Cálculo!F50</f>
        <v>24.9</v>
      </c>
      <c r="D14" s="119">
        <f>Cálculo!G50</f>
        <v>24.4</v>
      </c>
      <c r="E14" s="119">
        <f>Cálculo!H50</f>
        <v>22.6</v>
      </c>
      <c r="F14" s="119">
        <f>Cálculo!I50</f>
        <v>19.399999999999999</v>
      </c>
      <c r="G14" s="119">
        <f>Cálculo!J50</f>
        <v>16.5</v>
      </c>
      <c r="H14" s="119">
        <f>Cálculo!K50</f>
        <v>14.2</v>
      </c>
      <c r="I14" s="119">
        <f>Cálculo!L50</f>
        <v>14.6</v>
      </c>
      <c r="J14" s="119">
        <f>Cálculo!M50</f>
        <v>16.2</v>
      </c>
      <c r="K14" s="119">
        <f>Cálculo!N50</f>
        <v>17.399999999999999</v>
      </c>
      <c r="L14" s="119">
        <f>Cálculo!O50</f>
        <v>19.899999999999999</v>
      </c>
      <c r="M14" s="119">
        <f>Cálculo!P50</f>
        <v>22.5</v>
      </c>
      <c r="N14" s="119">
        <f>Cálculo!Q50</f>
        <v>24.2</v>
      </c>
      <c r="O14" s="119"/>
    </row>
    <row r="15" spans="2:15">
      <c r="B15" s="99" t="s">
        <v>254</v>
      </c>
      <c r="C15" s="120">
        <f>DADOS!$C79</f>
        <v>0.11</v>
      </c>
      <c r="D15" s="120">
        <f>DADOS!$C80</f>
        <v>0.11</v>
      </c>
      <c r="E15" s="120">
        <f>DADOS!$C81</f>
        <v>0.11</v>
      </c>
      <c r="F15" s="120">
        <f>DADOS!$C82</f>
        <v>0.11</v>
      </c>
      <c r="G15" s="120">
        <f>DADOS!$C83</f>
        <v>0.11</v>
      </c>
      <c r="H15" s="120">
        <f>DADOS!$C84</f>
        <v>0.11</v>
      </c>
      <c r="I15" s="120">
        <f>DADOS!$C85</f>
        <v>0.11</v>
      </c>
      <c r="J15" s="120">
        <f>DADOS!$C86</f>
        <v>0.11</v>
      </c>
      <c r="K15" s="120">
        <f>DADOS!$C87</f>
        <v>0.11</v>
      </c>
      <c r="L15" s="120">
        <f>DADOS!$C88</f>
        <v>0.11</v>
      </c>
      <c r="M15" s="120">
        <f>DADOS!$C89</f>
        <v>0.11</v>
      </c>
      <c r="N15" s="120">
        <f>DADOS!$C90</f>
        <v>0.11</v>
      </c>
      <c r="O15" s="121"/>
    </row>
    <row r="16" spans="2:15">
      <c r="B16" s="99" t="s">
        <v>255</v>
      </c>
      <c r="C16" s="121">
        <f>100%-C15</f>
        <v>0.89</v>
      </c>
      <c r="D16" s="121">
        <f t="shared" ref="D16:N16" si="0">100%-D15</f>
        <v>0.89</v>
      </c>
      <c r="E16" s="121">
        <f t="shared" si="0"/>
        <v>0.89</v>
      </c>
      <c r="F16" s="121">
        <f t="shared" si="0"/>
        <v>0.89</v>
      </c>
      <c r="G16" s="121">
        <f t="shared" si="0"/>
        <v>0.89</v>
      </c>
      <c r="H16" s="121">
        <f t="shared" si="0"/>
        <v>0.89</v>
      </c>
      <c r="I16" s="121">
        <f t="shared" si="0"/>
        <v>0.89</v>
      </c>
      <c r="J16" s="121">
        <f t="shared" si="0"/>
        <v>0.89</v>
      </c>
      <c r="K16" s="121">
        <f t="shared" si="0"/>
        <v>0.89</v>
      </c>
      <c r="L16" s="121">
        <f t="shared" si="0"/>
        <v>0.89</v>
      </c>
      <c r="M16" s="121">
        <f t="shared" si="0"/>
        <v>0.89</v>
      </c>
      <c r="N16" s="121">
        <f t="shared" si="0"/>
        <v>0.89</v>
      </c>
      <c r="O16" s="121"/>
    </row>
    <row r="17" spans="2:15">
      <c r="B17" s="99" t="s">
        <v>256</v>
      </c>
      <c r="C17" s="97">
        <f t="shared" ref="C17:N17" si="1">C13*C16</f>
        <v>5.7850000000000001</v>
      </c>
      <c r="D17" s="97">
        <f t="shared" si="1"/>
        <v>5.4289999999999994</v>
      </c>
      <c r="E17" s="97">
        <f t="shared" si="1"/>
        <v>4.6280000000000001</v>
      </c>
      <c r="F17" s="97">
        <f t="shared" si="1"/>
        <v>3.6489999999999996</v>
      </c>
      <c r="G17" s="97">
        <f t="shared" si="1"/>
        <v>2.7590000000000003</v>
      </c>
      <c r="H17" s="97">
        <f t="shared" si="1"/>
        <v>2.3140000000000001</v>
      </c>
      <c r="I17" s="97">
        <f t="shared" si="1"/>
        <v>2.581</v>
      </c>
      <c r="J17" s="97">
        <f t="shared" si="1"/>
        <v>3.2930000000000001</v>
      </c>
      <c r="K17" s="97">
        <f t="shared" si="1"/>
        <v>3.6489999999999996</v>
      </c>
      <c r="L17" s="97">
        <f t="shared" si="1"/>
        <v>4.6280000000000001</v>
      </c>
      <c r="M17" s="97">
        <f t="shared" si="1"/>
        <v>5.6070000000000002</v>
      </c>
      <c r="N17" s="97">
        <f t="shared" si="1"/>
        <v>5.9630000000000001</v>
      </c>
      <c r="O17" s="97">
        <f>SUM(C17:N17)/12</f>
        <v>4.1904166666666667</v>
      </c>
    </row>
    <row r="18" spans="2:15">
      <c r="B18" s="99" t="s">
        <v>257</v>
      </c>
      <c r="C18" s="122">
        <f>Inclinação!D7</f>
        <v>0.99</v>
      </c>
      <c r="D18" s="122">
        <f>Inclinação!E7</f>
        <v>1.02</v>
      </c>
      <c r="E18" s="122">
        <f>Inclinação!F7</f>
        <v>1.07</v>
      </c>
      <c r="F18" s="122">
        <f>Inclinação!G7</f>
        <v>1.1299999999999999</v>
      </c>
      <c r="G18" s="122">
        <f>Inclinação!H7</f>
        <v>1.1599999999999999</v>
      </c>
      <c r="H18" s="122">
        <f>Inclinação!I7</f>
        <v>1.1599999999999999</v>
      </c>
      <c r="I18" s="122">
        <f>Inclinação!J7</f>
        <v>1.1399999999999999</v>
      </c>
      <c r="J18" s="122">
        <f>Inclinação!K7</f>
        <v>1.1000000000000001</v>
      </c>
      <c r="K18" s="122">
        <f>Inclinação!L7</f>
        <v>1.06</v>
      </c>
      <c r="L18" s="122">
        <f>Inclinação!M7</f>
        <v>1.02</v>
      </c>
      <c r="M18" s="122">
        <f>Inclinação!N7</f>
        <v>0.99</v>
      </c>
      <c r="N18" s="122">
        <f>Inclinação!O7</f>
        <v>0.97</v>
      </c>
      <c r="O18" s="97">
        <f>SUM(C18:N18)/12</f>
        <v>1.0675000000000001</v>
      </c>
    </row>
    <row r="20" spans="2:15">
      <c r="B20" s="123" t="s">
        <v>258</v>
      </c>
      <c r="C20" s="30">
        <f t="shared" ref="C20:N20" si="2">C17*C18</f>
        <v>5.72715</v>
      </c>
      <c r="D20" s="30">
        <f t="shared" si="2"/>
        <v>5.5375799999999993</v>
      </c>
      <c r="E20" s="30">
        <f t="shared" si="2"/>
        <v>4.9519600000000006</v>
      </c>
      <c r="F20" s="30">
        <f t="shared" si="2"/>
        <v>4.1233699999999995</v>
      </c>
      <c r="G20" s="30">
        <f t="shared" si="2"/>
        <v>3.2004400000000004</v>
      </c>
      <c r="H20" s="30">
        <f t="shared" si="2"/>
        <v>2.68424</v>
      </c>
      <c r="I20" s="30">
        <f t="shared" si="2"/>
        <v>2.9423399999999997</v>
      </c>
      <c r="J20" s="30">
        <f t="shared" si="2"/>
        <v>3.6223000000000005</v>
      </c>
      <c r="K20" s="30">
        <f t="shared" si="2"/>
        <v>3.8679399999999999</v>
      </c>
      <c r="L20" s="30">
        <f t="shared" si="2"/>
        <v>4.7205599999999999</v>
      </c>
      <c r="M20" s="30">
        <f t="shared" si="2"/>
        <v>5.5509300000000001</v>
      </c>
      <c r="N20" s="30">
        <f t="shared" si="2"/>
        <v>5.7841100000000001</v>
      </c>
      <c r="O20" s="30">
        <f>AVERAGE(C20:N20)</f>
        <v>4.3927433333333328</v>
      </c>
    </row>
    <row r="22" spans="2:15">
      <c r="B22" s="17" t="s">
        <v>259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 t="s">
        <v>130</v>
      </c>
      <c r="L22" s="3" t="s">
        <v>131</v>
      </c>
      <c r="M22" s="3" t="s">
        <v>132</v>
      </c>
      <c r="N22" s="3" t="s">
        <v>133</v>
      </c>
      <c r="O22" s="3" t="s">
        <v>249</v>
      </c>
    </row>
    <row r="23" spans="2:15">
      <c r="B23" s="28" t="s">
        <v>260</v>
      </c>
      <c r="C23" s="31">
        <f>(1+((C14-25)*'Painel e Inversor'!$R$11/100))</f>
        <v>1.00027</v>
      </c>
      <c r="D23" s="31">
        <f>(1+((D14-25)*'Painel e Inversor'!$R$11/100))</f>
        <v>1.00162</v>
      </c>
      <c r="E23" s="31">
        <f>(1+((E14-25)*'Painel e Inversor'!$R$11/100))</f>
        <v>1.00648</v>
      </c>
      <c r="F23" s="31">
        <f>(1+((F14-25)*'Painel e Inversor'!$R$11/100))</f>
        <v>1.01512</v>
      </c>
      <c r="G23" s="31">
        <f>(1+((G14-25)*'Painel e Inversor'!$R$11/100))</f>
        <v>1.02295</v>
      </c>
      <c r="H23" s="31">
        <f>(1+((H14-25)*'Painel e Inversor'!$R$11/100))</f>
        <v>1.0291600000000001</v>
      </c>
      <c r="I23" s="31">
        <f>(1+((I14-25)*'Painel e Inversor'!$R$11/100))</f>
        <v>1.0280800000000001</v>
      </c>
      <c r="J23" s="31">
        <f>(1+((J14-25)*'Painel e Inversor'!$R$11/100))</f>
        <v>1.02376</v>
      </c>
      <c r="K23" s="31">
        <f>(1+((K14-25)*'Painel e Inversor'!$R$11/100))</f>
        <v>1.0205200000000001</v>
      </c>
      <c r="L23" s="31">
        <f>(1+((L14-25)*'Painel e Inversor'!$R$11/100))</f>
        <v>1.0137700000000001</v>
      </c>
      <c r="M23" s="31">
        <f>(1+((M14-25)*'Painel e Inversor'!$R$11/100))</f>
        <v>1.00675</v>
      </c>
      <c r="N23" s="31">
        <f>(1+((N14-25)*'Painel e Inversor'!$R$11/100))</f>
        <v>1.0021599999999999</v>
      </c>
    </row>
    <row r="24" spans="2:15">
      <c r="B24" s="28" t="s">
        <v>261</v>
      </c>
      <c r="C24" s="29">
        <f>'Painel e Inversor'!$R$7*C23</f>
        <v>41.811285999999996</v>
      </c>
      <c r="D24" s="29">
        <f>'Painel e Inversor'!$R$7*D23</f>
        <v>41.867715999999994</v>
      </c>
      <c r="E24" s="29">
        <f>'Painel e Inversor'!$R$7*E23</f>
        <v>42.070864</v>
      </c>
      <c r="F24" s="29">
        <f>'Painel e Inversor'!$R$7*F23</f>
        <v>42.432015999999997</v>
      </c>
      <c r="G24" s="29">
        <f>'Painel e Inversor'!$R$7*G23</f>
        <v>42.759309999999999</v>
      </c>
      <c r="H24" s="29">
        <f>'Painel e Inversor'!$R$7*H23</f>
        <v>43.018887999999997</v>
      </c>
      <c r="I24" s="29">
        <f>'Painel e Inversor'!$R$7*I23</f>
        <v>42.973744000000003</v>
      </c>
      <c r="J24" s="29">
        <f>'Painel e Inversor'!$R$7*J23</f>
        <v>42.793167999999994</v>
      </c>
      <c r="K24" s="29">
        <f>'Painel e Inversor'!$R$7*K23</f>
        <v>42.657736</v>
      </c>
      <c r="L24" s="29">
        <f>'Painel e Inversor'!$R$7*L23</f>
        <v>42.375585999999998</v>
      </c>
      <c r="M24" s="29">
        <f>'Painel e Inversor'!$R$7*M23</f>
        <v>42.082149999999999</v>
      </c>
      <c r="N24" s="29">
        <f>'Painel e Inversor'!$R$7*N23</f>
        <v>41.890287999999991</v>
      </c>
      <c r="O24" s="29">
        <f>AVERAGE(C24:M24)</f>
        <v>42.440224000000001</v>
      </c>
    </row>
    <row r="25" spans="2:15">
      <c r="C25" s="48"/>
      <c r="D25" s="48"/>
      <c r="E25" s="48"/>
    </row>
    <row r="27" spans="2:15">
      <c r="B27" s="14" t="s">
        <v>262</v>
      </c>
      <c r="C27" s="14" t="s">
        <v>263</v>
      </c>
      <c r="D27" s="15" t="s">
        <v>264</v>
      </c>
      <c r="E27" s="15"/>
    </row>
    <row r="28" spans="2:15">
      <c r="B28" s="28" t="s">
        <v>265</v>
      </c>
      <c r="C28" s="32">
        <f>(1+(('Dados compilados'!C6-25)*'Painel e Inversor'!$R$11/100))</f>
        <v>1.0431999999999999</v>
      </c>
      <c r="D28" s="16">
        <f>C28*'Painel e Inversor'!R6</f>
        <v>51.899199999999993</v>
      </c>
      <c r="E28" s="16" t="s">
        <v>178</v>
      </c>
    </row>
    <row r="29" spans="2:15">
      <c r="B29" s="28" t="s">
        <v>266</v>
      </c>
      <c r="C29" s="32">
        <f>(1+(('Dados compilados'!C7-25)*'Painel e Inversor'!$R$11/100))</f>
        <v>0.95950000000000002</v>
      </c>
      <c r="D29" s="16">
        <f>C29*'Painel e Inversor'!R7</f>
        <v>40.107099999999996</v>
      </c>
      <c r="E29" s="16" t="s">
        <v>178</v>
      </c>
    </row>
    <row r="30" spans="2:15">
      <c r="B30" s="28" t="s">
        <v>267</v>
      </c>
      <c r="C30" s="32">
        <f>(1+(('Dados compilados'!C7-25)*'Painel e Inversor'!$R$13/100))</f>
        <v>1.006</v>
      </c>
      <c r="D30" s="16">
        <f>C30*'Painel e Inversor'!R9</f>
        <v>14.013579999999999</v>
      </c>
      <c r="E30" s="16" t="s">
        <v>197</v>
      </c>
    </row>
    <row r="33" spans="2:4">
      <c r="D33" t="s">
        <v>268</v>
      </c>
    </row>
    <row r="34" spans="2:4">
      <c r="C34" s="62"/>
    </row>
    <row r="36" spans="2:4">
      <c r="B36" s="33"/>
    </row>
    <row r="40" spans="2:4">
      <c r="B40" s="33"/>
    </row>
    <row r="44" spans="2:4">
      <c r="B44" s="33"/>
    </row>
    <row r="48" spans="2:4">
      <c r="B48" s="33"/>
    </row>
    <row r="52" spans="2:2">
      <c r="B52" s="33"/>
    </row>
    <row r="56" spans="2:2">
      <c r="B56" s="3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AC107"/>
  <sheetViews>
    <sheetView topLeftCell="Q55" zoomScale="60" zoomScaleNormal="60" workbookViewId="0">
      <selection activeCell="W63" sqref="W63"/>
    </sheetView>
  </sheetViews>
  <sheetFormatPr defaultColWidth="11" defaultRowHeight="15.6"/>
  <cols>
    <col min="1" max="1" width="4.3984375" customWidth="1"/>
    <col min="2" max="2" width="48.8984375" customWidth="1"/>
    <col min="3" max="3" width="8.5" customWidth="1"/>
    <col min="4" max="4" width="15.5" bestFit="1" customWidth="1"/>
    <col min="5" max="5" width="8.19921875" bestFit="1" customWidth="1"/>
    <col min="6" max="6" width="12" bestFit="1" customWidth="1"/>
    <col min="7" max="7" width="10.5" bestFit="1" customWidth="1"/>
    <col min="8" max="9" width="12" bestFit="1" customWidth="1"/>
    <col min="10" max="11" width="19.09765625" bestFit="1" customWidth="1"/>
    <col min="12" max="15" width="12.59765625" bestFit="1" customWidth="1"/>
    <col min="16" max="16" width="77.09765625" customWidth="1"/>
    <col min="17" max="17" width="12.69921875" customWidth="1"/>
    <col min="18" max="18" width="62.8984375" bestFit="1" customWidth="1"/>
    <col min="26" max="26" width="39.19921875" bestFit="1" customWidth="1"/>
    <col min="27" max="27" width="13.8984375" bestFit="1" customWidth="1"/>
    <col min="28" max="28" width="13.5" customWidth="1"/>
  </cols>
  <sheetData>
    <row r="1" spans="1:20" ht="15.75" customHeight="1">
      <c r="A1" s="392" t="s">
        <v>269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</row>
    <row r="2" spans="1:20" ht="15.75" customHeight="1">
      <c r="A2" s="394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3"/>
    </row>
    <row r="3" spans="1:20">
      <c r="A3" s="191"/>
      <c r="B3" s="191"/>
      <c r="C3" s="191"/>
      <c r="D3" s="193"/>
      <c r="E3" s="194" t="s">
        <v>270</v>
      </c>
      <c r="F3" s="194" t="s">
        <v>271</v>
      </c>
      <c r="G3" s="194" t="s">
        <v>271</v>
      </c>
      <c r="H3" s="194" t="s">
        <v>271</v>
      </c>
      <c r="I3" s="194" t="s">
        <v>271</v>
      </c>
      <c r="J3" s="194" t="s">
        <v>770</v>
      </c>
      <c r="K3" s="199" t="s">
        <v>271</v>
      </c>
      <c r="L3" s="244" t="s">
        <v>270</v>
      </c>
      <c r="M3" s="244" t="s">
        <v>775</v>
      </c>
      <c r="N3" s="244" t="s">
        <v>270</v>
      </c>
      <c r="O3" s="244" t="s">
        <v>270</v>
      </c>
      <c r="P3" s="199" t="s">
        <v>775</v>
      </c>
      <c r="Q3" s="199" t="s">
        <v>775</v>
      </c>
      <c r="R3" s="192" t="s">
        <v>272</v>
      </c>
      <c r="S3" s="190" t="s">
        <v>273</v>
      </c>
      <c r="T3" s="190" t="s">
        <v>273</v>
      </c>
    </row>
    <row r="4" spans="1:20">
      <c r="A4" s="184"/>
      <c r="B4" s="184"/>
      <c r="C4" s="184"/>
      <c r="D4" s="184"/>
      <c r="E4" s="190" t="s">
        <v>273</v>
      </c>
      <c r="F4" s="190" t="s">
        <v>105</v>
      </c>
      <c r="G4" s="197" t="s">
        <v>274</v>
      </c>
      <c r="H4" s="190" t="s">
        <v>275</v>
      </c>
      <c r="I4" s="190" t="s">
        <v>276</v>
      </c>
      <c r="J4" s="190" t="s">
        <v>771</v>
      </c>
      <c r="K4" s="190" t="s">
        <v>772</v>
      </c>
      <c r="L4" s="190" t="s">
        <v>773</v>
      </c>
      <c r="M4" s="190" t="s">
        <v>774</v>
      </c>
      <c r="N4" s="190" t="s">
        <v>804</v>
      </c>
      <c r="O4" s="190" t="s">
        <v>831</v>
      </c>
      <c r="P4" s="190" t="s">
        <v>834</v>
      </c>
      <c r="Q4" s="190" t="s">
        <v>835</v>
      </c>
      <c r="R4" s="190" t="str">
        <f>VLOOKUP(Cálculo!B7,S3:T17,2,FALSE)</f>
        <v>545W</v>
      </c>
      <c r="S4" s="190" t="s">
        <v>275</v>
      </c>
      <c r="T4" s="190" t="s">
        <v>275</v>
      </c>
    </row>
    <row r="5" spans="1:20">
      <c r="A5" s="184"/>
      <c r="B5" s="184" t="s">
        <v>277</v>
      </c>
      <c r="C5" s="184" t="s">
        <v>152</v>
      </c>
      <c r="D5" s="184" t="s">
        <v>205</v>
      </c>
      <c r="E5" s="186">
        <v>340</v>
      </c>
      <c r="F5" s="186">
        <v>410</v>
      </c>
      <c r="G5" s="186">
        <v>400</v>
      </c>
      <c r="H5" s="186">
        <v>365</v>
      </c>
      <c r="I5" s="186">
        <v>420</v>
      </c>
      <c r="J5" s="239">
        <v>405</v>
      </c>
      <c r="K5" s="186">
        <v>415</v>
      </c>
      <c r="L5" s="186">
        <v>440</v>
      </c>
      <c r="M5" s="186">
        <v>535</v>
      </c>
      <c r="N5" s="186">
        <v>450</v>
      </c>
      <c r="O5" s="186">
        <v>445</v>
      </c>
      <c r="P5" s="186">
        <v>540</v>
      </c>
      <c r="Q5" s="186">
        <v>545</v>
      </c>
      <c r="R5" s="186">
        <f>IF($R$4=$E$4,E5,IF($R$4=$F$4,F5,IF($R$4=$G$4,G5,IF($R$4=$H$4,H5,IF($R$4=$I$4,I5,IF($R$4=$J$4,J5,IF($R$4=$K$4,K5,IF($R$4=$L$4,L5,IF($R$4=$M$4,M5,IF($R$4=$N$4,N5,IF($R$4=$O$4,O5,IF($R$4=$P$4,P5,IF($R$4=$Q$4,Q5)))))))))))))</f>
        <v>545</v>
      </c>
      <c r="S5" s="190" t="s">
        <v>105</v>
      </c>
      <c r="T5" s="190" t="s">
        <v>105</v>
      </c>
    </row>
    <row r="6" spans="1:20">
      <c r="A6" s="184"/>
      <c r="B6" s="184" t="s">
        <v>278</v>
      </c>
      <c r="C6" s="184" t="s">
        <v>182</v>
      </c>
      <c r="D6" s="184" t="s">
        <v>178</v>
      </c>
      <c r="E6" s="186">
        <v>46.3</v>
      </c>
      <c r="F6" s="186">
        <v>47.6</v>
      </c>
      <c r="G6" s="186">
        <v>47.2</v>
      </c>
      <c r="H6" s="186">
        <v>47.2</v>
      </c>
      <c r="I6" s="186">
        <v>48</v>
      </c>
      <c r="J6" s="186">
        <v>49.3</v>
      </c>
      <c r="K6" s="186">
        <v>47.8</v>
      </c>
      <c r="L6" s="186">
        <v>52.62</v>
      </c>
      <c r="M6" s="186">
        <v>49.45</v>
      </c>
      <c r="N6" s="186">
        <v>52.82</v>
      </c>
      <c r="O6" s="186">
        <v>49.7</v>
      </c>
      <c r="P6" s="186">
        <v>49.6</v>
      </c>
      <c r="Q6" s="186">
        <v>49.75</v>
      </c>
      <c r="R6" s="186">
        <f>IF($R$4=$E$4,E6,IF($R$4=$F$4,F6,IF($R$4=$G$4,G6,IF($R$4=$H$4,H6,IF($R$4=$I$4,I6,IF($R$4=$J$4,J6,IF($R$4=$K$4,K6,IF($R$4=$L$4,L6,IF($R$4=$M$4,M6,IF($R$4=$N$4,N6,IF($R$4=$O$4,O6,IF($R$4=$P$4,P6,IF($R$4=$Q$4,Q6)))))))))))))</f>
        <v>49.75</v>
      </c>
      <c r="S6" s="190"/>
      <c r="T6" s="190"/>
    </row>
    <row r="7" spans="1:20">
      <c r="A7" s="184"/>
      <c r="B7" s="184" t="s">
        <v>279</v>
      </c>
      <c r="C7" s="184" t="s">
        <v>184</v>
      </c>
      <c r="D7" s="184" t="s">
        <v>178</v>
      </c>
      <c r="E7" s="186">
        <v>38.700000000000003</v>
      </c>
      <c r="F7" s="186">
        <v>39.1</v>
      </c>
      <c r="G7" s="186">
        <v>38.700000000000003</v>
      </c>
      <c r="H7" s="186">
        <v>39.799999999999997</v>
      </c>
      <c r="I7" s="186">
        <v>39.5</v>
      </c>
      <c r="J7" s="186">
        <v>40.700000000000003</v>
      </c>
      <c r="K7" s="186">
        <v>39.299999999999997</v>
      </c>
      <c r="L7" s="186">
        <v>43.8</v>
      </c>
      <c r="M7" s="186">
        <v>41.47</v>
      </c>
      <c r="N7" s="186">
        <v>44</v>
      </c>
      <c r="O7" s="186">
        <v>41.3</v>
      </c>
      <c r="P7" s="186">
        <v>41.64</v>
      </c>
      <c r="Q7" s="186">
        <v>41.8</v>
      </c>
      <c r="R7" s="186">
        <f>IF($R$4=$E$4,E7,IF($R$4=$F$4,F7,IF($R$4=$G$4,G7,IF($R$4=$H$4,H7,IF($R$4=$I$4,I7,IF($R$4=$J$4,J7,IF($R$4=$K$4,K7,IF($R$4=$L$4,L7,IF($R$4=$M$4,M7,IF($R$4=$N$4,N7,IF($R$4=$O$4,O7,IF($R$4=$P$4,P7,IF($R$4=$Q$4,Q7)))))))))))))</f>
        <v>41.8</v>
      </c>
      <c r="S7" s="190"/>
      <c r="T7" s="190"/>
    </row>
    <row r="8" spans="1:20">
      <c r="A8" s="184"/>
      <c r="B8" s="184" t="s">
        <v>280</v>
      </c>
      <c r="C8" s="184" t="s">
        <v>281</v>
      </c>
      <c r="D8" s="184" t="s">
        <v>197</v>
      </c>
      <c r="E8" s="186">
        <v>8.8000000000000007</v>
      </c>
      <c r="F8" s="186">
        <v>10.49</v>
      </c>
      <c r="G8" s="186">
        <v>10.34</v>
      </c>
      <c r="H8" s="186">
        <v>9.18</v>
      </c>
      <c r="I8" s="186">
        <v>10.64</v>
      </c>
      <c r="J8" s="186">
        <v>9.9600000000000009</v>
      </c>
      <c r="K8" s="186">
        <v>10.56</v>
      </c>
      <c r="L8" s="186">
        <v>10.06</v>
      </c>
      <c r="M8" s="186">
        <v>12.9</v>
      </c>
      <c r="N8" s="186">
        <v>10.24</v>
      </c>
      <c r="O8" s="186">
        <v>10.9</v>
      </c>
      <c r="P8" s="186">
        <v>12.97</v>
      </c>
      <c r="Q8" s="186">
        <v>13.04</v>
      </c>
      <c r="R8" s="186">
        <f>IF($R$4=$E$4,E8,IF($R$4=$F$4,F8,IF($R$4=$G$4,G8,IF($R$4=$H$4,H8,IF($R$4=$I$4,I8,IF($R$4=$J$4,J8,IF($R$4=$K$4,K8,IF($R$4=$L$4,L8,IF($R$4=$M$4,M8,IF($R$4=$N$4,N8,IF($R$4=$O$4,O8,IF($R$4=$P$4,P8,IF($R$4=$Q$4,Q8)))))))))))))</f>
        <v>13.04</v>
      </c>
      <c r="S8" s="197" t="s">
        <v>274</v>
      </c>
      <c r="T8" s="197" t="s">
        <v>274</v>
      </c>
    </row>
    <row r="9" spans="1:20">
      <c r="A9" s="184"/>
      <c r="B9" s="184" t="s">
        <v>195</v>
      </c>
      <c r="C9" s="184" t="s">
        <v>196</v>
      </c>
      <c r="D9" s="184" t="s">
        <v>197</v>
      </c>
      <c r="E9" s="186">
        <v>9.4</v>
      </c>
      <c r="F9" s="186">
        <v>11.06</v>
      </c>
      <c r="G9" s="186">
        <v>10.9</v>
      </c>
      <c r="H9" s="186">
        <v>9.75</v>
      </c>
      <c r="I9" s="186">
        <v>11.26</v>
      </c>
      <c r="J9" s="186">
        <v>10.56</v>
      </c>
      <c r="K9" s="186">
        <v>11.14</v>
      </c>
      <c r="L9" s="186">
        <v>10.67</v>
      </c>
      <c r="M9" s="186">
        <v>11.05</v>
      </c>
      <c r="N9" s="186">
        <v>10.87</v>
      </c>
      <c r="O9" s="186">
        <v>11.5</v>
      </c>
      <c r="P9" s="186">
        <v>13.86</v>
      </c>
      <c r="Q9" s="186">
        <v>13.93</v>
      </c>
      <c r="R9" s="186">
        <f t="shared" ref="R9:R10" si="0">IF($R$4=$E$4,E9,IF($R$4=$F$4,F9,IF($R$4=$G$4,G9,IF($R$4=$H$4,H9,IF($R$4=$I$4,I9,IF($R$4=$J$4,J9,IF($R$4=$K$4,K9,IF($R$4=$L$4,L9,IF($R$4=$M$4,M9,IF($R$4=$N$4,N9,IF($R$4=$O$4,O9,IF($R$4=$P$4,P9,IF($R$4=$Q$4,Q9)))))))))))))</f>
        <v>13.93</v>
      </c>
      <c r="S9" s="226" t="s">
        <v>276</v>
      </c>
      <c r="T9" s="240" t="s">
        <v>276</v>
      </c>
    </row>
    <row r="10" spans="1:20">
      <c r="A10" s="184"/>
      <c r="B10" s="184" t="s">
        <v>282</v>
      </c>
      <c r="C10" s="184" t="s">
        <v>283</v>
      </c>
      <c r="D10" s="184" t="s">
        <v>197</v>
      </c>
      <c r="E10" s="186">
        <f>E9</f>
        <v>9.4</v>
      </c>
      <c r="F10" s="186">
        <v>11.06</v>
      </c>
      <c r="G10" s="186">
        <v>10.9</v>
      </c>
      <c r="H10" s="186">
        <v>9.75</v>
      </c>
      <c r="I10" s="186">
        <v>11.26</v>
      </c>
      <c r="J10" s="186">
        <v>10.56</v>
      </c>
      <c r="K10" s="186">
        <v>10.56</v>
      </c>
      <c r="L10" s="186">
        <v>10.67</v>
      </c>
      <c r="M10" s="186">
        <v>11.05</v>
      </c>
      <c r="N10" s="186">
        <v>10.87</v>
      </c>
      <c r="O10" s="186">
        <v>11.5</v>
      </c>
      <c r="P10" s="186">
        <v>13.86</v>
      </c>
      <c r="Q10" s="186">
        <v>13.93</v>
      </c>
      <c r="R10" s="186">
        <f t="shared" si="0"/>
        <v>13.93</v>
      </c>
      <c r="S10" s="197" t="s">
        <v>771</v>
      </c>
      <c r="T10" s="197" t="s">
        <v>771</v>
      </c>
    </row>
    <row r="11" spans="1:20">
      <c r="A11" s="184"/>
      <c r="B11" s="184" t="s">
        <v>284</v>
      </c>
      <c r="C11" s="184" t="s">
        <v>285</v>
      </c>
      <c r="D11" s="184" t="s">
        <v>286</v>
      </c>
      <c r="E11" s="186">
        <v>-0.32</v>
      </c>
      <c r="F11" s="186">
        <v>-0.28999999999999998</v>
      </c>
      <c r="G11" s="186">
        <v>-0.28999999999999998</v>
      </c>
      <c r="H11" s="186">
        <v>-0.28999999999999998</v>
      </c>
      <c r="I11" s="186">
        <v>-0.28000000000000003</v>
      </c>
      <c r="J11" s="186">
        <v>-0.26</v>
      </c>
      <c r="K11" s="186">
        <v>-0.28999999999999998</v>
      </c>
      <c r="L11" s="186">
        <v>-0.28999999999999998</v>
      </c>
      <c r="M11" s="186">
        <v>-0.27</v>
      </c>
      <c r="N11" s="186">
        <v>-0.28999999999999998</v>
      </c>
      <c r="O11" s="186">
        <v>-0.28999999999999998</v>
      </c>
      <c r="P11" s="186">
        <v>-0.27</v>
      </c>
      <c r="Q11" s="186">
        <v>-0.27</v>
      </c>
      <c r="R11" s="186">
        <f>IF($R$4=$E$4,E11,IF($R$4=$F$4,F11,IF($R$4=$G$4,G11,IF($R$4=$H$4,H11,IF($R$4=$I$4,I11,IF($R$4=$J$4,J11,IF($R$4=$K$4,K11,IF($R$4=$L$4,L11,IF($R$4=$M$4,M11,IF($R$4=$N$4,N11,IF($R$4=$O$4,O11,IF($R$4=$P$4,P11,IF($R$4=$Q$4,Q11)))))))))))))</f>
        <v>-0.27</v>
      </c>
      <c r="S11" s="190" t="s">
        <v>772</v>
      </c>
      <c r="T11" s="190" t="s">
        <v>772</v>
      </c>
    </row>
    <row r="12" spans="1:20">
      <c r="A12" s="184"/>
      <c r="B12" s="184" t="s">
        <v>287</v>
      </c>
      <c r="C12" s="184"/>
      <c r="D12" s="184" t="s">
        <v>286</v>
      </c>
      <c r="E12" s="186">
        <v>-0.39</v>
      </c>
      <c r="F12" s="186">
        <v>-0.37</v>
      </c>
      <c r="G12" s="186">
        <v>-0.37</v>
      </c>
      <c r="H12" s="186">
        <v>-0.37</v>
      </c>
      <c r="I12" s="186">
        <v>-0.36</v>
      </c>
      <c r="J12" s="186">
        <v>-0.36</v>
      </c>
      <c r="K12" s="186">
        <v>-0.37</v>
      </c>
      <c r="L12" s="186">
        <v>-0.37</v>
      </c>
      <c r="M12" s="186">
        <v>-0.35</v>
      </c>
      <c r="N12" s="186">
        <v>-0.37</v>
      </c>
      <c r="O12" s="186">
        <v>-0.37</v>
      </c>
      <c r="P12" s="186">
        <v>-0.35</v>
      </c>
      <c r="Q12" s="186">
        <v>-0.35</v>
      </c>
      <c r="R12" s="186">
        <f t="shared" ref="R12:R18" si="1">IF($R$4=$E$4,E12,IF($R$4=$F$4,F12,IF($R$4=$G$4,G12,IF($R$4=$H$4,H12,IF($R$4=$I$4,I12,IF($R$4=$J$4,J12,IF($R$4=$K$4,K12,IF($R$4=$L$4,L12,IF($R$4=$M$4,M12,IF($R$4=$N$4,N12,IF($R$4=$O$4,O12,IF($R$4=$P$4,P12,IF($R$4=$Q$4,Q12)))))))))))))</f>
        <v>-0.35</v>
      </c>
      <c r="S12" s="190" t="s">
        <v>773</v>
      </c>
      <c r="T12" s="190" t="s">
        <v>773</v>
      </c>
    </row>
    <row r="13" spans="1:20">
      <c r="A13" s="184"/>
      <c r="B13" s="184" t="s">
        <v>288</v>
      </c>
      <c r="C13" s="184" t="s">
        <v>289</v>
      </c>
      <c r="D13" s="184" t="s">
        <v>286</v>
      </c>
      <c r="E13" s="186">
        <v>5.5E-2</v>
      </c>
      <c r="F13" s="186">
        <v>0.05</v>
      </c>
      <c r="G13" s="186">
        <v>0.05</v>
      </c>
      <c r="H13" s="186">
        <v>0.05</v>
      </c>
      <c r="I13" s="186">
        <v>0.05</v>
      </c>
      <c r="J13" s="186">
        <v>4.2999999999999997E-2</v>
      </c>
      <c r="K13" s="186">
        <v>0.05</v>
      </c>
      <c r="L13" s="186">
        <v>0.05</v>
      </c>
      <c r="M13" s="186">
        <v>0.04</v>
      </c>
      <c r="N13" s="186">
        <v>0.05</v>
      </c>
      <c r="O13" s="186">
        <v>0.05</v>
      </c>
      <c r="P13" s="186">
        <v>0.04</v>
      </c>
      <c r="Q13" s="186">
        <v>0.04</v>
      </c>
      <c r="R13" s="186">
        <f t="shared" si="1"/>
        <v>0.04</v>
      </c>
      <c r="S13" s="226" t="s">
        <v>831</v>
      </c>
      <c r="T13" s="226" t="s">
        <v>831</v>
      </c>
    </row>
    <row r="14" spans="1:20">
      <c r="A14" s="184"/>
      <c r="B14" s="184" t="s">
        <v>150</v>
      </c>
      <c r="C14" s="184"/>
      <c r="D14" s="184" t="s">
        <v>290</v>
      </c>
      <c r="E14" s="186">
        <v>45</v>
      </c>
      <c r="F14" s="186">
        <v>45</v>
      </c>
      <c r="G14" s="186">
        <v>42</v>
      </c>
      <c r="H14" s="186">
        <v>42</v>
      </c>
      <c r="I14" s="186">
        <v>42</v>
      </c>
      <c r="J14" s="186">
        <v>43</v>
      </c>
      <c r="K14" s="186">
        <v>42</v>
      </c>
      <c r="L14" s="186">
        <v>45</v>
      </c>
      <c r="M14" s="186">
        <v>45</v>
      </c>
      <c r="N14" s="186">
        <v>44</v>
      </c>
      <c r="O14" s="186">
        <v>44</v>
      </c>
      <c r="P14" s="186">
        <v>45</v>
      </c>
      <c r="Q14" s="186">
        <v>45</v>
      </c>
      <c r="R14" s="186">
        <f t="shared" si="1"/>
        <v>45</v>
      </c>
      <c r="S14" s="190" t="s">
        <v>774</v>
      </c>
      <c r="T14" s="190" t="s">
        <v>774</v>
      </c>
    </row>
    <row r="15" spans="1:20">
      <c r="A15" s="184"/>
      <c r="B15" s="184" t="s">
        <v>291</v>
      </c>
      <c r="C15" s="184"/>
      <c r="D15" s="184" t="s">
        <v>292</v>
      </c>
      <c r="E15" s="186">
        <v>2.0099999999999998</v>
      </c>
      <c r="F15" s="186">
        <v>2.1080000000000001</v>
      </c>
      <c r="G15" s="186">
        <v>2.1080000000000001</v>
      </c>
      <c r="H15" s="186">
        <v>2</v>
      </c>
      <c r="I15" s="186">
        <v>2.1080000000000001</v>
      </c>
      <c r="J15" s="186">
        <v>2.008</v>
      </c>
      <c r="K15" s="186">
        <v>2.1080000000000001</v>
      </c>
      <c r="L15" s="186">
        <v>2.1779999999999999</v>
      </c>
      <c r="M15" s="186">
        <v>2.2789999999999999</v>
      </c>
      <c r="N15" s="186">
        <v>2.1779999999999999</v>
      </c>
      <c r="O15" s="186">
        <v>2.1080000000000001</v>
      </c>
      <c r="P15" s="186">
        <v>2.2789999999999999</v>
      </c>
      <c r="Q15" s="186">
        <v>2.2789999999999999</v>
      </c>
      <c r="R15" s="186">
        <f t="shared" si="1"/>
        <v>2.2789999999999999</v>
      </c>
      <c r="S15" s="190" t="s">
        <v>804</v>
      </c>
      <c r="T15" s="190" t="s">
        <v>804</v>
      </c>
    </row>
    <row r="16" spans="1:20">
      <c r="A16" s="184"/>
      <c r="B16" s="184" t="s">
        <v>293</v>
      </c>
      <c r="C16" s="184"/>
      <c r="D16" s="184" t="s">
        <v>292</v>
      </c>
      <c r="E16" s="198">
        <v>0.99199999999999999</v>
      </c>
      <c r="F16" s="186">
        <v>1.048</v>
      </c>
      <c r="G16" s="186">
        <v>1.048</v>
      </c>
      <c r="H16" s="186">
        <v>0.99199999999999999</v>
      </c>
      <c r="I16" s="186">
        <v>1.048</v>
      </c>
      <c r="J16" s="186">
        <v>1.002</v>
      </c>
      <c r="K16" s="186">
        <v>1.048</v>
      </c>
      <c r="L16" s="186">
        <v>0.996</v>
      </c>
      <c r="M16" s="186">
        <v>1.1339999999999999</v>
      </c>
      <c r="N16" s="186">
        <v>0.996</v>
      </c>
      <c r="O16" s="186">
        <v>1.048</v>
      </c>
      <c r="P16" s="186">
        <v>1.1339999999999999</v>
      </c>
      <c r="Q16" s="186">
        <v>1.1339999999999999</v>
      </c>
      <c r="R16" s="186">
        <f t="shared" si="1"/>
        <v>1.1339999999999999</v>
      </c>
      <c r="S16" s="190" t="s">
        <v>834</v>
      </c>
      <c r="T16" s="190" t="s">
        <v>834</v>
      </c>
    </row>
    <row r="17" spans="1:20">
      <c r="A17" s="184"/>
      <c r="B17" s="184" t="s">
        <v>13</v>
      </c>
      <c r="C17" s="184"/>
      <c r="D17" s="184" t="s">
        <v>294</v>
      </c>
      <c r="E17" s="198">
        <f>E15*E16</f>
        <v>1.9939199999999997</v>
      </c>
      <c r="F17" s="186">
        <v>2.21</v>
      </c>
      <c r="G17" s="198">
        <f>G16*G15</f>
        <v>2.209184</v>
      </c>
      <c r="H17" s="186">
        <f>H16*H15</f>
        <v>1.984</v>
      </c>
      <c r="I17" s="186">
        <v>2.21</v>
      </c>
      <c r="J17" s="186">
        <f>J15*J16</f>
        <v>2.012016</v>
      </c>
      <c r="K17" s="186">
        <f>K16*K15</f>
        <v>2.209184</v>
      </c>
      <c r="L17" s="186">
        <f>L16*L15</f>
        <v>2.1692879999999999</v>
      </c>
      <c r="M17" s="186">
        <f>M15*M16</f>
        <v>2.5843859999999999</v>
      </c>
      <c r="N17" s="186">
        <f>N15*N16</f>
        <v>2.1692879999999999</v>
      </c>
      <c r="O17" s="186">
        <f>O15*O16</f>
        <v>2.209184</v>
      </c>
      <c r="P17" s="186">
        <f>P15*P16</f>
        <v>2.5843859999999999</v>
      </c>
      <c r="Q17" s="186">
        <f>Q15*Q16</f>
        <v>2.5843859999999999</v>
      </c>
      <c r="R17" s="186">
        <f t="shared" si="1"/>
        <v>2.5843859999999999</v>
      </c>
      <c r="S17" s="190" t="s">
        <v>835</v>
      </c>
      <c r="T17" s="190" t="s">
        <v>835</v>
      </c>
    </row>
    <row r="18" spans="1:20">
      <c r="A18" s="184"/>
      <c r="B18" s="184" t="s">
        <v>295</v>
      </c>
      <c r="C18" s="184"/>
      <c r="D18" s="184" t="s">
        <v>294</v>
      </c>
      <c r="E18" s="198">
        <f t="shared" ref="E18:J18" si="2">E17*1.1</f>
        <v>2.1933119999999997</v>
      </c>
      <c r="F18" s="186">
        <f t="shared" si="2"/>
        <v>2.431</v>
      </c>
      <c r="G18" s="198">
        <f t="shared" si="2"/>
        <v>2.4301024000000004</v>
      </c>
      <c r="H18" s="186">
        <f t="shared" si="2"/>
        <v>2.1824000000000003</v>
      </c>
      <c r="I18" s="186">
        <f t="shared" si="2"/>
        <v>2.431</v>
      </c>
      <c r="J18" s="186">
        <f t="shared" si="2"/>
        <v>2.2132176000000001</v>
      </c>
      <c r="K18" s="186">
        <f t="shared" ref="K18:Q18" si="3">K17*1.1</f>
        <v>2.4301024000000004</v>
      </c>
      <c r="L18" s="186">
        <f t="shared" si="3"/>
        <v>2.3862168000000001</v>
      </c>
      <c r="M18" s="186">
        <f t="shared" si="3"/>
        <v>2.8428246000000001</v>
      </c>
      <c r="N18" s="186">
        <f t="shared" si="3"/>
        <v>2.3862168000000001</v>
      </c>
      <c r="O18" s="186">
        <f t="shared" si="3"/>
        <v>2.4301024000000004</v>
      </c>
      <c r="P18" s="186">
        <f t="shared" si="3"/>
        <v>2.8428246000000001</v>
      </c>
      <c r="Q18" s="186">
        <f t="shared" si="3"/>
        <v>2.8428246000000001</v>
      </c>
      <c r="R18" s="186">
        <f t="shared" si="1"/>
        <v>2.8428246000000001</v>
      </c>
    </row>
    <row r="20" spans="1:20">
      <c r="A20" s="396" t="s">
        <v>296</v>
      </c>
      <c r="B20" s="396"/>
      <c r="C20" s="396"/>
      <c r="D20" s="396"/>
      <c r="E20" s="396"/>
      <c r="F20" s="18"/>
      <c r="H20" s="184" t="s">
        <v>822</v>
      </c>
      <c r="I20" s="184" t="s">
        <v>830</v>
      </c>
      <c r="J20" s="184" t="s">
        <v>823</v>
      </c>
      <c r="K20" s="184" t="s">
        <v>821</v>
      </c>
    </row>
    <row r="21" spans="1:20">
      <c r="A21" s="184"/>
      <c r="B21" s="184" t="s">
        <v>297</v>
      </c>
      <c r="C21" s="184" t="s">
        <v>199</v>
      </c>
      <c r="D21" s="184" t="s">
        <v>178</v>
      </c>
      <c r="E21" s="184">
        <v>500</v>
      </c>
      <c r="H21" s="186" t="s">
        <v>273</v>
      </c>
      <c r="I21" s="184"/>
      <c r="J21" s="300">
        <v>18.14</v>
      </c>
      <c r="K21" s="301">
        <v>80</v>
      </c>
    </row>
    <row r="22" spans="1:20">
      <c r="A22" s="184"/>
      <c r="B22" s="184" t="s">
        <v>298</v>
      </c>
      <c r="C22" s="184" t="s">
        <v>180</v>
      </c>
      <c r="D22" s="184" t="s">
        <v>178</v>
      </c>
      <c r="E22" s="184">
        <v>120</v>
      </c>
      <c r="H22" s="186" t="s">
        <v>824</v>
      </c>
      <c r="I22" s="184"/>
      <c r="J22" s="300">
        <v>18.149999999999999</v>
      </c>
      <c r="K22" s="301">
        <v>80</v>
      </c>
    </row>
    <row r="23" spans="1:20">
      <c r="A23" s="184"/>
      <c r="B23" s="184" t="s">
        <v>299</v>
      </c>
      <c r="C23" s="184" t="s">
        <v>201</v>
      </c>
      <c r="D23" s="184" t="s">
        <v>197</v>
      </c>
      <c r="E23" s="184">
        <v>14</v>
      </c>
      <c r="H23" s="186" t="s">
        <v>275</v>
      </c>
      <c r="I23" s="184"/>
      <c r="J23" s="300">
        <v>18.399999999999999</v>
      </c>
      <c r="K23" s="301">
        <v>80</v>
      </c>
    </row>
    <row r="24" spans="1:20">
      <c r="A24" s="184"/>
      <c r="B24" s="184" t="s">
        <v>300</v>
      </c>
      <c r="C24" s="184" t="s">
        <v>301</v>
      </c>
      <c r="D24" s="184" t="s">
        <v>302</v>
      </c>
      <c r="E24" s="195">
        <v>97</v>
      </c>
      <c r="H24" s="186" t="s">
        <v>274</v>
      </c>
      <c r="I24" s="184"/>
      <c r="J24" s="300">
        <v>19.989999999999998</v>
      </c>
      <c r="K24" s="301">
        <v>80</v>
      </c>
    </row>
    <row r="25" spans="1:20">
      <c r="A25" s="184"/>
      <c r="B25" s="184" t="s">
        <v>303</v>
      </c>
      <c r="C25" s="184" t="s">
        <v>304</v>
      </c>
      <c r="D25" s="184" t="s">
        <v>205</v>
      </c>
      <c r="E25" s="196">
        <v>1700</v>
      </c>
      <c r="H25" s="186" t="s">
        <v>771</v>
      </c>
      <c r="I25" s="186" t="s">
        <v>825</v>
      </c>
      <c r="J25" s="300">
        <v>20.100000000000001</v>
      </c>
      <c r="K25" s="301">
        <v>80</v>
      </c>
    </row>
    <row r="26" spans="1:20">
      <c r="H26" s="186" t="s">
        <v>105</v>
      </c>
      <c r="I26" s="186" t="s">
        <v>826</v>
      </c>
      <c r="J26" s="300">
        <v>18.559999999999999</v>
      </c>
      <c r="K26" s="301">
        <v>80</v>
      </c>
    </row>
    <row r="27" spans="1:20">
      <c r="A27" s="396" t="s">
        <v>305</v>
      </c>
      <c r="B27" s="396"/>
      <c r="C27" s="396"/>
      <c r="D27" s="396"/>
      <c r="E27" s="396"/>
      <c r="H27" s="186" t="s">
        <v>772</v>
      </c>
      <c r="I27" s="186" t="s">
        <v>826</v>
      </c>
      <c r="J27" s="300">
        <v>18.79</v>
      </c>
      <c r="K27" s="301">
        <v>80</v>
      </c>
    </row>
    <row r="28" spans="1:20">
      <c r="A28" s="184"/>
      <c r="B28" s="184" t="s">
        <v>297</v>
      </c>
      <c r="C28" s="184" t="s">
        <v>199</v>
      </c>
      <c r="D28" s="184" t="s">
        <v>178</v>
      </c>
      <c r="E28" s="184">
        <v>500</v>
      </c>
      <c r="H28" s="186" t="s">
        <v>276</v>
      </c>
      <c r="I28" s="186" t="s">
        <v>827</v>
      </c>
      <c r="J28" s="300">
        <v>19</v>
      </c>
      <c r="K28" s="301">
        <v>80</v>
      </c>
    </row>
    <row r="29" spans="1:20">
      <c r="A29" s="184"/>
      <c r="B29" s="184" t="s">
        <v>298</v>
      </c>
      <c r="C29" s="184" t="s">
        <v>180</v>
      </c>
      <c r="D29" s="184" t="s">
        <v>178</v>
      </c>
      <c r="E29" s="184">
        <v>210</v>
      </c>
      <c r="H29" s="186" t="s">
        <v>773</v>
      </c>
      <c r="I29" s="186" t="s">
        <v>828</v>
      </c>
      <c r="J29" s="300">
        <v>20.3</v>
      </c>
      <c r="K29" s="301">
        <v>84.8</v>
      </c>
    </row>
    <row r="30" spans="1:20">
      <c r="A30" s="184"/>
      <c r="B30" s="184" t="s">
        <v>299</v>
      </c>
      <c r="C30" s="184" t="s">
        <v>201</v>
      </c>
      <c r="D30" s="184" t="s">
        <v>197</v>
      </c>
      <c r="E30" s="184">
        <v>15</v>
      </c>
      <c r="H30" s="302" t="s">
        <v>831</v>
      </c>
      <c r="I30" s="186" t="s">
        <v>828</v>
      </c>
      <c r="J30" s="303" t="s">
        <v>846</v>
      </c>
      <c r="K30" s="304">
        <v>84.8</v>
      </c>
    </row>
    <row r="31" spans="1:20">
      <c r="A31" s="184"/>
      <c r="B31" s="184" t="s">
        <v>300</v>
      </c>
      <c r="C31" s="184" t="s">
        <v>301</v>
      </c>
      <c r="D31" s="184" t="s">
        <v>302</v>
      </c>
      <c r="E31" s="184">
        <v>97.2</v>
      </c>
      <c r="H31" s="186" t="s">
        <v>804</v>
      </c>
      <c r="I31" s="186" t="s">
        <v>829</v>
      </c>
      <c r="J31" s="300">
        <v>21</v>
      </c>
      <c r="K31" s="301">
        <v>81</v>
      </c>
    </row>
    <row r="32" spans="1:20">
      <c r="A32" s="184"/>
      <c r="B32" s="184" t="s">
        <v>303</v>
      </c>
      <c r="C32" s="184" t="s">
        <v>304</v>
      </c>
      <c r="D32" s="184" t="s">
        <v>205</v>
      </c>
      <c r="E32" s="196">
        <v>3150</v>
      </c>
      <c r="H32" s="186" t="s">
        <v>774</v>
      </c>
      <c r="I32" s="186" t="s">
        <v>836</v>
      </c>
      <c r="J32" s="300">
        <v>20.7</v>
      </c>
      <c r="K32" s="301">
        <v>83.1</v>
      </c>
    </row>
    <row r="33" spans="1:11">
      <c r="H33" s="186" t="s">
        <v>834</v>
      </c>
      <c r="I33" s="186" t="s">
        <v>836</v>
      </c>
      <c r="J33" s="186">
        <v>20.9</v>
      </c>
      <c r="K33" s="186">
        <v>83.1</v>
      </c>
    </row>
    <row r="34" spans="1:11">
      <c r="A34" s="396" t="s">
        <v>306</v>
      </c>
      <c r="B34" s="396"/>
      <c r="C34" s="396"/>
      <c r="D34" s="396"/>
      <c r="E34" s="396"/>
      <c r="H34" s="186" t="s">
        <v>835</v>
      </c>
      <c r="I34" s="186" t="s">
        <v>836</v>
      </c>
      <c r="J34" s="186">
        <v>21.1</v>
      </c>
      <c r="K34" s="186">
        <v>83.1</v>
      </c>
    </row>
    <row r="35" spans="1:11">
      <c r="A35" s="184"/>
      <c r="B35" s="184" t="s">
        <v>297</v>
      </c>
      <c r="C35" s="184" t="s">
        <v>199</v>
      </c>
      <c r="D35" s="184" t="s">
        <v>178</v>
      </c>
      <c r="E35" s="184">
        <v>500</v>
      </c>
    </row>
    <row r="36" spans="1:11">
      <c r="A36" s="184"/>
      <c r="B36" s="184" t="s">
        <v>298</v>
      </c>
      <c r="C36" s="184" t="s">
        <v>180</v>
      </c>
      <c r="D36" s="184" t="s">
        <v>178</v>
      </c>
      <c r="E36" s="184">
        <v>175</v>
      </c>
    </row>
    <row r="37" spans="1:11">
      <c r="A37" s="184"/>
      <c r="B37" s="184" t="s">
        <v>299</v>
      </c>
      <c r="C37" s="184" t="s">
        <v>201</v>
      </c>
      <c r="D37" s="184" t="s">
        <v>197</v>
      </c>
      <c r="E37" s="184">
        <v>15</v>
      </c>
    </row>
    <row r="38" spans="1:11">
      <c r="A38" s="184"/>
      <c r="B38" s="184" t="s">
        <v>300</v>
      </c>
      <c r="C38" s="184" t="s">
        <v>301</v>
      </c>
      <c r="D38" s="184" t="s">
        <v>302</v>
      </c>
      <c r="E38" s="184">
        <v>97.5</v>
      </c>
    </row>
    <row r="39" spans="1:11">
      <c r="A39" s="184"/>
      <c r="B39" s="184" t="s">
        <v>303</v>
      </c>
      <c r="C39" s="184" t="s">
        <v>304</v>
      </c>
      <c r="D39" s="184" t="s">
        <v>205</v>
      </c>
      <c r="E39" s="196">
        <v>5200</v>
      </c>
    </row>
    <row r="41" spans="1:11">
      <c r="A41" s="396" t="s">
        <v>307</v>
      </c>
      <c r="B41" s="396"/>
      <c r="C41" s="396"/>
      <c r="D41" s="396"/>
      <c r="E41" s="396"/>
    </row>
    <row r="42" spans="1:11">
      <c r="A42" s="184"/>
      <c r="B42" s="184" t="s">
        <v>297</v>
      </c>
      <c r="C42" s="184" t="s">
        <v>199</v>
      </c>
      <c r="D42" s="184" t="s">
        <v>178</v>
      </c>
      <c r="E42" s="184">
        <v>800</v>
      </c>
    </row>
    <row r="43" spans="1:11">
      <c r="A43" s="184"/>
      <c r="B43" s="184" t="s">
        <v>298</v>
      </c>
      <c r="C43" s="184" t="s">
        <v>180</v>
      </c>
      <c r="D43" s="184" t="s">
        <v>178</v>
      </c>
      <c r="E43" s="184">
        <v>380</v>
      </c>
    </row>
    <row r="44" spans="1:11">
      <c r="A44" s="184"/>
      <c r="B44" s="184" t="s">
        <v>299</v>
      </c>
      <c r="C44" s="184" t="s">
        <v>201</v>
      </c>
      <c r="D44" s="184" t="s">
        <v>197</v>
      </c>
      <c r="E44" s="184">
        <v>20</v>
      </c>
    </row>
    <row r="45" spans="1:11">
      <c r="A45" s="184"/>
      <c r="B45" s="184" t="s">
        <v>300</v>
      </c>
      <c r="C45" s="184" t="s">
        <v>301</v>
      </c>
      <c r="D45" s="184" t="s">
        <v>302</v>
      </c>
      <c r="E45" s="184">
        <v>98</v>
      </c>
    </row>
    <row r="46" spans="1:11">
      <c r="A46" s="184"/>
      <c r="B46" s="184" t="s">
        <v>303</v>
      </c>
      <c r="C46" s="184" t="s">
        <v>304</v>
      </c>
      <c r="D46" s="184" t="s">
        <v>205</v>
      </c>
      <c r="E46" s="196">
        <v>12250</v>
      </c>
    </row>
    <row r="48" spans="1:11">
      <c r="A48" s="396" t="s">
        <v>308</v>
      </c>
      <c r="B48" s="396"/>
      <c r="C48" s="396"/>
      <c r="D48" s="396"/>
      <c r="E48" s="396"/>
    </row>
    <row r="49" spans="1:29">
      <c r="A49" s="184"/>
      <c r="B49" s="184" t="s">
        <v>297</v>
      </c>
      <c r="C49" s="184" t="s">
        <v>199</v>
      </c>
      <c r="D49" s="184" t="s">
        <v>178</v>
      </c>
      <c r="E49" s="184">
        <v>800</v>
      </c>
    </row>
    <row r="50" spans="1:29">
      <c r="A50" s="184"/>
      <c r="B50" s="184" t="s">
        <v>298</v>
      </c>
      <c r="C50" s="184" t="s">
        <v>180</v>
      </c>
      <c r="D50" s="184" t="s">
        <v>178</v>
      </c>
      <c r="E50" s="184">
        <v>500</v>
      </c>
    </row>
    <row r="51" spans="1:29">
      <c r="A51" s="184"/>
      <c r="B51" s="184" t="s">
        <v>299</v>
      </c>
      <c r="C51" s="184" t="s">
        <v>201</v>
      </c>
      <c r="D51" s="184" t="s">
        <v>197</v>
      </c>
      <c r="E51" s="184">
        <v>20</v>
      </c>
    </row>
    <row r="52" spans="1:29">
      <c r="A52" s="184"/>
      <c r="B52" s="184" t="s">
        <v>300</v>
      </c>
      <c r="C52" s="184" t="s">
        <v>301</v>
      </c>
      <c r="D52" s="184" t="s">
        <v>302</v>
      </c>
      <c r="E52" s="184">
        <v>97.5</v>
      </c>
    </row>
    <row r="53" spans="1:29">
      <c r="A53" s="184"/>
      <c r="B53" s="184" t="s">
        <v>303</v>
      </c>
      <c r="C53" s="184" t="s">
        <v>304</v>
      </c>
      <c r="D53" s="184" t="s">
        <v>205</v>
      </c>
      <c r="E53" s="196">
        <v>20500</v>
      </c>
    </row>
    <row r="57" spans="1:29">
      <c r="B57" s="390" t="s">
        <v>309</v>
      </c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</row>
    <row r="58" spans="1:29">
      <c r="B58" s="391"/>
      <c r="C58" s="391"/>
      <c r="D58" s="391"/>
      <c r="E58" s="391"/>
      <c r="F58" s="391"/>
      <c r="G58" s="391"/>
      <c r="H58" s="391"/>
      <c r="I58" s="391"/>
      <c r="J58" s="391"/>
      <c r="K58" s="391"/>
      <c r="L58" s="391"/>
      <c r="M58" s="391"/>
      <c r="N58" s="391"/>
      <c r="O58" s="391"/>
      <c r="P58" s="391"/>
      <c r="Q58" s="391"/>
      <c r="R58" s="391"/>
    </row>
    <row r="59" spans="1:29" ht="62.4">
      <c r="B59" s="184"/>
      <c r="C59" s="185" t="s">
        <v>199</v>
      </c>
      <c r="D59" s="185" t="s">
        <v>180</v>
      </c>
      <c r="E59" s="185" t="s">
        <v>201</v>
      </c>
      <c r="F59" s="185" t="s">
        <v>301</v>
      </c>
      <c r="G59" s="185" t="s">
        <v>310</v>
      </c>
      <c r="H59" s="185" t="s">
        <v>311</v>
      </c>
      <c r="I59" s="185" t="s">
        <v>312</v>
      </c>
      <c r="J59" s="185" t="s">
        <v>313</v>
      </c>
      <c r="K59" s="185" t="s">
        <v>314</v>
      </c>
      <c r="L59" s="185"/>
      <c r="M59" s="185"/>
      <c r="N59" s="185" t="s">
        <v>315</v>
      </c>
      <c r="O59" s="185"/>
      <c r="P59" s="182" t="s">
        <v>316</v>
      </c>
      <c r="Q59" s="182" t="s">
        <v>317</v>
      </c>
      <c r="R59" s="182" t="s">
        <v>318</v>
      </c>
      <c r="S59" s="305" t="s">
        <v>831</v>
      </c>
      <c r="T59" s="305" t="s">
        <v>804</v>
      </c>
      <c r="U59" s="305" t="s">
        <v>849</v>
      </c>
      <c r="V59" s="305" t="s">
        <v>774</v>
      </c>
      <c r="W59" s="305" t="s">
        <v>834</v>
      </c>
      <c r="X59" s="305" t="s">
        <v>835</v>
      </c>
      <c r="Y59" s="312" t="str">
        <f>Cálculo!B7</f>
        <v>545W</v>
      </c>
      <c r="Z59" s="182" t="s">
        <v>850</v>
      </c>
      <c r="AA59" s="182" t="s">
        <v>851</v>
      </c>
      <c r="AB59" s="182" t="s">
        <v>852</v>
      </c>
      <c r="AC59" s="182" t="s">
        <v>853</v>
      </c>
    </row>
    <row r="60" spans="1:29">
      <c r="B60" s="184" t="s">
        <v>319</v>
      </c>
      <c r="C60" s="186">
        <v>42</v>
      </c>
      <c r="D60" s="186">
        <v>24</v>
      </c>
      <c r="E60" s="186">
        <v>12</v>
      </c>
      <c r="F60" s="186">
        <v>95</v>
      </c>
      <c r="G60" s="186">
        <v>2</v>
      </c>
      <c r="H60" s="186">
        <v>1</v>
      </c>
      <c r="I60" s="198">
        <f>(Cálculo!$B$11*Cálculo!$D$52)/'Painel e Inversor'!K60</f>
        <v>7.975609756097561</v>
      </c>
      <c r="J60" s="198">
        <v>2.5499999999999998</v>
      </c>
      <c r="K60" s="188">
        <v>820</v>
      </c>
      <c r="L60" s="188"/>
      <c r="M60" s="188"/>
      <c r="N60" s="186">
        <v>54</v>
      </c>
      <c r="O60" s="186"/>
      <c r="P60" s="183" t="s">
        <v>776</v>
      </c>
      <c r="Q60" s="183" t="s">
        <v>321</v>
      </c>
      <c r="R60" s="183" t="s">
        <v>322</v>
      </c>
      <c r="S60" s="184">
        <v>445</v>
      </c>
      <c r="T60" s="184">
        <v>450</v>
      </c>
      <c r="U60" s="186">
        <v>455</v>
      </c>
      <c r="V60" s="184">
        <v>535</v>
      </c>
      <c r="W60" s="184">
        <v>540</v>
      </c>
      <c r="X60" s="184">
        <v>545</v>
      </c>
      <c r="Y60" s="311">
        <f>'Resumo dos Cálculos'!B19</f>
        <v>545</v>
      </c>
      <c r="Z60" s="184"/>
      <c r="AA60" s="306"/>
      <c r="AB60" s="307">
        <v>0</v>
      </c>
      <c r="AC60" s="186">
        <f>Y60</f>
        <v>545</v>
      </c>
    </row>
    <row r="61" spans="1:29">
      <c r="B61" s="184" t="s">
        <v>323</v>
      </c>
      <c r="C61" s="186">
        <v>42</v>
      </c>
      <c r="D61" s="186">
        <v>24</v>
      </c>
      <c r="E61" s="186">
        <v>12</v>
      </c>
      <c r="F61" s="186">
        <v>94</v>
      </c>
      <c r="G61" s="186">
        <v>2</v>
      </c>
      <c r="H61" s="186">
        <v>1</v>
      </c>
      <c r="I61" s="198">
        <f>(Cálculo!$B$11*Cálculo!$D$52)/'Painel e Inversor'!K61</f>
        <v>7.975609756097561</v>
      </c>
      <c r="J61" s="198">
        <v>5.09</v>
      </c>
      <c r="K61" s="188">
        <v>820</v>
      </c>
      <c r="L61" s="188"/>
      <c r="M61" s="188"/>
      <c r="N61" s="186">
        <v>54</v>
      </c>
      <c r="O61" s="186"/>
      <c r="P61" s="183" t="s">
        <v>320</v>
      </c>
      <c r="Q61" s="183" t="s">
        <v>321</v>
      </c>
      <c r="R61" s="183" t="s">
        <v>324</v>
      </c>
      <c r="S61" s="184"/>
      <c r="T61" s="184"/>
      <c r="U61" s="186"/>
      <c r="V61" s="184"/>
      <c r="W61" s="184"/>
      <c r="X61" s="184"/>
      <c r="Y61" s="186"/>
      <c r="Z61" s="184"/>
      <c r="AA61" s="306"/>
      <c r="AB61" s="188">
        <v>0</v>
      </c>
      <c r="AC61" s="186">
        <f t="shared" ref="AC61" si="4">Y61</f>
        <v>0</v>
      </c>
    </row>
    <row r="62" spans="1:29">
      <c r="B62" s="184" t="s">
        <v>865</v>
      </c>
      <c r="C62" s="186">
        <v>600</v>
      </c>
      <c r="D62" s="186">
        <v>80</v>
      </c>
      <c r="E62" s="186">
        <v>11</v>
      </c>
      <c r="F62" s="186">
        <v>96.8</v>
      </c>
      <c r="G62" s="186">
        <v>1</v>
      </c>
      <c r="H62" s="186">
        <v>1</v>
      </c>
      <c r="I62" s="198">
        <f>(Cálculo!$B$11*Cálculo!$D$52)/'Painel e Inversor'!K62</f>
        <v>1.4533333333333334</v>
      </c>
      <c r="J62" s="198">
        <v>13.6</v>
      </c>
      <c r="K62" s="188">
        <v>4500</v>
      </c>
      <c r="L62" s="188"/>
      <c r="M62" s="188"/>
      <c r="N62" s="186">
        <v>600</v>
      </c>
      <c r="O62" s="186"/>
      <c r="P62" s="183" t="s">
        <v>807</v>
      </c>
      <c r="Q62" s="183" t="s">
        <v>808</v>
      </c>
      <c r="R62" s="183" t="s">
        <v>326</v>
      </c>
      <c r="S62" s="184">
        <v>10</v>
      </c>
      <c r="T62" s="184">
        <v>10</v>
      </c>
      <c r="U62" s="186">
        <v>9</v>
      </c>
      <c r="V62" s="184">
        <v>8</v>
      </c>
      <c r="W62" s="184">
        <v>8</v>
      </c>
      <c r="X62" s="184">
        <v>9</v>
      </c>
      <c r="Y62" s="186">
        <f>HLOOKUP($Y$60,$S$60:$X$88,3)</f>
        <v>9</v>
      </c>
      <c r="Z62" s="184" t="s">
        <v>865</v>
      </c>
      <c r="AA62" s="306">
        <v>3095</v>
      </c>
      <c r="AB62" s="188">
        <v>6</v>
      </c>
      <c r="AC62" s="186">
        <f>Y62</f>
        <v>9</v>
      </c>
    </row>
    <row r="63" spans="1:29">
      <c r="B63" s="184" t="s">
        <v>866</v>
      </c>
      <c r="C63" s="186">
        <v>600</v>
      </c>
      <c r="D63" s="186">
        <v>90</v>
      </c>
      <c r="E63" s="186">
        <v>11</v>
      </c>
      <c r="F63" s="186">
        <v>97.3</v>
      </c>
      <c r="G63" s="186">
        <v>2</v>
      </c>
      <c r="H63" s="186">
        <v>1</v>
      </c>
      <c r="I63" s="198">
        <f>(Cálculo!$B$11*Cálculo!$D$52)/'Painel e Inversor'!K63</f>
        <v>1.0634146341463415</v>
      </c>
      <c r="J63" s="198">
        <v>18.2</v>
      </c>
      <c r="K63" s="188">
        <v>6150</v>
      </c>
      <c r="L63" s="188"/>
      <c r="M63" s="188"/>
      <c r="N63" s="186">
        <v>600</v>
      </c>
      <c r="O63" s="186"/>
      <c r="P63" s="183" t="s">
        <v>809</v>
      </c>
      <c r="Q63" s="183" t="s">
        <v>327</v>
      </c>
      <c r="R63" s="183" t="s">
        <v>328</v>
      </c>
      <c r="S63" s="184">
        <v>13</v>
      </c>
      <c r="T63" s="184">
        <v>13</v>
      </c>
      <c r="U63" s="186">
        <v>13</v>
      </c>
      <c r="V63" s="184">
        <v>11</v>
      </c>
      <c r="W63" s="184">
        <v>12</v>
      </c>
      <c r="X63" s="184">
        <v>12</v>
      </c>
      <c r="Y63" s="186">
        <v>12</v>
      </c>
      <c r="Z63" s="184" t="s">
        <v>866</v>
      </c>
      <c r="AA63" s="306">
        <v>3513</v>
      </c>
      <c r="AB63" s="188">
        <v>6</v>
      </c>
      <c r="AC63" s="186">
        <f t="shared" ref="AC63:AC75" si="5">Y63</f>
        <v>12</v>
      </c>
    </row>
    <row r="64" spans="1:29">
      <c r="B64" s="184" t="s">
        <v>838</v>
      </c>
      <c r="C64" s="186">
        <v>600</v>
      </c>
      <c r="D64" s="186">
        <v>90</v>
      </c>
      <c r="E64" s="186">
        <v>11</v>
      </c>
      <c r="F64" s="186">
        <v>97.3</v>
      </c>
      <c r="G64" s="186">
        <v>2</v>
      </c>
      <c r="H64" s="186">
        <v>1</v>
      </c>
      <c r="I64" s="198">
        <f>(Cálculo!$B$11*Cálculo!$D$52)/'Painel e Inversor'!K64</f>
        <v>0.86507936507936511</v>
      </c>
      <c r="J64" s="198">
        <v>22.7</v>
      </c>
      <c r="K64" s="188">
        <v>7560</v>
      </c>
      <c r="L64" s="188"/>
      <c r="M64" s="188"/>
      <c r="N64" s="186">
        <v>600</v>
      </c>
      <c r="O64" s="186"/>
      <c r="P64" s="183" t="s">
        <v>810</v>
      </c>
      <c r="Q64" s="183" t="s">
        <v>327</v>
      </c>
      <c r="R64" s="183" t="s">
        <v>329</v>
      </c>
      <c r="S64" s="184">
        <v>17</v>
      </c>
      <c r="T64" s="184">
        <v>16</v>
      </c>
      <c r="U64" s="186">
        <v>16</v>
      </c>
      <c r="V64" s="184">
        <v>14</v>
      </c>
      <c r="W64" s="184">
        <v>14</v>
      </c>
      <c r="X64" s="184">
        <v>14</v>
      </c>
      <c r="Y64" s="186">
        <f>HLOOKUP($Y$60,$S$60:$X$88,5)</f>
        <v>14</v>
      </c>
      <c r="Z64" s="184" t="s">
        <v>838</v>
      </c>
      <c r="AA64" s="306">
        <v>4144</v>
      </c>
      <c r="AB64" s="188">
        <v>6</v>
      </c>
      <c r="AC64" s="186">
        <f t="shared" si="5"/>
        <v>14</v>
      </c>
    </row>
    <row r="65" spans="2:29">
      <c r="B65" s="184" t="s">
        <v>855</v>
      </c>
      <c r="C65" s="186">
        <v>600</v>
      </c>
      <c r="D65" s="186">
        <v>120</v>
      </c>
      <c r="E65" s="186"/>
      <c r="F65" s="186">
        <v>97.3</v>
      </c>
      <c r="G65" s="186">
        <v>3</v>
      </c>
      <c r="H65" s="186">
        <v>1</v>
      </c>
      <c r="I65" s="198"/>
      <c r="J65" s="198">
        <v>35</v>
      </c>
      <c r="K65" s="188">
        <v>11550</v>
      </c>
      <c r="L65" s="188"/>
      <c r="M65" s="188"/>
      <c r="N65" s="186"/>
      <c r="O65" s="186"/>
      <c r="P65" s="183"/>
      <c r="Q65" s="183"/>
      <c r="R65" s="183"/>
      <c r="S65" s="184">
        <v>26</v>
      </c>
      <c r="T65" s="184">
        <v>26</v>
      </c>
      <c r="U65" s="186">
        <v>25</v>
      </c>
      <c r="V65" s="184">
        <v>21</v>
      </c>
      <c r="W65" s="184">
        <v>21</v>
      </c>
      <c r="X65" s="184">
        <v>21</v>
      </c>
      <c r="Y65" s="186">
        <f>HLOOKUP($Y$60,$S$60:$X$88,6)</f>
        <v>21</v>
      </c>
      <c r="Z65" s="184" t="s">
        <v>855</v>
      </c>
      <c r="AA65" s="306"/>
      <c r="AB65" s="188">
        <v>10</v>
      </c>
      <c r="AC65" s="186">
        <f>Y65</f>
        <v>21</v>
      </c>
    </row>
    <row r="66" spans="2:29">
      <c r="B66" s="184" t="s">
        <v>839</v>
      </c>
      <c r="C66" s="186">
        <v>600</v>
      </c>
      <c r="D66" s="186">
        <v>100</v>
      </c>
      <c r="E66" s="186">
        <v>10</v>
      </c>
      <c r="F66" s="186">
        <v>97.6</v>
      </c>
      <c r="G66" s="186">
        <v>3</v>
      </c>
      <c r="H66" s="186">
        <v>1</v>
      </c>
      <c r="I66" s="198">
        <f>(Cálculo!$B$11*Cálculo!$D$52)/'Painel e Inversor'!K66</f>
        <v>0.58392857142857146</v>
      </c>
      <c r="J66" s="198">
        <v>36.4</v>
      </c>
      <c r="K66" s="188">
        <v>11200</v>
      </c>
      <c r="L66" s="188"/>
      <c r="M66" s="188"/>
      <c r="N66" s="186">
        <v>600</v>
      </c>
      <c r="O66" s="186"/>
      <c r="P66" s="183" t="s">
        <v>811</v>
      </c>
      <c r="Q66" s="183" t="s">
        <v>327</v>
      </c>
      <c r="R66" s="183" t="s">
        <v>330</v>
      </c>
      <c r="S66" s="184">
        <v>25</v>
      </c>
      <c r="T66" s="184">
        <v>24</v>
      </c>
      <c r="U66" s="186">
        <v>24</v>
      </c>
      <c r="V66" s="184">
        <v>20</v>
      </c>
      <c r="W66" s="184">
        <v>20</v>
      </c>
      <c r="X66" s="184">
        <v>20</v>
      </c>
      <c r="Y66" s="186">
        <f>HLOOKUP($Y$60,$S$60:$W$88,7)</f>
        <v>20</v>
      </c>
      <c r="Z66" s="184" t="s">
        <v>839</v>
      </c>
      <c r="AA66" s="306">
        <v>7871</v>
      </c>
      <c r="AB66" s="188">
        <v>10</v>
      </c>
      <c r="AC66" s="186">
        <f t="shared" si="5"/>
        <v>20</v>
      </c>
    </row>
    <row r="67" spans="2:29">
      <c r="B67" s="184" t="s">
        <v>840</v>
      </c>
      <c r="C67" s="186">
        <v>600</v>
      </c>
      <c r="D67" s="186">
        <v>100</v>
      </c>
      <c r="E67" s="186">
        <v>10</v>
      </c>
      <c r="F67" s="186">
        <v>97.6</v>
      </c>
      <c r="G67" s="186">
        <v>3</v>
      </c>
      <c r="H67" s="186">
        <v>1</v>
      </c>
      <c r="I67" s="198">
        <f>(Cálculo!$B$11*Cálculo!$D$52)/'Painel e Inversor'!K67</f>
        <v>0.53431372549019607</v>
      </c>
      <c r="J67" s="198">
        <v>45.5</v>
      </c>
      <c r="K67" s="188">
        <v>12240</v>
      </c>
      <c r="L67" s="188"/>
      <c r="M67" s="188"/>
      <c r="N67" s="186">
        <v>600</v>
      </c>
      <c r="O67" s="186"/>
      <c r="P67" s="183" t="s">
        <v>812</v>
      </c>
      <c r="Q67" s="183" t="s">
        <v>325</v>
      </c>
      <c r="R67" s="183" t="s">
        <v>331</v>
      </c>
      <c r="S67" s="184">
        <v>27</v>
      </c>
      <c r="T67" s="184">
        <v>26</v>
      </c>
      <c r="U67" s="186">
        <v>26</v>
      </c>
      <c r="V67" s="308">
        <v>22</v>
      </c>
      <c r="W67" s="184">
        <v>22</v>
      </c>
      <c r="X67" s="184">
        <v>22</v>
      </c>
      <c r="Y67" s="186">
        <f>HLOOKUP($Y$60,$S$60:$W$88,8)</f>
        <v>22</v>
      </c>
      <c r="Z67" s="184" t="s">
        <v>840</v>
      </c>
      <c r="AA67" s="306">
        <v>8408</v>
      </c>
      <c r="AB67" s="188">
        <v>10</v>
      </c>
      <c r="AC67" s="186">
        <f t="shared" si="5"/>
        <v>22</v>
      </c>
    </row>
    <row r="68" spans="2:29">
      <c r="B68" s="184" t="s">
        <v>841</v>
      </c>
      <c r="C68" s="186">
        <v>1000</v>
      </c>
      <c r="D68" s="186">
        <v>200</v>
      </c>
      <c r="E68" s="186">
        <v>22</v>
      </c>
      <c r="F68" s="186">
        <v>98.1</v>
      </c>
      <c r="G68" s="186">
        <v>2</v>
      </c>
      <c r="H68" s="186">
        <v>2</v>
      </c>
      <c r="I68" s="198">
        <f>(Cálculo!$B$11*Cálculo!$D$52)/'Painel e Inversor'!K68</f>
        <v>0.35543478260869565</v>
      </c>
      <c r="J68" s="198">
        <v>25</v>
      </c>
      <c r="K68" s="188">
        <v>18400</v>
      </c>
      <c r="L68" s="188"/>
      <c r="M68" s="188"/>
      <c r="N68" s="186">
        <v>1000</v>
      </c>
      <c r="O68" s="186"/>
      <c r="P68" s="183" t="s">
        <v>813</v>
      </c>
      <c r="Q68" s="183" t="s">
        <v>332</v>
      </c>
      <c r="R68" s="183" t="s">
        <v>333</v>
      </c>
      <c r="S68" s="184">
        <v>40</v>
      </c>
      <c r="T68" s="184">
        <v>40</v>
      </c>
      <c r="U68" s="186">
        <v>38</v>
      </c>
      <c r="V68" s="184">
        <v>32</v>
      </c>
      <c r="W68" s="184">
        <v>32</v>
      </c>
      <c r="X68" s="184">
        <v>32</v>
      </c>
      <c r="Y68" s="186">
        <f>HLOOKUP($Y$60,$S$60:$W$88,9)</f>
        <v>32</v>
      </c>
      <c r="Z68" s="184" t="s">
        <v>841</v>
      </c>
      <c r="AA68" s="306">
        <v>9695</v>
      </c>
      <c r="AB68" s="188">
        <v>12</v>
      </c>
      <c r="AC68" s="186">
        <f t="shared" si="5"/>
        <v>32</v>
      </c>
    </row>
    <row r="69" spans="2:29">
      <c r="B69" s="184" t="s">
        <v>862</v>
      </c>
      <c r="C69" s="186">
        <v>1000</v>
      </c>
      <c r="D69" s="186">
        <v>200</v>
      </c>
      <c r="E69" s="186">
        <v>22</v>
      </c>
      <c r="F69" s="186">
        <v>98.1</v>
      </c>
      <c r="G69" s="186">
        <v>2</v>
      </c>
      <c r="H69" s="186">
        <v>2</v>
      </c>
      <c r="I69" s="198">
        <f>(Cálculo!$B$11*Cálculo!$D$52)/'Painel e Inversor'!K69</f>
        <v>0.26585365853658538</v>
      </c>
      <c r="J69" s="198">
        <v>33.4</v>
      </c>
      <c r="K69" s="188">
        <v>24600</v>
      </c>
      <c r="L69" s="188"/>
      <c r="M69" s="188"/>
      <c r="N69" s="186">
        <v>1000</v>
      </c>
      <c r="O69" s="186"/>
      <c r="P69" s="183" t="s">
        <v>814</v>
      </c>
      <c r="Q69" s="183" t="s">
        <v>335</v>
      </c>
      <c r="R69" s="183" t="s">
        <v>336</v>
      </c>
      <c r="S69" s="184">
        <v>54</v>
      </c>
      <c r="T69" s="184">
        <v>52</v>
      </c>
      <c r="U69" s="186">
        <v>52</v>
      </c>
      <c r="V69" s="184">
        <v>44</v>
      </c>
      <c r="W69" s="184">
        <v>44</v>
      </c>
      <c r="X69" s="184">
        <v>44</v>
      </c>
      <c r="Y69" s="186">
        <f>HLOOKUP($Y$60,$S$60:$W$88,10)</f>
        <v>44</v>
      </c>
      <c r="Z69" s="184" t="s">
        <v>862</v>
      </c>
      <c r="AA69" s="306">
        <v>10672</v>
      </c>
      <c r="AB69" s="188">
        <v>12</v>
      </c>
      <c r="AC69" s="186">
        <f t="shared" si="5"/>
        <v>44</v>
      </c>
    </row>
    <row r="70" spans="2:29">
      <c r="B70" s="184" t="s">
        <v>842</v>
      </c>
      <c r="C70" s="186">
        <v>1000</v>
      </c>
      <c r="D70" s="186">
        <v>200</v>
      </c>
      <c r="E70" s="186">
        <v>20</v>
      </c>
      <c r="F70" s="186">
        <v>98.7</v>
      </c>
      <c r="G70" s="186">
        <v>2</v>
      </c>
      <c r="H70" s="186">
        <v>2</v>
      </c>
      <c r="I70" s="198">
        <f>(Cálculo!$B$11*Cálculo!$D$52)/'Painel e Inversor'!K70</f>
        <v>0.26585365853658538</v>
      </c>
      <c r="J70" s="198">
        <v>52.5</v>
      </c>
      <c r="K70" s="188">
        <v>24600</v>
      </c>
      <c r="L70" s="188"/>
      <c r="M70" s="188"/>
      <c r="N70" s="186">
        <v>1000</v>
      </c>
      <c r="O70" s="186"/>
      <c r="P70" s="183" t="s">
        <v>334</v>
      </c>
      <c r="Q70" s="183" t="s">
        <v>337</v>
      </c>
      <c r="R70" s="183" t="s">
        <v>338</v>
      </c>
      <c r="S70" s="184"/>
      <c r="T70" s="184"/>
      <c r="U70" s="186"/>
      <c r="V70" s="184"/>
      <c r="W70" s="184"/>
      <c r="X70" s="184"/>
      <c r="Y70" s="186">
        <f>HLOOKUP($Y$60,$S$60:$W$88,10)</f>
        <v>44</v>
      </c>
      <c r="Z70" s="184" t="s">
        <v>842</v>
      </c>
      <c r="AA70" s="306">
        <v>0</v>
      </c>
      <c r="AB70" s="188">
        <v>12</v>
      </c>
      <c r="AC70" s="186">
        <f t="shared" si="5"/>
        <v>44</v>
      </c>
    </row>
    <row r="71" spans="2:29">
      <c r="B71" s="184" t="s">
        <v>864</v>
      </c>
      <c r="C71" s="186">
        <v>1000</v>
      </c>
      <c r="D71" s="189">
        <v>200</v>
      </c>
      <c r="E71" s="189">
        <v>14</v>
      </c>
      <c r="F71" s="189">
        <v>98.6</v>
      </c>
      <c r="G71" s="189">
        <v>4</v>
      </c>
      <c r="H71" s="189">
        <v>2</v>
      </c>
      <c r="I71" s="198">
        <f>(Cálculo!$B$11*Cálculo!$D$52)/'Painel e Inversor'!K71</f>
        <v>0.17694805194805194</v>
      </c>
      <c r="J71" s="200">
        <v>45.5</v>
      </c>
      <c r="K71" s="189">
        <v>36960</v>
      </c>
      <c r="L71" s="189"/>
      <c r="M71" s="189"/>
      <c r="N71" s="189">
        <v>1100</v>
      </c>
      <c r="O71" s="189"/>
      <c r="P71" s="183" t="s">
        <v>815</v>
      </c>
      <c r="Q71" s="183" t="s">
        <v>335</v>
      </c>
      <c r="R71" s="183" t="s">
        <v>339</v>
      </c>
      <c r="S71" s="184">
        <v>80</v>
      </c>
      <c r="T71" s="184">
        <v>80</v>
      </c>
      <c r="U71" s="186">
        <v>78</v>
      </c>
      <c r="V71" s="184">
        <v>66</v>
      </c>
      <c r="W71" s="184">
        <v>66</v>
      </c>
      <c r="X71" s="184">
        <v>66</v>
      </c>
      <c r="Y71" s="186">
        <f>HLOOKUP($Y$60,$S$60:$X$88,12)</f>
        <v>66</v>
      </c>
      <c r="Z71" s="184" t="s">
        <v>864</v>
      </c>
      <c r="AA71" s="306">
        <v>0</v>
      </c>
      <c r="AB71" s="189">
        <v>12</v>
      </c>
      <c r="AC71" s="186">
        <f t="shared" si="5"/>
        <v>66</v>
      </c>
    </row>
    <row r="72" spans="2:29">
      <c r="B72" s="184" t="s">
        <v>863</v>
      </c>
      <c r="C72" s="186">
        <v>1100</v>
      </c>
      <c r="D72" s="186">
        <v>200</v>
      </c>
      <c r="E72" s="186">
        <v>28.5</v>
      </c>
      <c r="F72" s="186">
        <v>96.5</v>
      </c>
      <c r="G72" s="186">
        <v>2</v>
      </c>
      <c r="H72" s="186">
        <v>3</v>
      </c>
      <c r="I72" s="198">
        <f>(Cálculo!$B$11*Cálculo!$D$52)/'Painel e Inversor'!K72</f>
        <v>0.17580645161290323</v>
      </c>
      <c r="J72" s="198">
        <v>78.8</v>
      </c>
      <c r="K72" s="188">
        <v>37200</v>
      </c>
      <c r="L72" s="188"/>
      <c r="M72" s="188"/>
      <c r="N72" s="186">
        <v>1100</v>
      </c>
      <c r="O72" s="186"/>
      <c r="P72" s="183" t="s">
        <v>340</v>
      </c>
      <c r="Q72" s="183" t="s">
        <v>335</v>
      </c>
      <c r="R72" s="183" t="s">
        <v>341</v>
      </c>
      <c r="S72" s="184">
        <v>102</v>
      </c>
      <c r="T72" s="184">
        <v>100</v>
      </c>
      <c r="U72" s="186">
        <v>98</v>
      </c>
      <c r="V72" s="184">
        <v>84</v>
      </c>
      <c r="W72" s="184">
        <v>82</v>
      </c>
      <c r="X72" s="184">
        <v>82</v>
      </c>
      <c r="Y72" s="186">
        <f>HLOOKUP($Y$60,$S$60:$X$88,13)</f>
        <v>82</v>
      </c>
      <c r="Z72" s="184" t="s">
        <v>863</v>
      </c>
      <c r="AA72" s="306">
        <v>15127</v>
      </c>
      <c r="AB72" s="188">
        <v>12</v>
      </c>
      <c r="AC72" s="186">
        <f t="shared" si="5"/>
        <v>82</v>
      </c>
    </row>
    <row r="73" spans="2:29">
      <c r="B73" s="184" t="s">
        <v>843</v>
      </c>
      <c r="C73" s="186">
        <v>1100</v>
      </c>
      <c r="D73" s="186">
        <v>200</v>
      </c>
      <c r="E73" s="186">
        <v>14</v>
      </c>
      <c r="F73" s="187">
        <v>98.4</v>
      </c>
      <c r="G73" s="186">
        <v>4</v>
      </c>
      <c r="H73" s="186">
        <v>3</v>
      </c>
      <c r="I73" s="198">
        <f>(Cálculo!$B$11*Cálculo!$D$52)/'Painel e Inversor'!K73</f>
        <v>0.10225140712945591</v>
      </c>
      <c r="J73" s="198">
        <v>83</v>
      </c>
      <c r="K73" s="188">
        <v>63960</v>
      </c>
      <c r="L73" s="188"/>
      <c r="M73" s="188"/>
      <c r="N73" s="186">
        <v>1100</v>
      </c>
      <c r="O73" s="186"/>
      <c r="P73" s="183" t="s">
        <v>816</v>
      </c>
      <c r="Q73" s="183" t="s">
        <v>335</v>
      </c>
      <c r="R73" s="183" t="s">
        <v>342</v>
      </c>
      <c r="S73" s="184">
        <v>147</v>
      </c>
      <c r="T73" s="184">
        <v>144</v>
      </c>
      <c r="U73" s="186">
        <v>141</v>
      </c>
      <c r="V73" s="184">
        <v>120</v>
      </c>
      <c r="W73" s="309">
        <v>120</v>
      </c>
      <c r="X73" s="309">
        <v>120</v>
      </c>
      <c r="Y73" s="186">
        <f>HLOOKUP($Y$60,$S$60:$X$88,14)</f>
        <v>120</v>
      </c>
      <c r="Z73" s="184" t="s">
        <v>843</v>
      </c>
      <c r="AA73" s="306">
        <v>20017</v>
      </c>
      <c r="AB73" s="188">
        <v>12</v>
      </c>
      <c r="AC73" s="186">
        <f t="shared" si="5"/>
        <v>120</v>
      </c>
    </row>
    <row r="74" spans="2:29">
      <c r="B74" s="184" t="s">
        <v>844</v>
      </c>
      <c r="C74" s="186">
        <v>1100</v>
      </c>
      <c r="D74" s="186">
        <v>200</v>
      </c>
      <c r="E74" s="186">
        <v>14</v>
      </c>
      <c r="F74" s="187">
        <v>98.4</v>
      </c>
      <c r="G74" s="186">
        <v>4</v>
      </c>
      <c r="H74" s="186">
        <v>3</v>
      </c>
      <c r="I74" s="198">
        <f>(Cálculo!$B$11*Cálculo!$D$52)/'Painel e Inversor'!K74</f>
        <v>9.011988424968996E-2</v>
      </c>
      <c r="J74" s="198">
        <v>100</v>
      </c>
      <c r="K74" s="188">
        <v>72570</v>
      </c>
      <c r="L74" s="188"/>
      <c r="M74" s="188"/>
      <c r="N74" s="186">
        <v>1100</v>
      </c>
      <c r="O74" s="186"/>
      <c r="P74" s="183" t="s">
        <v>817</v>
      </c>
      <c r="Q74" s="183" t="s">
        <v>335</v>
      </c>
      <c r="R74" s="183" t="s">
        <v>343</v>
      </c>
      <c r="S74" s="184">
        <v>162</v>
      </c>
      <c r="T74" s="184">
        <v>159</v>
      </c>
      <c r="U74" s="186">
        <v>156</v>
      </c>
      <c r="V74" s="184">
        <v>136</v>
      </c>
      <c r="W74" s="309">
        <v>136</v>
      </c>
      <c r="X74" s="309">
        <v>136</v>
      </c>
      <c r="Y74" s="186">
        <f>HLOOKUP($Y$60,$S$60:$X$88,15)</f>
        <v>136</v>
      </c>
      <c r="Z74" s="184" t="s">
        <v>844</v>
      </c>
      <c r="AA74" s="306">
        <v>16890</v>
      </c>
      <c r="AB74" s="188">
        <v>12</v>
      </c>
      <c r="AC74" s="186">
        <f t="shared" si="5"/>
        <v>136</v>
      </c>
    </row>
    <row r="75" spans="2:29">
      <c r="B75" s="184" t="s">
        <v>845</v>
      </c>
      <c r="C75" s="186">
        <v>1100</v>
      </c>
      <c r="D75" s="186">
        <v>200</v>
      </c>
      <c r="E75" s="186">
        <v>26</v>
      </c>
      <c r="F75" s="186">
        <v>98.3</v>
      </c>
      <c r="G75" s="186">
        <v>9</v>
      </c>
      <c r="H75" s="186">
        <v>2</v>
      </c>
      <c r="I75" s="198">
        <f>(Cálculo!$B$11*Cálculo!$D$52)/'Painel e Inversor'!K75</f>
        <v>5.8133333333333335E-2</v>
      </c>
      <c r="J75" s="187">
        <v>114</v>
      </c>
      <c r="K75" s="188">
        <v>112500</v>
      </c>
      <c r="L75" s="188"/>
      <c r="M75" s="188"/>
      <c r="N75" s="186">
        <v>1100</v>
      </c>
      <c r="O75" s="186"/>
      <c r="P75" s="183" t="s">
        <v>818</v>
      </c>
      <c r="Q75" s="183" t="s">
        <v>344</v>
      </c>
      <c r="R75" s="183" t="s">
        <v>345</v>
      </c>
      <c r="S75" s="184">
        <v>254</v>
      </c>
      <c r="T75" s="184">
        <v>250</v>
      </c>
      <c r="U75" s="186">
        <v>246</v>
      </c>
      <c r="V75" s="184">
        <v>210</v>
      </c>
      <c r="W75" s="309">
        <v>208</v>
      </c>
      <c r="X75" s="309">
        <v>208</v>
      </c>
      <c r="Y75" s="186">
        <f>HLOOKUP($Y$60,$S$60:$X$88,16)</f>
        <v>208</v>
      </c>
      <c r="Z75" s="184" t="s">
        <v>845</v>
      </c>
      <c r="AA75" s="306">
        <v>30435</v>
      </c>
      <c r="AB75" s="188">
        <v>12</v>
      </c>
      <c r="AC75" s="186">
        <f t="shared" si="5"/>
        <v>208</v>
      </c>
    </row>
    <row r="76" spans="2:29">
      <c r="B76" s="184"/>
      <c r="C76" s="186"/>
      <c r="D76" s="186"/>
      <c r="E76" s="186"/>
      <c r="F76" s="186"/>
      <c r="G76" s="186"/>
      <c r="H76" s="186"/>
      <c r="I76" s="186"/>
      <c r="J76" s="187"/>
      <c r="K76" s="188"/>
      <c r="L76" s="188"/>
      <c r="M76" s="188"/>
      <c r="N76" s="186"/>
      <c r="O76" s="186"/>
      <c r="P76" s="183"/>
      <c r="Q76" s="183"/>
      <c r="R76" s="183"/>
      <c r="S76" s="184"/>
      <c r="T76" s="184"/>
      <c r="U76" s="186"/>
      <c r="V76" s="184"/>
      <c r="W76" s="309"/>
      <c r="X76" s="309"/>
      <c r="Y76" s="186">
        <f>HLOOKUP($Y$60,$S$60:$W$88,27)</f>
        <v>0</v>
      </c>
      <c r="Z76" s="184"/>
      <c r="AA76" s="306"/>
      <c r="AB76" s="188"/>
      <c r="AC76" s="186"/>
    </row>
    <row r="77" spans="2:29">
      <c r="B77" s="5" t="s">
        <v>346</v>
      </c>
      <c r="S77" s="195"/>
      <c r="T77" s="195"/>
      <c r="U77" s="187"/>
      <c r="V77" s="195"/>
      <c r="W77" s="195"/>
      <c r="X77" s="195"/>
      <c r="Y77" s="186"/>
      <c r="Z77" s="184"/>
      <c r="AA77" s="306"/>
      <c r="AB77" s="310"/>
      <c r="AC77" s="186"/>
    </row>
    <row r="78" spans="2:29">
      <c r="B78">
        <v>110</v>
      </c>
      <c r="S78" s="195"/>
      <c r="T78" s="195"/>
      <c r="U78" s="187"/>
      <c r="V78" s="195"/>
      <c r="W78" s="195"/>
      <c r="X78" s="195"/>
      <c r="Y78" s="186"/>
      <c r="Z78" s="184"/>
      <c r="AA78" s="306"/>
      <c r="AB78" s="310"/>
      <c r="AC78" s="186"/>
    </row>
    <row r="79" spans="2:29">
      <c r="B79">
        <v>120</v>
      </c>
      <c r="S79" s="195"/>
      <c r="T79" s="195"/>
      <c r="U79" s="187"/>
      <c r="V79" s="195"/>
      <c r="W79" s="195"/>
      <c r="X79" s="195"/>
      <c r="Y79" s="186"/>
      <c r="Z79" s="184"/>
      <c r="AA79" s="306"/>
      <c r="AB79" s="310"/>
      <c r="AC79" s="186"/>
    </row>
    <row r="80" spans="2:29">
      <c r="B80">
        <v>127</v>
      </c>
      <c r="S80" s="195"/>
      <c r="T80" s="195"/>
      <c r="U80" s="187"/>
      <c r="V80" s="195"/>
      <c r="W80" s="195"/>
      <c r="X80" s="195"/>
      <c r="Y80" s="186"/>
      <c r="Z80" s="184"/>
      <c r="AA80" s="306"/>
      <c r="AB80" s="310"/>
      <c r="AC80" s="186"/>
    </row>
    <row r="81" spans="1:29">
      <c r="B81">
        <v>208</v>
      </c>
      <c r="S81" s="195"/>
      <c r="T81" s="184"/>
      <c r="U81" s="187"/>
      <c r="V81" s="195"/>
      <c r="W81" s="195"/>
      <c r="X81" s="195"/>
      <c r="Y81" s="186"/>
      <c r="Z81" s="184"/>
      <c r="AA81" s="306"/>
      <c r="AB81" s="310"/>
      <c r="AC81" s="186"/>
    </row>
    <row r="82" spans="1:29">
      <c r="B82">
        <v>220</v>
      </c>
      <c r="S82" s="195"/>
      <c r="T82" s="195"/>
      <c r="U82" s="187"/>
      <c r="V82" s="195"/>
      <c r="W82" s="195"/>
      <c r="X82" s="195"/>
      <c r="Y82" s="188"/>
      <c r="Z82" s="184"/>
      <c r="AA82" s="306"/>
      <c r="AB82" s="310"/>
      <c r="AC82" s="188"/>
    </row>
    <row r="83" spans="1:29">
      <c r="B83">
        <v>240</v>
      </c>
    </row>
    <row r="84" spans="1:29">
      <c r="B84">
        <v>254</v>
      </c>
    </row>
    <row r="87" spans="1:29">
      <c r="S87" s="184"/>
      <c r="T87" s="184"/>
      <c r="U87" s="186"/>
      <c r="V87" s="184"/>
      <c r="W87" s="184"/>
      <c r="X87" s="184"/>
      <c r="Y87" s="186"/>
    </row>
    <row r="88" spans="1:29">
      <c r="B88" s="201"/>
      <c r="C88" s="201"/>
      <c r="D88" s="201"/>
      <c r="E88" s="201"/>
    </row>
    <row r="89" spans="1:29">
      <c r="A89" s="201" t="s">
        <v>347</v>
      </c>
      <c r="B89" t="s">
        <v>297</v>
      </c>
      <c r="C89" t="s">
        <v>199</v>
      </c>
      <c r="D89" t="s">
        <v>178</v>
      </c>
      <c r="E89">
        <v>450</v>
      </c>
    </row>
    <row r="90" spans="1:29">
      <c r="B90" t="s">
        <v>298</v>
      </c>
      <c r="C90" t="s">
        <v>180</v>
      </c>
      <c r="D90" t="s">
        <v>178</v>
      </c>
      <c r="E90">
        <v>70</v>
      </c>
    </row>
    <row r="91" spans="1:29">
      <c r="B91" t="s">
        <v>299</v>
      </c>
      <c r="C91" t="s">
        <v>201</v>
      </c>
      <c r="D91" t="s">
        <v>197</v>
      </c>
      <c r="E91">
        <v>11</v>
      </c>
    </row>
    <row r="92" spans="1:29">
      <c r="B92" t="s">
        <v>300</v>
      </c>
      <c r="C92" t="s">
        <v>301</v>
      </c>
      <c r="D92" t="s">
        <v>302</v>
      </c>
      <c r="E92" s="2">
        <v>96.7</v>
      </c>
    </row>
    <row r="93" spans="1:29">
      <c r="B93" t="s">
        <v>303</v>
      </c>
      <c r="C93" t="s">
        <v>304</v>
      </c>
      <c r="D93" t="s">
        <v>205</v>
      </c>
      <c r="E93" s="4">
        <v>1580</v>
      </c>
    </row>
    <row r="95" spans="1:29">
      <c r="B95" s="201"/>
      <c r="C95" s="201"/>
      <c r="D95" s="201"/>
      <c r="E95" s="201"/>
    </row>
    <row r="96" spans="1:29">
      <c r="A96" s="201" t="s">
        <v>348</v>
      </c>
      <c r="B96" t="s">
        <v>297</v>
      </c>
      <c r="C96" t="s">
        <v>199</v>
      </c>
      <c r="D96" t="s">
        <v>178</v>
      </c>
      <c r="E96">
        <v>500</v>
      </c>
    </row>
    <row r="97" spans="1:5">
      <c r="B97" t="s">
        <v>298</v>
      </c>
      <c r="C97" t="s">
        <v>180</v>
      </c>
      <c r="D97" t="s">
        <v>178</v>
      </c>
      <c r="E97">
        <v>100</v>
      </c>
    </row>
    <row r="98" spans="1:5">
      <c r="B98" t="s">
        <v>299</v>
      </c>
      <c r="C98" t="s">
        <v>201</v>
      </c>
      <c r="D98" t="s">
        <v>197</v>
      </c>
      <c r="E98">
        <v>12</v>
      </c>
    </row>
    <row r="99" spans="1:5">
      <c r="B99" t="s">
        <v>300</v>
      </c>
      <c r="C99" t="s">
        <v>301</v>
      </c>
      <c r="D99" t="s">
        <v>302</v>
      </c>
      <c r="E99">
        <v>97.2</v>
      </c>
    </row>
    <row r="100" spans="1:5">
      <c r="B100" t="s">
        <v>303</v>
      </c>
      <c r="C100" t="s">
        <v>304</v>
      </c>
      <c r="D100" t="s">
        <v>205</v>
      </c>
      <c r="E100" s="4">
        <v>3150</v>
      </c>
    </row>
    <row r="102" spans="1:5">
      <c r="B102" s="201"/>
      <c r="C102" s="201"/>
      <c r="D102" s="201"/>
      <c r="E102" s="201"/>
    </row>
    <row r="103" spans="1:5">
      <c r="A103" s="201" t="s">
        <v>349</v>
      </c>
      <c r="B103" t="s">
        <v>297</v>
      </c>
      <c r="C103" t="s">
        <v>199</v>
      </c>
      <c r="D103" t="s">
        <v>178</v>
      </c>
      <c r="E103">
        <v>54</v>
      </c>
    </row>
    <row r="104" spans="1:5">
      <c r="B104" t="s">
        <v>298</v>
      </c>
      <c r="C104" t="s">
        <v>180</v>
      </c>
      <c r="D104" t="s">
        <v>178</v>
      </c>
      <c r="E104">
        <v>24</v>
      </c>
    </row>
    <row r="105" spans="1:5">
      <c r="B105" t="s">
        <v>299</v>
      </c>
      <c r="C105" t="s">
        <v>201</v>
      </c>
      <c r="D105" t="s">
        <v>197</v>
      </c>
      <c r="E105">
        <v>9.5</v>
      </c>
    </row>
    <row r="106" spans="1:5">
      <c r="B106" t="s">
        <v>300</v>
      </c>
      <c r="C106" t="s">
        <v>301</v>
      </c>
      <c r="D106" t="s">
        <v>302</v>
      </c>
      <c r="E106">
        <v>95.8</v>
      </c>
    </row>
    <row r="107" spans="1:5">
      <c r="B107" t="s">
        <v>303</v>
      </c>
      <c r="C107" t="s">
        <v>304</v>
      </c>
      <c r="D107" t="s">
        <v>205</v>
      </c>
      <c r="E107" s="4">
        <v>640</v>
      </c>
    </row>
  </sheetData>
  <mergeCells count="7">
    <mergeCell ref="B57:R58"/>
    <mergeCell ref="A1:P2"/>
    <mergeCell ref="A48:E48"/>
    <mergeCell ref="A27:E27"/>
    <mergeCell ref="A34:E34"/>
    <mergeCell ref="A20:E20"/>
    <mergeCell ref="A41:E41"/>
  </mergeCells>
  <pageMargins left="0.75" right="0.75" top="1" bottom="1" header="0.5" footer="0.5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 filterMode="1"/>
  <dimension ref="A1:T329"/>
  <sheetViews>
    <sheetView showGridLines="0" workbookViewId="0">
      <selection activeCell="E302" sqref="E302"/>
    </sheetView>
  </sheetViews>
  <sheetFormatPr defaultColWidth="8.8984375" defaultRowHeight="15.6"/>
  <cols>
    <col min="1" max="1" width="33" customWidth="1"/>
    <col min="2" max="2" width="29.3984375" customWidth="1"/>
    <col min="3" max="3" width="7.8984375" customWidth="1"/>
    <col min="4" max="13" width="8.8984375" customWidth="1"/>
    <col min="14" max="14" width="10.5" customWidth="1"/>
    <col min="15" max="15" width="9.59765625" customWidth="1"/>
    <col min="16" max="16" width="8.8984375" style="92"/>
    <col min="19" max="19" width="12.3984375" customWidth="1"/>
  </cols>
  <sheetData>
    <row r="1" spans="1:20" ht="17.399999999999999"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</row>
    <row r="2" spans="1:20" ht="18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S2" s="363" t="str">
        <f>DADOS!D34</f>
        <v>RS-Santo Ângelo</v>
      </c>
      <c r="T2" s="363"/>
    </row>
    <row r="3" spans="1:20" ht="18"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82"/>
      <c r="M3" s="82"/>
      <c r="N3" s="82"/>
      <c r="O3" s="82"/>
      <c r="S3" s="80" t="s">
        <v>36</v>
      </c>
      <c r="T3" s="81">
        <f>VLOOKUP($S$2,$A$8:$O$298,4,0)</f>
        <v>24.9</v>
      </c>
    </row>
    <row r="4" spans="1:20" ht="18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S4" s="80" t="s">
        <v>37</v>
      </c>
      <c r="T4" s="81">
        <f>VLOOKUP($S$2,$A$8:$O$298,5,0)</f>
        <v>24.4</v>
      </c>
    </row>
    <row r="5" spans="1:20" ht="18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S5" s="80" t="s">
        <v>38</v>
      </c>
      <c r="T5" s="81">
        <f>VLOOKUP($S$2,$A$8:$O$298,6,0)</f>
        <v>22.6</v>
      </c>
    </row>
    <row r="6" spans="1:20" ht="18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S6" s="80" t="s">
        <v>40</v>
      </c>
      <c r="T6" s="81">
        <f>VLOOKUP($S$2,$A$8:$O$298,7,0)</f>
        <v>19.399999999999999</v>
      </c>
    </row>
    <row r="7" spans="1:20">
      <c r="A7" s="89" t="s">
        <v>350</v>
      </c>
      <c r="B7" s="89" t="s">
        <v>216</v>
      </c>
      <c r="C7" s="89" t="s">
        <v>351</v>
      </c>
      <c r="D7" s="89" t="s">
        <v>36</v>
      </c>
      <c r="E7" s="89" t="s">
        <v>37</v>
      </c>
      <c r="F7" s="89" t="s">
        <v>38</v>
      </c>
      <c r="G7" s="89" t="s">
        <v>40</v>
      </c>
      <c r="H7" s="89" t="s">
        <v>41</v>
      </c>
      <c r="I7" s="89" t="s">
        <v>42</v>
      </c>
      <c r="J7" s="89" t="s">
        <v>43</v>
      </c>
      <c r="K7" s="89" t="s">
        <v>44</v>
      </c>
      <c r="L7" s="89" t="s">
        <v>45</v>
      </c>
      <c r="M7" s="89" t="s">
        <v>46</v>
      </c>
      <c r="N7" s="89" t="s">
        <v>47</v>
      </c>
      <c r="O7" s="89" t="s">
        <v>48</v>
      </c>
      <c r="P7" s="90" t="s">
        <v>352</v>
      </c>
      <c r="Q7" s="90" t="s">
        <v>353</v>
      </c>
      <c r="S7" s="80" t="s">
        <v>41</v>
      </c>
      <c r="T7" s="81">
        <f>VLOOKUP($S$2,$A$8:$O$298,8,0)</f>
        <v>16.5</v>
      </c>
    </row>
    <row r="8" spans="1:20" hidden="1">
      <c r="A8" s="95" t="str">
        <f>CONCATENATE(C8,"-",B8)</f>
        <v>AC-Cruzeiro do Sul</v>
      </c>
      <c r="B8" s="84" t="s">
        <v>354</v>
      </c>
      <c r="C8" s="83" t="s">
        <v>355</v>
      </c>
      <c r="D8" s="85">
        <v>25.3</v>
      </c>
      <c r="E8" s="85">
        <v>25.1</v>
      </c>
      <c r="F8" s="85">
        <v>25.1</v>
      </c>
      <c r="G8" s="85">
        <v>24.9</v>
      </c>
      <c r="H8" s="85">
        <v>24.7</v>
      </c>
      <c r="I8" s="85">
        <v>24</v>
      </c>
      <c r="J8" s="85">
        <v>23.8</v>
      </c>
      <c r="K8" s="85">
        <v>24.7</v>
      </c>
      <c r="L8" s="85">
        <v>25</v>
      </c>
      <c r="M8" s="85">
        <v>25.2</v>
      </c>
      <c r="N8" s="85">
        <v>25.2</v>
      </c>
      <c r="O8" s="85">
        <v>25.2</v>
      </c>
      <c r="P8" s="93">
        <v>16.899999999999999</v>
      </c>
      <c r="Q8" s="93">
        <v>38</v>
      </c>
      <c r="S8" s="80" t="s">
        <v>42</v>
      </c>
      <c r="T8" s="81">
        <f>VLOOKUP($S$2,$A$8:$O$298,9,0)</f>
        <v>14.2</v>
      </c>
    </row>
    <row r="9" spans="1:20" hidden="1">
      <c r="A9" s="95" t="str">
        <f t="shared" ref="A9:A72" si="0">CONCATENATE(C9,"-",B9)</f>
        <v>AC-Rio Branco</v>
      </c>
      <c r="B9" s="84" t="s">
        <v>356</v>
      </c>
      <c r="C9" s="83" t="s">
        <v>355</v>
      </c>
      <c r="D9" s="85">
        <v>25.3</v>
      </c>
      <c r="E9" s="85">
        <v>25.2</v>
      </c>
      <c r="F9" s="85">
        <v>25.4</v>
      </c>
      <c r="G9" s="85">
        <v>25.2</v>
      </c>
      <c r="H9" s="85">
        <v>24.4</v>
      </c>
      <c r="I9" s="85">
        <v>23.3</v>
      </c>
      <c r="J9" s="85">
        <v>23.2</v>
      </c>
      <c r="K9" s="85">
        <v>24.2</v>
      </c>
      <c r="L9" s="85">
        <v>25.2</v>
      </c>
      <c r="M9" s="85">
        <v>25.7</v>
      </c>
      <c r="N9" s="85">
        <v>25.6</v>
      </c>
      <c r="O9" s="85">
        <v>25.4</v>
      </c>
      <c r="P9" s="93">
        <v>16.5</v>
      </c>
      <c r="Q9" s="93">
        <v>39.799999999999997</v>
      </c>
      <c r="S9" s="80" t="s">
        <v>43</v>
      </c>
      <c r="T9" s="81">
        <f>VLOOKUP($S$2,$A$8:$O$298,10,0)</f>
        <v>14.6</v>
      </c>
    </row>
    <row r="10" spans="1:20" hidden="1">
      <c r="A10" s="95" t="str">
        <f t="shared" si="0"/>
        <v>AC-Tarauacá</v>
      </c>
      <c r="B10" s="84" t="s">
        <v>357</v>
      </c>
      <c r="C10" s="83" t="s">
        <v>355</v>
      </c>
      <c r="D10" s="85">
        <v>25.3</v>
      </c>
      <c r="E10" s="85">
        <v>25.3</v>
      </c>
      <c r="F10" s="85">
        <v>25.3</v>
      </c>
      <c r="G10" s="85">
        <v>25.2</v>
      </c>
      <c r="H10" s="85">
        <v>24.7</v>
      </c>
      <c r="I10" s="85">
        <v>23.8</v>
      </c>
      <c r="J10" s="85">
        <v>23.7</v>
      </c>
      <c r="K10" s="85">
        <v>24.2</v>
      </c>
      <c r="L10" s="85">
        <v>25</v>
      </c>
      <c r="M10" s="85">
        <v>25.5</v>
      </c>
      <c r="N10" s="85">
        <v>25.5</v>
      </c>
      <c r="O10" s="85">
        <v>25.5</v>
      </c>
      <c r="P10" s="93">
        <v>18.8</v>
      </c>
      <c r="Q10" s="93">
        <v>37.200000000000003</v>
      </c>
      <c r="S10" s="80" t="s">
        <v>44</v>
      </c>
      <c r="T10" s="81">
        <f>VLOOKUP($S$2,$A$8:$O$298,11,0)</f>
        <v>16.2</v>
      </c>
    </row>
    <row r="11" spans="1:20" hidden="1">
      <c r="A11" s="95" t="str">
        <f t="shared" si="0"/>
        <v>AL-Coruripe</v>
      </c>
      <c r="B11" s="84" t="s">
        <v>358</v>
      </c>
      <c r="C11" s="83" t="s">
        <v>359</v>
      </c>
      <c r="D11" s="85">
        <v>26.7</v>
      </c>
      <c r="E11" s="85">
        <v>26.4</v>
      </c>
      <c r="F11" s="85">
        <v>26.1</v>
      </c>
      <c r="G11" s="85">
        <v>25.8</v>
      </c>
      <c r="H11" s="85">
        <v>24.9</v>
      </c>
      <c r="I11" s="85">
        <v>24.4</v>
      </c>
      <c r="J11" s="85">
        <v>23.6</v>
      </c>
      <c r="K11" s="85">
        <v>23.5</v>
      </c>
      <c r="L11" s="85">
        <v>24</v>
      </c>
      <c r="M11" s="85">
        <v>25.1</v>
      </c>
      <c r="N11" s="85">
        <v>25.6</v>
      </c>
      <c r="O11" s="85">
        <v>26.4</v>
      </c>
      <c r="P11" s="93">
        <v>19.7</v>
      </c>
      <c r="Q11" s="93">
        <v>35</v>
      </c>
      <c r="S11" s="80" t="s">
        <v>45</v>
      </c>
      <c r="T11" s="81">
        <f>VLOOKUP($S$2,$A$8:$O$298,12,0)</f>
        <v>17.399999999999999</v>
      </c>
    </row>
    <row r="12" spans="1:20" hidden="1">
      <c r="A12" s="95" t="str">
        <f t="shared" si="0"/>
        <v>AL-Maceió</v>
      </c>
      <c r="B12" s="84" t="s">
        <v>360</v>
      </c>
      <c r="C12" s="83" t="s">
        <v>359</v>
      </c>
      <c r="D12" s="85">
        <v>26.5</v>
      </c>
      <c r="E12" s="85">
        <v>26.5</v>
      </c>
      <c r="F12" s="85">
        <v>26.4</v>
      </c>
      <c r="G12" s="85">
        <v>26</v>
      </c>
      <c r="H12" s="85">
        <v>25.2</v>
      </c>
      <c r="I12" s="85">
        <v>24.3</v>
      </c>
      <c r="J12" s="85">
        <v>23.6</v>
      </c>
      <c r="K12" s="85">
        <v>23.6</v>
      </c>
      <c r="L12" s="85">
        <v>24.3</v>
      </c>
      <c r="M12" s="85">
        <v>25.3</v>
      </c>
      <c r="N12" s="85">
        <v>25.9</v>
      </c>
      <c r="O12" s="85">
        <v>26.2</v>
      </c>
      <c r="P12" s="93">
        <v>20.2</v>
      </c>
      <c r="Q12" s="93">
        <v>35</v>
      </c>
      <c r="S12" s="80" t="s">
        <v>46</v>
      </c>
      <c r="T12" s="81">
        <f>VLOOKUP($S$2,$A$8:$O$298,13,0)</f>
        <v>19.899999999999999</v>
      </c>
    </row>
    <row r="13" spans="1:20" hidden="1">
      <c r="A13" s="95" t="str">
        <f t="shared" si="0"/>
        <v>AM-Barcelos</v>
      </c>
      <c r="B13" s="84" t="s">
        <v>361</v>
      </c>
      <c r="C13" s="83" t="s">
        <v>362</v>
      </c>
      <c r="D13" s="85">
        <v>25.9</v>
      </c>
      <c r="E13" s="85">
        <v>26.3</v>
      </c>
      <c r="F13" s="85">
        <v>26.3</v>
      </c>
      <c r="G13" s="85">
        <v>26</v>
      </c>
      <c r="H13" s="85">
        <v>25.6</v>
      </c>
      <c r="I13" s="85">
        <v>25.4</v>
      </c>
      <c r="J13" s="85">
        <v>25.4</v>
      </c>
      <c r="K13" s="85">
        <v>25.7</v>
      </c>
      <c r="L13" s="85">
        <v>25.9</v>
      </c>
      <c r="M13" s="85">
        <v>26.2</v>
      </c>
      <c r="N13" s="85">
        <v>26.3</v>
      </c>
      <c r="O13" s="85">
        <v>26.3</v>
      </c>
      <c r="P13" s="93">
        <v>21.4</v>
      </c>
      <c r="Q13" s="93">
        <v>39.6</v>
      </c>
      <c r="S13" s="80" t="s">
        <v>47</v>
      </c>
      <c r="T13" s="81">
        <f>VLOOKUP($S$2,$A$8:$O$298,14,0)</f>
        <v>22.5</v>
      </c>
    </row>
    <row r="14" spans="1:20" hidden="1">
      <c r="A14" s="95" t="str">
        <f t="shared" si="0"/>
        <v>AM-Benjamin Constant</v>
      </c>
      <c r="B14" s="84" t="s">
        <v>363</v>
      </c>
      <c r="C14" s="83" t="s">
        <v>362</v>
      </c>
      <c r="D14" s="85">
        <v>25.5</v>
      </c>
      <c r="E14" s="85">
        <v>25.5</v>
      </c>
      <c r="F14" s="85">
        <v>25.7</v>
      </c>
      <c r="G14" s="85">
        <v>25.7</v>
      </c>
      <c r="H14" s="85">
        <v>25.5</v>
      </c>
      <c r="I14" s="85">
        <v>25.2</v>
      </c>
      <c r="J14" s="85">
        <v>25.1</v>
      </c>
      <c r="K14" s="85">
        <v>25.4</v>
      </c>
      <c r="L14" s="85">
        <v>25.7</v>
      </c>
      <c r="M14" s="85">
        <v>25.9</v>
      </c>
      <c r="N14" s="85">
        <v>25.7</v>
      </c>
      <c r="O14" s="85">
        <v>25.5</v>
      </c>
      <c r="P14" s="93">
        <v>20.2</v>
      </c>
      <c r="Q14" s="93">
        <v>36.200000000000003</v>
      </c>
      <c r="S14" s="80" t="s">
        <v>48</v>
      </c>
      <c r="T14" s="81">
        <f>VLOOKUP($S$2,$A$8:$O$298,15,0)</f>
        <v>24.2</v>
      </c>
    </row>
    <row r="15" spans="1:20" hidden="1">
      <c r="A15" s="95" t="str">
        <f t="shared" si="0"/>
        <v>AM-Carauari</v>
      </c>
      <c r="B15" s="84" t="s">
        <v>364</v>
      </c>
      <c r="C15" s="83" t="s">
        <v>362</v>
      </c>
      <c r="D15" s="85">
        <v>25.5</v>
      </c>
      <c r="E15" s="85">
        <v>25.5</v>
      </c>
      <c r="F15" s="85">
        <v>25.4</v>
      </c>
      <c r="G15" s="85">
        <v>25.4</v>
      </c>
      <c r="H15" s="85">
        <v>25.2</v>
      </c>
      <c r="I15" s="85">
        <v>24.8</v>
      </c>
      <c r="J15" s="85">
        <v>24.6</v>
      </c>
      <c r="K15" s="85">
        <v>25.2</v>
      </c>
      <c r="L15" s="85">
        <v>25.5</v>
      </c>
      <c r="M15" s="85">
        <v>25.8</v>
      </c>
      <c r="N15" s="85">
        <v>25.7</v>
      </c>
      <c r="O15" s="85">
        <v>25.5</v>
      </c>
      <c r="P15" s="93">
        <v>19.5</v>
      </c>
      <c r="Q15" s="93">
        <v>39.299999999999997</v>
      </c>
    </row>
    <row r="16" spans="1:20" hidden="1">
      <c r="A16" s="95" t="str">
        <f t="shared" si="0"/>
        <v>AM-Coari</v>
      </c>
      <c r="B16" s="84" t="s">
        <v>365</v>
      </c>
      <c r="C16" s="83" t="s">
        <v>362</v>
      </c>
      <c r="D16" s="85">
        <v>25.8</v>
      </c>
      <c r="E16" s="85">
        <v>25.8</v>
      </c>
      <c r="F16" s="85">
        <v>26</v>
      </c>
      <c r="G16" s="85">
        <v>26</v>
      </c>
      <c r="H16" s="85">
        <v>26.1</v>
      </c>
      <c r="I16" s="85">
        <v>26</v>
      </c>
      <c r="J16" s="85">
        <v>26</v>
      </c>
      <c r="K16" s="85">
        <v>26.6</v>
      </c>
      <c r="L16" s="85">
        <v>26.7</v>
      </c>
      <c r="M16" s="85">
        <v>26.6</v>
      </c>
      <c r="N16" s="85">
        <v>26.5</v>
      </c>
      <c r="O16" s="85">
        <v>26.3</v>
      </c>
      <c r="P16" s="93">
        <v>20.3</v>
      </c>
      <c r="Q16" s="93">
        <v>38.299999999999997</v>
      </c>
      <c r="S16" s="80" t="s">
        <v>366</v>
      </c>
      <c r="T16" s="81">
        <f>VLOOKUP(S2,$A$8:$Q$298,16,0)</f>
        <v>9</v>
      </c>
    </row>
    <row r="17" spans="1:20" hidden="1">
      <c r="A17" s="95" t="str">
        <f t="shared" si="0"/>
        <v>AM-Fonte Boa</v>
      </c>
      <c r="B17" s="84" t="s">
        <v>367</v>
      </c>
      <c r="C17" s="83" t="s">
        <v>362</v>
      </c>
      <c r="D17" s="85">
        <v>25.7</v>
      </c>
      <c r="E17" s="85">
        <v>25.9</v>
      </c>
      <c r="F17" s="85">
        <v>25.5</v>
      </c>
      <c r="G17" s="85">
        <v>25.5</v>
      </c>
      <c r="H17" s="85">
        <v>25.4</v>
      </c>
      <c r="I17" s="85">
        <v>25</v>
      </c>
      <c r="J17" s="85">
        <v>24.8</v>
      </c>
      <c r="K17" s="85">
        <v>25.4</v>
      </c>
      <c r="L17" s="85">
        <v>25.6</v>
      </c>
      <c r="M17" s="85">
        <v>26.1</v>
      </c>
      <c r="N17" s="85">
        <v>26.1</v>
      </c>
      <c r="O17" s="85">
        <v>25.7</v>
      </c>
      <c r="P17" s="93">
        <v>21.5</v>
      </c>
      <c r="Q17" s="93">
        <v>35.799999999999997</v>
      </c>
      <c r="S17" s="80" t="s">
        <v>353</v>
      </c>
      <c r="T17" s="81">
        <f>VLOOKUP(S2,$A$8:$Q$298,17,0)</f>
        <v>40</v>
      </c>
    </row>
    <row r="18" spans="1:20" hidden="1">
      <c r="A18" s="95" t="str">
        <f t="shared" si="0"/>
        <v>AM-Iauaretê</v>
      </c>
      <c r="B18" s="84" t="s">
        <v>368</v>
      </c>
      <c r="C18" s="83" t="s">
        <v>362</v>
      </c>
      <c r="D18" s="85">
        <v>25.7</v>
      </c>
      <c r="E18" s="85">
        <v>25.7</v>
      </c>
      <c r="F18" s="85">
        <v>25.7</v>
      </c>
      <c r="G18" s="85">
        <v>25.7</v>
      </c>
      <c r="H18" s="85">
        <v>25.5</v>
      </c>
      <c r="I18" s="85">
        <v>25.1</v>
      </c>
      <c r="J18" s="85">
        <v>24.8</v>
      </c>
      <c r="K18" s="85">
        <v>25.3</v>
      </c>
      <c r="L18" s="85">
        <v>25.6</v>
      </c>
      <c r="M18" s="85">
        <v>25.7</v>
      </c>
      <c r="N18" s="85">
        <v>25.7</v>
      </c>
      <c r="O18" s="85">
        <v>25.8</v>
      </c>
      <c r="P18" s="93">
        <v>21.4</v>
      </c>
      <c r="Q18" s="93">
        <v>39.6</v>
      </c>
    </row>
    <row r="19" spans="1:20" hidden="1">
      <c r="A19" s="95" t="str">
        <f t="shared" si="0"/>
        <v>AM-Itacoatiara</v>
      </c>
      <c r="B19" s="84" t="s">
        <v>369</v>
      </c>
      <c r="C19" s="83" t="s">
        <v>362</v>
      </c>
      <c r="D19" s="85">
        <v>25.8</v>
      </c>
      <c r="E19" s="85">
        <v>25.8</v>
      </c>
      <c r="F19" s="85">
        <v>25.9</v>
      </c>
      <c r="G19" s="85">
        <v>26</v>
      </c>
      <c r="H19" s="85">
        <v>26.3</v>
      </c>
      <c r="I19" s="85">
        <v>26.3</v>
      </c>
      <c r="J19" s="85">
        <v>26.2</v>
      </c>
      <c r="K19" s="85">
        <v>26.7</v>
      </c>
      <c r="L19" s="85">
        <v>27.1</v>
      </c>
      <c r="M19" s="85">
        <v>27.2</v>
      </c>
      <c r="N19" s="85">
        <v>27.1</v>
      </c>
      <c r="O19" s="85">
        <v>26.4</v>
      </c>
      <c r="P19" s="93">
        <v>21.8</v>
      </c>
      <c r="Q19" s="93">
        <v>38.799999999999997</v>
      </c>
    </row>
    <row r="20" spans="1:20" hidden="1">
      <c r="A20" s="95" t="str">
        <f t="shared" si="0"/>
        <v>AM-Manaus</v>
      </c>
      <c r="B20" s="84" t="s">
        <v>370</v>
      </c>
      <c r="C20" s="83" t="s">
        <v>362</v>
      </c>
      <c r="D20" s="85">
        <v>26.1</v>
      </c>
      <c r="E20" s="85">
        <v>25.9</v>
      </c>
      <c r="F20" s="85">
        <v>26</v>
      </c>
      <c r="G20" s="85">
        <v>26.2</v>
      </c>
      <c r="H20" s="85">
        <v>26.2</v>
      </c>
      <c r="I20" s="85">
        <v>26.4</v>
      </c>
      <c r="J20" s="85">
        <v>26.5</v>
      </c>
      <c r="K20" s="85">
        <v>27.3</v>
      </c>
      <c r="L20" s="85">
        <v>27.7</v>
      </c>
      <c r="M20" s="85">
        <v>27.7</v>
      </c>
      <c r="N20" s="85">
        <v>27.2</v>
      </c>
      <c r="O20" s="85">
        <v>26.6</v>
      </c>
      <c r="P20" s="93">
        <v>22.7</v>
      </c>
      <c r="Q20" s="93">
        <v>38.200000000000003</v>
      </c>
    </row>
    <row r="21" spans="1:20" hidden="1">
      <c r="A21" s="95" t="str">
        <f t="shared" si="0"/>
        <v>AM-Manicoré</v>
      </c>
      <c r="B21" s="84" t="s">
        <v>371</v>
      </c>
      <c r="C21" s="83" t="s">
        <v>362</v>
      </c>
      <c r="D21" s="85">
        <v>25.8</v>
      </c>
      <c r="E21" s="85">
        <v>25.8</v>
      </c>
      <c r="F21" s="85">
        <v>26.1</v>
      </c>
      <c r="G21" s="85">
        <v>26.3</v>
      </c>
      <c r="H21" s="85">
        <v>25.9</v>
      </c>
      <c r="I21" s="85">
        <v>26</v>
      </c>
      <c r="J21" s="85">
        <v>26.1</v>
      </c>
      <c r="K21" s="85">
        <v>26.7</v>
      </c>
      <c r="L21" s="85">
        <v>26.7</v>
      </c>
      <c r="M21" s="85">
        <v>26.9</v>
      </c>
      <c r="N21" s="85">
        <v>26.7</v>
      </c>
      <c r="O21" s="85">
        <v>26.2</v>
      </c>
      <c r="P21" s="93">
        <v>21.2</v>
      </c>
      <c r="Q21" s="93">
        <v>39.799999999999997</v>
      </c>
    </row>
    <row r="22" spans="1:20" hidden="1">
      <c r="A22" s="95" t="str">
        <f t="shared" si="0"/>
        <v>AM-Paricachoeira</v>
      </c>
      <c r="B22" s="84" t="s">
        <v>372</v>
      </c>
      <c r="C22" s="83" t="s">
        <v>362</v>
      </c>
      <c r="D22" s="85">
        <v>24.9</v>
      </c>
      <c r="E22" s="85">
        <v>25</v>
      </c>
      <c r="F22" s="85">
        <v>25</v>
      </c>
      <c r="G22" s="85">
        <v>25</v>
      </c>
      <c r="H22" s="85">
        <v>24.7</v>
      </c>
      <c r="I22" s="85">
        <v>24.2</v>
      </c>
      <c r="J22" s="85">
        <v>24</v>
      </c>
      <c r="K22" s="85">
        <v>24.4</v>
      </c>
      <c r="L22" s="85">
        <v>24.8</v>
      </c>
      <c r="M22" s="85">
        <v>25.2</v>
      </c>
      <c r="N22" s="85">
        <v>25.2</v>
      </c>
      <c r="O22" s="85">
        <v>24.9</v>
      </c>
      <c r="P22" s="93">
        <v>20.100000000000001</v>
      </c>
      <c r="Q22" s="93">
        <v>36.9</v>
      </c>
    </row>
    <row r="23" spans="1:20" hidden="1">
      <c r="A23" s="95" t="str">
        <f t="shared" si="0"/>
        <v>AM-Parintins</v>
      </c>
      <c r="B23" s="84" t="s">
        <v>373</v>
      </c>
      <c r="C23" s="83" t="s">
        <v>362</v>
      </c>
      <c r="D23" s="85">
        <v>26.7</v>
      </c>
      <c r="E23" s="85">
        <v>26.4</v>
      </c>
      <c r="F23" s="85">
        <v>26.6</v>
      </c>
      <c r="G23" s="85">
        <v>26.7</v>
      </c>
      <c r="H23" s="85">
        <v>26.7</v>
      </c>
      <c r="I23" s="85">
        <v>26.8</v>
      </c>
      <c r="J23" s="85">
        <v>26.8</v>
      </c>
      <c r="K23" s="85">
        <v>27.7</v>
      </c>
      <c r="L23" s="85">
        <v>28.2</v>
      </c>
      <c r="M23" s="85">
        <v>28.5</v>
      </c>
      <c r="N23" s="85">
        <v>28.3</v>
      </c>
      <c r="O23" s="85">
        <v>27.4</v>
      </c>
      <c r="P23" s="94">
        <v>23.8</v>
      </c>
      <c r="Q23" s="93">
        <v>37.700000000000003</v>
      </c>
    </row>
    <row r="24" spans="1:20" hidden="1">
      <c r="A24" s="95" t="str">
        <f t="shared" si="0"/>
        <v>AM-Rio Içana</v>
      </c>
      <c r="B24" s="84" t="s">
        <v>374</v>
      </c>
      <c r="C24" s="83" t="s">
        <v>362</v>
      </c>
      <c r="D24" s="85">
        <v>25.8</v>
      </c>
      <c r="E24" s="85">
        <v>26</v>
      </c>
      <c r="F24" s="85">
        <v>25.9</v>
      </c>
      <c r="G24" s="85">
        <v>25.7</v>
      </c>
      <c r="H24" s="85">
        <v>25.4</v>
      </c>
      <c r="I24" s="85">
        <v>25.1</v>
      </c>
      <c r="J24" s="85">
        <v>24.9</v>
      </c>
      <c r="K24" s="85">
        <v>25.4</v>
      </c>
      <c r="L24" s="85">
        <v>25.8</v>
      </c>
      <c r="M24" s="85">
        <v>26.1</v>
      </c>
      <c r="N24" s="85">
        <v>26.1</v>
      </c>
      <c r="O24" s="85">
        <v>26</v>
      </c>
      <c r="P24" s="94">
        <v>21.6</v>
      </c>
      <c r="Q24" s="94">
        <v>39</v>
      </c>
    </row>
    <row r="25" spans="1:20" hidden="1">
      <c r="A25" s="95" t="str">
        <f t="shared" si="0"/>
        <v>AM-S. G. da Cachoeira(Uaupés)</v>
      </c>
      <c r="B25" s="84" t="s">
        <v>375</v>
      </c>
      <c r="C25" s="83" t="s">
        <v>362</v>
      </c>
      <c r="D25" s="85">
        <v>25.9</v>
      </c>
      <c r="E25" s="85">
        <v>26.1</v>
      </c>
      <c r="F25" s="85">
        <v>26</v>
      </c>
      <c r="G25" s="85">
        <v>25.8</v>
      </c>
      <c r="H25" s="85">
        <v>25.4</v>
      </c>
      <c r="I25" s="85">
        <v>24.9</v>
      </c>
      <c r="J25" s="85">
        <v>24.7</v>
      </c>
      <c r="K25" s="85">
        <v>25.2</v>
      </c>
      <c r="L25" s="85">
        <v>25.7</v>
      </c>
      <c r="M25" s="85">
        <v>26</v>
      </c>
      <c r="N25" s="85">
        <v>26</v>
      </c>
      <c r="O25" s="85">
        <v>25.9</v>
      </c>
      <c r="P25" s="94">
        <v>21.6</v>
      </c>
      <c r="Q25" s="94">
        <v>39.4</v>
      </c>
    </row>
    <row r="26" spans="1:20" hidden="1">
      <c r="A26" s="95" t="str">
        <f t="shared" si="0"/>
        <v>AM-Santa Izabel do Rio Negro</v>
      </c>
      <c r="B26" s="84" t="s">
        <v>376</v>
      </c>
      <c r="C26" s="83" t="s">
        <v>362</v>
      </c>
      <c r="D26" s="85">
        <v>25.6</v>
      </c>
      <c r="E26" s="85">
        <v>25.9</v>
      </c>
      <c r="F26" s="85">
        <v>25.7</v>
      </c>
      <c r="G26" s="85">
        <v>25.6</v>
      </c>
      <c r="H26" s="85">
        <v>25.3</v>
      </c>
      <c r="I26" s="85">
        <v>25</v>
      </c>
      <c r="J26" s="85">
        <v>24.9</v>
      </c>
      <c r="K26" s="85">
        <v>25.2</v>
      </c>
      <c r="L26" s="85">
        <v>25.6</v>
      </c>
      <c r="M26" s="85">
        <v>26.1</v>
      </c>
      <c r="N26" s="85">
        <v>26.2</v>
      </c>
      <c r="O26" s="85">
        <v>25.9</v>
      </c>
      <c r="P26" s="94">
        <v>21.2</v>
      </c>
      <c r="Q26" s="94">
        <v>39</v>
      </c>
    </row>
    <row r="27" spans="1:20" hidden="1">
      <c r="A27" s="95" t="str">
        <f t="shared" si="0"/>
        <v>AM-Taracuá</v>
      </c>
      <c r="B27" s="84" t="s">
        <v>377</v>
      </c>
      <c r="C27" s="83" t="s">
        <v>362</v>
      </c>
      <c r="D27" s="85">
        <v>25.8</v>
      </c>
      <c r="E27" s="85">
        <v>26</v>
      </c>
      <c r="F27" s="85">
        <v>25.9</v>
      </c>
      <c r="G27" s="85">
        <v>25.8</v>
      </c>
      <c r="H27" s="85">
        <v>25.5</v>
      </c>
      <c r="I27" s="85">
        <v>25.1</v>
      </c>
      <c r="J27" s="85">
        <v>24.7</v>
      </c>
      <c r="K27" s="85">
        <v>25.2</v>
      </c>
      <c r="L27" s="85">
        <v>25.6</v>
      </c>
      <c r="M27" s="85">
        <v>26</v>
      </c>
      <c r="N27" s="85">
        <v>26</v>
      </c>
      <c r="O27" s="85">
        <v>25.8</v>
      </c>
      <c r="P27" s="94">
        <v>21.6</v>
      </c>
      <c r="Q27" s="94">
        <v>39.799999999999997</v>
      </c>
    </row>
    <row r="28" spans="1:20" hidden="1">
      <c r="A28" s="95" t="str">
        <f t="shared" si="0"/>
        <v>AM-Tefé</v>
      </c>
      <c r="B28" s="84" t="s">
        <v>378</v>
      </c>
      <c r="C28" s="83" t="s">
        <v>362</v>
      </c>
      <c r="D28" s="85">
        <v>26.1</v>
      </c>
      <c r="E28" s="85">
        <v>26.1</v>
      </c>
      <c r="F28" s="85">
        <v>26.2</v>
      </c>
      <c r="G28" s="85">
        <v>26.2</v>
      </c>
      <c r="H28" s="85">
        <v>26.1</v>
      </c>
      <c r="I28" s="85">
        <v>25.7</v>
      </c>
      <c r="J28" s="85">
        <v>25.8</v>
      </c>
      <c r="K28" s="85">
        <v>26.3</v>
      </c>
      <c r="L28" s="85">
        <v>26.6</v>
      </c>
      <c r="M28" s="85">
        <v>26.7</v>
      </c>
      <c r="N28" s="85">
        <v>26.6</v>
      </c>
      <c r="O28" s="85">
        <v>26.3</v>
      </c>
      <c r="P28" s="94">
        <v>21.9</v>
      </c>
      <c r="Q28" s="94">
        <v>36.799999999999997</v>
      </c>
    </row>
    <row r="29" spans="1:20" hidden="1">
      <c r="A29" s="95" t="str">
        <f t="shared" si="0"/>
        <v>AP-Cupixi</v>
      </c>
      <c r="B29" s="84" t="s">
        <v>379</v>
      </c>
      <c r="C29" s="83" t="s">
        <v>380</v>
      </c>
      <c r="D29" s="85">
        <v>24.8</v>
      </c>
      <c r="E29" s="85">
        <v>24.9</v>
      </c>
      <c r="F29" s="85">
        <v>25</v>
      </c>
      <c r="G29" s="85">
        <v>25.3</v>
      </c>
      <c r="H29" s="85">
        <v>25.3</v>
      </c>
      <c r="I29" s="85">
        <v>25.1</v>
      </c>
      <c r="J29" s="85">
        <v>24.9</v>
      </c>
      <c r="K29" s="85">
        <v>25.4</v>
      </c>
      <c r="L29" s="85">
        <v>25.9</v>
      </c>
      <c r="M29" s="85">
        <v>26.3</v>
      </c>
      <c r="N29" s="85">
        <v>26.2</v>
      </c>
      <c r="O29" s="85">
        <v>25.9</v>
      </c>
      <c r="P29" s="94">
        <v>20.5</v>
      </c>
      <c r="Q29" s="94">
        <v>37.700000000000003</v>
      </c>
    </row>
    <row r="30" spans="1:20" hidden="1">
      <c r="A30" s="95" t="str">
        <f t="shared" si="0"/>
        <v>AP-Macapá</v>
      </c>
      <c r="B30" s="84" t="s">
        <v>381</v>
      </c>
      <c r="C30" s="83" t="s">
        <v>380</v>
      </c>
      <c r="D30" s="85">
        <v>25.9</v>
      </c>
      <c r="E30" s="85">
        <v>25.7</v>
      </c>
      <c r="F30" s="85">
        <v>25.7</v>
      </c>
      <c r="G30" s="85">
        <v>26</v>
      </c>
      <c r="H30" s="85">
        <v>26.2</v>
      </c>
      <c r="I30" s="85">
        <v>26.2</v>
      </c>
      <c r="J30" s="85">
        <v>26.1</v>
      </c>
      <c r="K30" s="85">
        <v>26.8</v>
      </c>
      <c r="L30" s="85">
        <v>27.5</v>
      </c>
      <c r="M30" s="85">
        <v>28</v>
      </c>
      <c r="N30" s="85">
        <v>27.8</v>
      </c>
      <c r="O30" s="85">
        <v>27.1</v>
      </c>
      <c r="P30" s="94">
        <v>22.9</v>
      </c>
      <c r="Q30" s="94">
        <v>39.6</v>
      </c>
    </row>
    <row r="31" spans="1:20" hidden="1">
      <c r="A31" s="95" t="str">
        <f t="shared" si="0"/>
        <v>AP-Porto Platon</v>
      </c>
      <c r="B31" s="84" t="s">
        <v>382</v>
      </c>
      <c r="C31" s="83" t="s">
        <v>380</v>
      </c>
      <c r="D31" s="85">
        <v>25.3</v>
      </c>
      <c r="E31" s="85">
        <v>24.9</v>
      </c>
      <c r="F31" s="85">
        <v>25</v>
      </c>
      <c r="G31" s="85">
        <v>25.4</v>
      </c>
      <c r="H31" s="85">
        <v>25.3</v>
      </c>
      <c r="I31" s="85">
        <v>25.3</v>
      </c>
      <c r="J31" s="85">
        <v>25.5</v>
      </c>
      <c r="K31" s="85">
        <v>26.1</v>
      </c>
      <c r="L31" s="85">
        <v>26.7</v>
      </c>
      <c r="M31" s="85">
        <v>26.9</v>
      </c>
      <c r="N31" s="85">
        <v>26.9</v>
      </c>
      <c r="O31" s="85">
        <v>26.2</v>
      </c>
      <c r="P31" s="94">
        <v>21.3</v>
      </c>
      <c r="Q31" s="94">
        <v>40.1</v>
      </c>
    </row>
    <row r="32" spans="1:20" hidden="1">
      <c r="A32" s="95" t="str">
        <f t="shared" si="0"/>
        <v>BA-Alagoinhas</v>
      </c>
      <c r="B32" s="84" t="s">
        <v>383</v>
      </c>
      <c r="C32" s="83" t="s">
        <v>384</v>
      </c>
      <c r="D32" s="85">
        <v>25.9</v>
      </c>
      <c r="E32" s="85">
        <v>25.7</v>
      </c>
      <c r="F32" s="85">
        <v>25.5</v>
      </c>
      <c r="G32" s="85">
        <v>25</v>
      </c>
      <c r="H32" s="85">
        <v>23.6</v>
      </c>
      <c r="I32" s="85">
        <v>22.5</v>
      </c>
      <c r="J32" s="85">
        <v>21.5</v>
      </c>
      <c r="K32" s="85">
        <v>21.5</v>
      </c>
      <c r="L32" s="85">
        <v>22.6</v>
      </c>
      <c r="M32" s="85">
        <v>24.3</v>
      </c>
      <c r="N32" s="85">
        <v>25.1</v>
      </c>
      <c r="O32" s="85">
        <v>25.5</v>
      </c>
      <c r="P32" s="94">
        <v>15.5</v>
      </c>
      <c r="Q32" s="94">
        <v>40.200000000000003</v>
      </c>
    </row>
    <row r="33" spans="1:20" hidden="1">
      <c r="A33" s="95" t="str">
        <f t="shared" si="0"/>
        <v>BA-Barreiras</v>
      </c>
      <c r="B33" s="84" t="s">
        <v>385</v>
      </c>
      <c r="C33" s="83" t="s">
        <v>384</v>
      </c>
      <c r="D33" s="85">
        <v>24.7</v>
      </c>
      <c r="E33" s="85">
        <v>24.7</v>
      </c>
      <c r="F33" s="85">
        <v>24.5</v>
      </c>
      <c r="G33" s="85">
        <v>24.4</v>
      </c>
      <c r="H33" s="85">
        <v>23.4</v>
      </c>
      <c r="I33" s="85">
        <v>22</v>
      </c>
      <c r="J33" s="85">
        <v>21.9</v>
      </c>
      <c r="K33" s="85">
        <v>23.6</v>
      </c>
      <c r="L33" s="85">
        <v>25.9</v>
      </c>
      <c r="M33" s="85">
        <v>26.4</v>
      </c>
      <c r="N33" s="85">
        <v>25.3</v>
      </c>
      <c r="O33" s="85">
        <v>24.6</v>
      </c>
      <c r="P33" s="94">
        <v>13.6</v>
      </c>
      <c r="Q33" s="94">
        <v>40.5</v>
      </c>
    </row>
    <row r="34" spans="1:20" hidden="1">
      <c r="A34" s="95" t="str">
        <f t="shared" si="0"/>
        <v>BA-Bom Jesus da Lapa</v>
      </c>
      <c r="B34" s="84" t="s">
        <v>386</v>
      </c>
      <c r="C34" s="83" t="s">
        <v>384</v>
      </c>
      <c r="D34" s="85">
        <v>25.3</v>
      </c>
      <c r="E34" s="85">
        <v>25.4</v>
      </c>
      <c r="F34" s="85">
        <v>25.3</v>
      </c>
      <c r="G34" s="85">
        <v>25.1</v>
      </c>
      <c r="H34" s="85">
        <v>24.5</v>
      </c>
      <c r="I34" s="85">
        <v>23.1</v>
      </c>
      <c r="J34" s="85">
        <v>23</v>
      </c>
      <c r="K34" s="85">
        <v>24.4</v>
      </c>
      <c r="L34" s="85">
        <v>26.2</v>
      </c>
      <c r="M34" s="85">
        <v>26.4</v>
      </c>
      <c r="N34" s="85">
        <v>25.4</v>
      </c>
      <c r="O34" s="85">
        <v>25</v>
      </c>
      <c r="P34" s="94">
        <v>16.5</v>
      </c>
      <c r="Q34" s="94">
        <v>40.9</v>
      </c>
    </row>
    <row r="35" spans="1:20" hidden="1">
      <c r="A35" s="95" t="str">
        <f t="shared" si="0"/>
        <v>BA-Caetité</v>
      </c>
      <c r="B35" s="84" t="s">
        <v>387</v>
      </c>
      <c r="C35" s="83" t="s">
        <v>384</v>
      </c>
      <c r="D35" s="85">
        <v>22.1</v>
      </c>
      <c r="E35" s="85">
        <v>22.4</v>
      </c>
      <c r="F35" s="85">
        <v>22.3</v>
      </c>
      <c r="G35" s="85">
        <v>21.7</v>
      </c>
      <c r="H35" s="85">
        <v>20.6</v>
      </c>
      <c r="I35" s="85">
        <v>19.5</v>
      </c>
      <c r="J35" s="85">
        <v>18.899999999999999</v>
      </c>
      <c r="K35" s="85">
        <v>20</v>
      </c>
      <c r="L35" s="85">
        <v>21.5</v>
      </c>
      <c r="M35" s="85">
        <v>22.5</v>
      </c>
      <c r="N35" s="85">
        <v>22.1</v>
      </c>
      <c r="O35" s="85">
        <v>21.9</v>
      </c>
      <c r="P35" s="94">
        <v>13.9</v>
      </c>
      <c r="Q35" s="94">
        <v>36.299999999999997</v>
      </c>
    </row>
    <row r="36" spans="1:20" hidden="1">
      <c r="A36" s="95" t="str">
        <f t="shared" si="0"/>
        <v>BA-Caravelas</v>
      </c>
      <c r="B36" s="84" t="s">
        <v>388</v>
      </c>
      <c r="C36" s="83" t="s">
        <v>384</v>
      </c>
      <c r="D36" s="85">
        <v>26</v>
      </c>
      <c r="E36" s="85">
        <v>26.3</v>
      </c>
      <c r="F36" s="85">
        <v>26.1</v>
      </c>
      <c r="G36" s="85">
        <v>25.3</v>
      </c>
      <c r="H36" s="85">
        <v>23.8</v>
      </c>
      <c r="I36" s="85">
        <v>22.5</v>
      </c>
      <c r="J36" s="85">
        <v>21.8</v>
      </c>
      <c r="K36" s="85">
        <v>22.1</v>
      </c>
      <c r="L36" s="85">
        <v>23</v>
      </c>
      <c r="M36" s="85">
        <v>24.2</v>
      </c>
      <c r="N36" s="85">
        <v>24.8</v>
      </c>
      <c r="O36" s="85">
        <v>25.5</v>
      </c>
      <c r="P36" s="94">
        <v>18.600000000000001</v>
      </c>
      <c r="Q36" s="94">
        <v>36.200000000000003</v>
      </c>
    </row>
    <row r="37" spans="1:20" hidden="1">
      <c r="A37" s="95" t="str">
        <f t="shared" si="0"/>
        <v>BA-Cipó</v>
      </c>
      <c r="B37" s="84" t="s">
        <v>389</v>
      </c>
      <c r="C37" s="83" t="s">
        <v>384</v>
      </c>
      <c r="D37" s="85">
        <v>26.7</v>
      </c>
      <c r="E37" s="85">
        <v>26.8</v>
      </c>
      <c r="F37" s="85">
        <v>26.4</v>
      </c>
      <c r="G37" s="85">
        <v>25.8</v>
      </c>
      <c r="H37" s="85">
        <v>24.5</v>
      </c>
      <c r="I37" s="85">
        <v>23.1</v>
      </c>
      <c r="J37" s="85">
        <v>22.6</v>
      </c>
      <c r="K37" s="85">
        <v>22.5</v>
      </c>
      <c r="L37" s="85">
        <v>23.8</v>
      </c>
      <c r="M37" s="85">
        <v>25.3</v>
      </c>
      <c r="N37" s="85">
        <v>26.2</v>
      </c>
      <c r="O37" s="85">
        <v>26.5</v>
      </c>
      <c r="P37" s="94">
        <v>16.5</v>
      </c>
      <c r="Q37" s="94">
        <v>39.799999999999997</v>
      </c>
    </row>
    <row r="38" spans="1:20" hidden="1">
      <c r="A38" s="95" t="str">
        <f t="shared" si="0"/>
        <v>BA-Ilhéus</v>
      </c>
      <c r="B38" s="84" t="s">
        <v>390</v>
      </c>
      <c r="C38" s="83" t="s">
        <v>384</v>
      </c>
      <c r="D38" s="85">
        <v>25.9</v>
      </c>
      <c r="E38" s="85">
        <v>26</v>
      </c>
      <c r="F38" s="85">
        <v>25.9</v>
      </c>
      <c r="G38" s="85">
        <v>25.3</v>
      </c>
      <c r="H38" s="85">
        <v>24.1</v>
      </c>
      <c r="I38" s="85">
        <v>22.7</v>
      </c>
      <c r="J38" s="85">
        <v>22</v>
      </c>
      <c r="K38" s="85">
        <v>22.2</v>
      </c>
      <c r="L38" s="85">
        <v>23.2</v>
      </c>
      <c r="M38" s="85">
        <v>24.4</v>
      </c>
      <c r="N38" s="85">
        <v>24.9</v>
      </c>
      <c r="O38" s="85">
        <v>25.4</v>
      </c>
      <c r="P38" s="94">
        <v>18.7</v>
      </c>
      <c r="Q38" s="94">
        <v>34.700000000000003</v>
      </c>
    </row>
    <row r="39" spans="1:20" hidden="1">
      <c r="A39" s="95" t="str">
        <f t="shared" si="0"/>
        <v>BA-Itaberaba</v>
      </c>
      <c r="B39" s="84" t="s">
        <v>391</v>
      </c>
      <c r="C39" s="83" t="s">
        <v>384</v>
      </c>
      <c r="D39" s="85">
        <v>25.8</v>
      </c>
      <c r="E39" s="85">
        <v>25.8</v>
      </c>
      <c r="F39" s="85">
        <v>25.6</v>
      </c>
      <c r="G39" s="85">
        <v>25.1</v>
      </c>
      <c r="H39" s="85">
        <v>23.7</v>
      </c>
      <c r="I39" s="85">
        <v>22.2</v>
      </c>
      <c r="J39" s="85">
        <v>21.5</v>
      </c>
      <c r="K39" s="85">
        <v>22.1</v>
      </c>
      <c r="L39" s="85">
        <v>23.4</v>
      </c>
      <c r="M39" s="85">
        <v>25</v>
      </c>
      <c r="N39" s="85">
        <v>25.4</v>
      </c>
      <c r="O39" s="85">
        <v>25.5</v>
      </c>
      <c r="P39" s="94">
        <v>16.5</v>
      </c>
      <c r="Q39" s="94">
        <v>39.299999999999997</v>
      </c>
    </row>
    <row r="40" spans="1:20" hidden="1">
      <c r="A40" s="95" t="str">
        <f t="shared" si="0"/>
        <v>BA-Itiruçu (Jaguaquara)</v>
      </c>
      <c r="B40" s="84" t="s">
        <v>392</v>
      </c>
      <c r="C40" s="83" t="s">
        <v>384</v>
      </c>
      <c r="D40" s="85">
        <v>22.3</v>
      </c>
      <c r="E40" s="85">
        <v>22.3</v>
      </c>
      <c r="F40" s="85">
        <v>22</v>
      </c>
      <c r="G40" s="85">
        <v>21.4</v>
      </c>
      <c r="H40" s="85">
        <v>20.100000000000001</v>
      </c>
      <c r="I40" s="85">
        <v>18.8</v>
      </c>
      <c r="J40" s="85">
        <v>17.899999999999999</v>
      </c>
      <c r="K40" s="85">
        <v>18.3</v>
      </c>
      <c r="L40" s="85">
        <v>19.399999999999999</v>
      </c>
      <c r="M40" s="85">
        <v>20.9</v>
      </c>
      <c r="N40" s="85">
        <v>21.5</v>
      </c>
      <c r="O40" s="85">
        <v>21.8</v>
      </c>
      <c r="P40" s="94">
        <v>14.8</v>
      </c>
      <c r="Q40" s="94">
        <v>35</v>
      </c>
    </row>
    <row r="41" spans="1:20" hidden="1">
      <c r="A41" s="95" t="str">
        <f t="shared" si="0"/>
        <v>BA-Jacobina</v>
      </c>
      <c r="B41" s="84" t="s">
        <v>393</v>
      </c>
      <c r="C41" s="83" t="s">
        <v>384</v>
      </c>
      <c r="D41" s="85">
        <v>25</v>
      </c>
      <c r="E41" s="85">
        <v>25.1</v>
      </c>
      <c r="F41" s="85">
        <v>25</v>
      </c>
      <c r="G41" s="85">
        <v>24.3</v>
      </c>
      <c r="H41" s="85">
        <v>22.9</v>
      </c>
      <c r="I41" s="85">
        <v>21.5</v>
      </c>
      <c r="J41" s="85">
        <v>21</v>
      </c>
      <c r="K41" s="85">
        <v>21.6</v>
      </c>
      <c r="L41" s="85">
        <v>23.1</v>
      </c>
      <c r="M41" s="85">
        <v>24.5</v>
      </c>
      <c r="N41" s="85">
        <v>25.1</v>
      </c>
      <c r="O41" s="85">
        <v>24.8</v>
      </c>
      <c r="P41" s="94">
        <v>16.3</v>
      </c>
      <c r="Q41" s="94">
        <v>38.200000000000003</v>
      </c>
    </row>
    <row r="42" spans="1:20" hidden="1">
      <c r="A42" s="95" t="str">
        <f t="shared" si="0"/>
        <v>BA-Lençóis</v>
      </c>
      <c r="B42" s="84" t="s">
        <v>394</v>
      </c>
      <c r="C42" s="83" t="s">
        <v>384</v>
      </c>
      <c r="D42" s="85">
        <v>24.5</v>
      </c>
      <c r="E42" s="85">
        <v>24.7</v>
      </c>
      <c r="F42" s="85">
        <v>24.4</v>
      </c>
      <c r="G42" s="85">
        <v>23.8</v>
      </c>
      <c r="H42" s="85">
        <v>22.5</v>
      </c>
      <c r="I42" s="85">
        <v>21.2</v>
      </c>
      <c r="J42" s="85">
        <v>20.7</v>
      </c>
      <c r="K42" s="85">
        <v>21.4</v>
      </c>
      <c r="L42" s="85">
        <v>22.7</v>
      </c>
      <c r="M42" s="85">
        <v>23.7</v>
      </c>
      <c r="N42" s="85">
        <v>24</v>
      </c>
      <c r="O42" s="85">
        <v>23.9</v>
      </c>
      <c r="P42" s="94">
        <v>17</v>
      </c>
      <c r="Q42" s="94">
        <v>39.200000000000003</v>
      </c>
    </row>
    <row r="43" spans="1:20" hidden="1">
      <c r="A43" s="95" t="str">
        <f t="shared" si="0"/>
        <v>BA-Monte Santo</v>
      </c>
      <c r="B43" s="84" t="s">
        <v>395</v>
      </c>
      <c r="C43" s="83" t="s">
        <v>384</v>
      </c>
      <c r="D43" s="85">
        <v>25.5</v>
      </c>
      <c r="E43" s="85">
        <v>25.3</v>
      </c>
      <c r="F43" s="85">
        <v>25.1</v>
      </c>
      <c r="G43" s="85">
        <v>24.3</v>
      </c>
      <c r="H43" s="85">
        <v>22.8</v>
      </c>
      <c r="I43" s="85">
        <v>21.4</v>
      </c>
      <c r="J43" s="85">
        <v>20.7</v>
      </c>
      <c r="K43" s="85">
        <v>21.3</v>
      </c>
      <c r="L43" s="85">
        <v>22.7</v>
      </c>
      <c r="M43" s="85">
        <v>24.5</v>
      </c>
      <c r="N43" s="85">
        <v>25.1</v>
      </c>
      <c r="O43" s="85">
        <v>25.4</v>
      </c>
      <c r="P43" s="94">
        <v>16</v>
      </c>
      <c r="Q43" s="94">
        <v>38</v>
      </c>
    </row>
    <row r="44" spans="1:20" hidden="1">
      <c r="A44" s="95" t="str">
        <f t="shared" si="0"/>
        <v>BA-Morro do Chapéu</v>
      </c>
      <c r="B44" s="84" t="s">
        <v>396</v>
      </c>
      <c r="C44" s="83" t="s">
        <v>384</v>
      </c>
      <c r="D44" s="85">
        <v>20.8</v>
      </c>
      <c r="E44" s="85">
        <v>21</v>
      </c>
      <c r="F44" s="85">
        <v>20.8</v>
      </c>
      <c r="G44" s="85">
        <v>20.399999999999999</v>
      </c>
      <c r="H44" s="85">
        <v>18.899999999999999</v>
      </c>
      <c r="I44" s="85">
        <v>17.399999999999999</v>
      </c>
      <c r="J44" s="85">
        <v>16.8</v>
      </c>
      <c r="K44" s="85">
        <v>17.399999999999999</v>
      </c>
      <c r="L44" s="85">
        <v>18.7</v>
      </c>
      <c r="M44" s="85">
        <v>20.2</v>
      </c>
      <c r="N44" s="85">
        <v>20.8</v>
      </c>
      <c r="O44" s="85">
        <v>20.7</v>
      </c>
      <c r="P44" s="94">
        <v>13.8</v>
      </c>
      <c r="Q44" s="94">
        <v>33.5</v>
      </c>
      <c r="T44" s="12"/>
    </row>
    <row r="45" spans="1:20" hidden="1">
      <c r="A45" s="95" t="str">
        <f t="shared" si="0"/>
        <v>BA-Paulo Afonso</v>
      </c>
      <c r="B45" s="84" t="s">
        <v>397</v>
      </c>
      <c r="C45" s="83" t="s">
        <v>384</v>
      </c>
      <c r="D45" s="85">
        <v>27.4</v>
      </c>
      <c r="E45" s="85">
        <v>27.2</v>
      </c>
      <c r="F45" s="85">
        <v>26.9</v>
      </c>
      <c r="G45" s="85">
        <v>26.2</v>
      </c>
      <c r="H45" s="85">
        <v>24.8</v>
      </c>
      <c r="I45" s="85">
        <v>23.2</v>
      </c>
      <c r="J45" s="85">
        <v>22.5</v>
      </c>
      <c r="K45" s="85">
        <v>23.2</v>
      </c>
      <c r="L45" s="85">
        <v>24.6</v>
      </c>
      <c r="M45" s="85">
        <v>26.5</v>
      </c>
      <c r="N45" s="85">
        <v>27.4</v>
      </c>
      <c r="O45" s="85">
        <v>27.4</v>
      </c>
      <c r="P45" s="94">
        <v>19</v>
      </c>
      <c r="Q45" s="94">
        <v>39.6</v>
      </c>
    </row>
    <row r="46" spans="1:20" hidden="1">
      <c r="A46" s="95" t="str">
        <f t="shared" si="0"/>
        <v>BA-Remanso</v>
      </c>
      <c r="B46" s="84" t="s">
        <v>398</v>
      </c>
      <c r="C46" s="83" t="s">
        <v>384</v>
      </c>
      <c r="D46" s="85">
        <v>26.6</v>
      </c>
      <c r="E46" s="85">
        <v>26.6</v>
      </c>
      <c r="F46" s="85">
        <v>26.4</v>
      </c>
      <c r="G46" s="85">
        <v>26.6</v>
      </c>
      <c r="H46" s="85">
        <v>26</v>
      </c>
      <c r="I46" s="85">
        <v>25.2</v>
      </c>
      <c r="J46" s="85">
        <v>24.9</v>
      </c>
      <c r="K46" s="85">
        <v>25.6</v>
      </c>
      <c r="L46" s="85">
        <v>27.2</v>
      </c>
      <c r="M46" s="85">
        <v>28.3</v>
      </c>
      <c r="N46" s="85">
        <v>27.6</v>
      </c>
      <c r="O46" s="85">
        <v>26.7</v>
      </c>
      <c r="P46" s="94">
        <v>19.3</v>
      </c>
      <c r="Q46" s="94">
        <v>41</v>
      </c>
    </row>
    <row r="47" spans="1:20" hidden="1">
      <c r="A47" s="95" t="str">
        <f t="shared" si="0"/>
        <v>BA-Salvador</v>
      </c>
      <c r="B47" s="84" t="s">
        <v>399</v>
      </c>
      <c r="C47" s="83" t="s">
        <v>384</v>
      </c>
      <c r="D47" s="85">
        <v>26.4</v>
      </c>
      <c r="E47" s="85">
        <v>26.5</v>
      </c>
      <c r="F47" s="85">
        <v>26.6</v>
      </c>
      <c r="G47" s="85">
        <v>26.2</v>
      </c>
      <c r="H47" s="85">
        <v>25.2</v>
      </c>
      <c r="I47" s="85">
        <v>24.3</v>
      </c>
      <c r="J47" s="85">
        <v>23.7</v>
      </c>
      <c r="K47" s="85">
        <v>23.6</v>
      </c>
      <c r="L47" s="85">
        <v>24.3</v>
      </c>
      <c r="M47" s="85">
        <v>25.1</v>
      </c>
      <c r="N47" s="85">
        <v>25.5</v>
      </c>
      <c r="O47" s="85">
        <v>25.9</v>
      </c>
      <c r="P47" s="94">
        <v>21.2</v>
      </c>
      <c r="Q47" s="94">
        <v>34.299999999999997</v>
      </c>
    </row>
    <row r="48" spans="1:20" hidden="1">
      <c r="A48" s="95" t="str">
        <f t="shared" si="0"/>
        <v>BA-Santa Rita de Cássia</v>
      </c>
      <c r="B48" s="84" t="s">
        <v>400</v>
      </c>
      <c r="C48" s="83" t="s">
        <v>384</v>
      </c>
      <c r="D48" s="85">
        <v>24.6</v>
      </c>
      <c r="E48" s="85">
        <v>24.6</v>
      </c>
      <c r="F48" s="85">
        <v>24.3</v>
      </c>
      <c r="G48" s="85">
        <v>24.3</v>
      </c>
      <c r="H48" s="85">
        <v>23.5</v>
      </c>
      <c r="I48" s="85">
        <v>22.1</v>
      </c>
      <c r="J48" s="85">
        <v>21.7</v>
      </c>
      <c r="K48" s="85">
        <v>22.9</v>
      </c>
      <c r="L48" s="85">
        <v>25.2</v>
      </c>
      <c r="M48" s="85">
        <v>26.4</v>
      </c>
      <c r="N48" s="85">
        <v>25.4</v>
      </c>
      <c r="O48" s="85">
        <v>24.6</v>
      </c>
      <c r="P48" s="94">
        <v>11.9</v>
      </c>
      <c r="Q48" s="94">
        <v>40.5</v>
      </c>
    </row>
    <row r="49" spans="1:17" hidden="1">
      <c r="A49" s="95" t="str">
        <f t="shared" si="0"/>
        <v>BA-São Francisco do Conde</v>
      </c>
      <c r="B49" s="84" t="s">
        <v>401</v>
      </c>
      <c r="C49" s="83" t="s">
        <v>384</v>
      </c>
      <c r="D49" s="85">
        <v>26</v>
      </c>
      <c r="E49" s="85">
        <v>26</v>
      </c>
      <c r="F49" s="85">
        <v>25.8</v>
      </c>
      <c r="G49" s="85">
        <v>25.2</v>
      </c>
      <c r="H49" s="85">
        <v>24</v>
      </c>
      <c r="I49" s="85">
        <v>23.2</v>
      </c>
      <c r="J49" s="85">
        <v>22.5</v>
      </c>
      <c r="K49" s="85">
        <v>22.6</v>
      </c>
      <c r="L49" s="85">
        <v>23.4</v>
      </c>
      <c r="M49" s="85">
        <v>24.6</v>
      </c>
      <c r="N49" s="85">
        <v>25.2</v>
      </c>
      <c r="O49" s="85">
        <v>25.5</v>
      </c>
      <c r="P49" s="94">
        <v>19.399999999999999</v>
      </c>
      <c r="Q49" s="94">
        <v>36.4</v>
      </c>
    </row>
    <row r="50" spans="1:17" hidden="1">
      <c r="A50" s="95" t="str">
        <f t="shared" si="0"/>
        <v>BA-Serrinha</v>
      </c>
      <c r="B50" s="84" t="s">
        <v>402</v>
      </c>
      <c r="C50" s="83" t="s">
        <v>384</v>
      </c>
      <c r="D50" s="85">
        <v>25.1</v>
      </c>
      <c r="E50" s="85">
        <v>24.8</v>
      </c>
      <c r="F50" s="85">
        <v>24.5</v>
      </c>
      <c r="G50" s="85">
        <v>24.2</v>
      </c>
      <c r="H50" s="85">
        <v>22.7</v>
      </c>
      <c r="I50" s="85">
        <v>21.2</v>
      </c>
      <c r="J50" s="85">
        <v>20.7</v>
      </c>
      <c r="K50" s="85">
        <v>20.9</v>
      </c>
      <c r="L50" s="85">
        <v>22.1</v>
      </c>
      <c r="M50" s="85">
        <v>23.7</v>
      </c>
      <c r="N50" s="85">
        <v>24.4</v>
      </c>
      <c r="O50" s="85">
        <v>24.8</v>
      </c>
      <c r="P50" s="94">
        <v>17.8</v>
      </c>
      <c r="Q50" s="94">
        <v>38.5</v>
      </c>
    </row>
    <row r="51" spans="1:17" hidden="1">
      <c r="A51" s="95" t="str">
        <f t="shared" si="0"/>
        <v>CE-Barbalha</v>
      </c>
      <c r="B51" s="84" t="s">
        <v>403</v>
      </c>
      <c r="C51" s="83" t="s">
        <v>404</v>
      </c>
      <c r="D51" s="85">
        <v>25.3</v>
      </c>
      <c r="E51" s="85">
        <v>24.6</v>
      </c>
      <c r="F51" s="85">
        <v>24.2</v>
      </c>
      <c r="G51" s="85">
        <v>24</v>
      </c>
      <c r="H51" s="85">
        <v>23.9</v>
      </c>
      <c r="I51" s="85">
        <v>23.7</v>
      </c>
      <c r="J51" s="85">
        <v>23.7</v>
      </c>
      <c r="K51" s="85">
        <v>24.6</v>
      </c>
      <c r="L51" s="85">
        <v>26</v>
      </c>
      <c r="M51" s="85">
        <v>26.4</v>
      </c>
      <c r="N51" s="85">
        <v>26.5</v>
      </c>
      <c r="O51" s="85">
        <v>26.2</v>
      </c>
      <c r="P51" s="94">
        <v>18.8</v>
      </c>
      <c r="Q51" s="94">
        <v>37.9</v>
      </c>
    </row>
    <row r="52" spans="1:17" hidden="1">
      <c r="A52" s="95" t="str">
        <f t="shared" si="0"/>
        <v>CE-Campos Sales</v>
      </c>
      <c r="B52" s="84" t="s">
        <v>405</v>
      </c>
      <c r="C52" s="83" t="s">
        <v>404</v>
      </c>
      <c r="D52" s="85">
        <v>24.9</v>
      </c>
      <c r="E52" s="85">
        <v>24</v>
      </c>
      <c r="F52" s="85">
        <v>23.5</v>
      </c>
      <c r="G52" s="85">
        <v>23.5</v>
      </c>
      <c r="H52" s="85">
        <v>23.1</v>
      </c>
      <c r="I52" s="85">
        <v>22.8</v>
      </c>
      <c r="J52" s="85">
        <v>22.7</v>
      </c>
      <c r="K52" s="85">
        <v>23.8</v>
      </c>
      <c r="L52" s="85">
        <v>25.3</v>
      </c>
      <c r="M52" s="85">
        <v>26.3</v>
      </c>
      <c r="N52" s="85">
        <v>26.3</v>
      </c>
      <c r="O52" s="85">
        <v>25.8</v>
      </c>
      <c r="P52" s="94">
        <v>18.2</v>
      </c>
      <c r="Q52" s="94">
        <v>39.9</v>
      </c>
    </row>
    <row r="53" spans="1:17" hidden="1">
      <c r="A53" s="95" t="str">
        <f t="shared" si="0"/>
        <v>CE-Crateús</v>
      </c>
      <c r="B53" s="84" t="s">
        <v>406</v>
      </c>
      <c r="C53" s="83" t="s">
        <v>404</v>
      </c>
      <c r="D53" s="85">
        <v>27.1</v>
      </c>
      <c r="E53" s="85">
        <v>25.9</v>
      </c>
      <c r="F53" s="85">
        <v>25.2</v>
      </c>
      <c r="G53" s="85">
        <v>25</v>
      </c>
      <c r="H53" s="85">
        <v>24.9</v>
      </c>
      <c r="I53" s="85">
        <v>24.8</v>
      </c>
      <c r="J53" s="85">
        <v>25.1</v>
      </c>
      <c r="K53" s="85">
        <v>26.4</v>
      </c>
      <c r="L53" s="85">
        <v>27.7</v>
      </c>
      <c r="M53" s="85">
        <v>28.6</v>
      </c>
      <c r="N53" s="85">
        <v>28.6</v>
      </c>
      <c r="O53" s="85">
        <v>28</v>
      </c>
      <c r="P53" s="94">
        <v>19.8</v>
      </c>
      <c r="Q53" s="94">
        <v>39</v>
      </c>
    </row>
    <row r="54" spans="1:17" hidden="1">
      <c r="A54" s="95" t="str">
        <f t="shared" si="0"/>
        <v>CE-Fortaleza</v>
      </c>
      <c r="B54" s="87" t="s">
        <v>407</v>
      </c>
      <c r="C54" s="86" t="s">
        <v>404</v>
      </c>
      <c r="D54" s="88">
        <v>27.119488954545499</v>
      </c>
      <c r="E54" s="88">
        <v>26.860266049999996</v>
      </c>
      <c r="F54" s="88">
        <v>26.425648315789466</v>
      </c>
      <c r="G54" s="88">
        <v>26.24321531578947</v>
      </c>
      <c r="H54" s="88">
        <v>26.158298349999995</v>
      </c>
      <c r="I54" s="88">
        <v>25.842840750000001</v>
      </c>
      <c r="J54" s="88">
        <v>25.615073149999994</v>
      </c>
      <c r="K54" s="88">
        <v>26.014538111111115</v>
      </c>
      <c r="L54" s="88">
        <v>26.44878423529412</v>
      </c>
      <c r="M54" s="88">
        <v>26.923437947368416</v>
      </c>
      <c r="N54" s="88">
        <v>27.201699608695652</v>
      </c>
      <c r="O54" s="88">
        <v>27.296667181818183</v>
      </c>
      <c r="P54" s="94">
        <v>22.4</v>
      </c>
      <c r="Q54" s="94">
        <v>37.700000000000003</v>
      </c>
    </row>
    <row r="55" spans="1:17" hidden="1">
      <c r="A55" s="95" t="str">
        <f t="shared" si="0"/>
        <v>CE-Guaramiranga</v>
      </c>
      <c r="B55" s="84" t="s">
        <v>408</v>
      </c>
      <c r="C55" s="83" t="s">
        <v>404</v>
      </c>
      <c r="D55" s="85">
        <v>21.1</v>
      </c>
      <c r="E55" s="85">
        <v>20.9</v>
      </c>
      <c r="F55" s="85">
        <v>20.8</v>
      </c>
      <c r="G55" s="85">
        <v>20.8</v>
      </c>
      <c r="H55" s="85">
        <v>20.5</v>
      </c>
      <c r="I55" s="85">
        <v>19.8</v>
      </c>
      <c r="J55" s="85">
        <v>19.5</v>
      </c>
      <c r="K55" s="85">
        <v>19.899999999999999</v>
      </c>
      <c r="L55" s="85">
        <v>20.399999999999999</v>
      </c>
      <c r="M55" s="85">
        <v>20.8</v>
      </c>
      <c r="N55" s="85">
        <v>21</v>
      </c>
      <c r="O55" s="85">
        <v>20.9</v>
      </c>
      <c r="P55" s="94">
        <v>16.100000000000001</v>
      </c>
      <c r="Q55" s="94">
        <v>31.2</v>
      </c>
    </row>
    <row r="56" spans="1:17" hidden="1">
      <c r="A56" s="95" t="str">
        <f t="shared" si="0"/>
        <v>CE-Iguatu</v>
      </c>
      <c r="B56" s="84" t="s">
        <v>409</v>
      </c>
      <c r="C56" s="83" t="s">
        <v>404</v>
      </c>
      <c r="D56" s="85">
        <v>27.5</v>
      </c>
      <c r="E56" s="85">
        <v>26.5</v>
      </c>
      <c r="F56" s="85">
        <v>26</v>
      </c>
      <c r="G56" s="85">
        <v>25.8</v>
      </c>
      <c r="H56" s="85">
        <v>25.4</v>
      </c>
      <c r="I56" s="85">
        <v>25</v>
      </c>
      <c r="J56" s="85">
        <v>25.3</v>
      </c>
      <c r="K56" s="85">
        <v>26.2</v>
      </c>
      <c r="L56" s="85">
        <v>27.6</v>
      </c>
      <c r="M56" s="85">
        <v>28.4</v>
      </c>
      <c r="N56" s="85">
        <v>28.7</v>
      </c>
      <c r="O56" s="85">
        <v>28.6</v>
      </c>
      <c r="P56" s="94">
        <v>20.2</v>
      </c>
      <c r="Q56" s="94">
        <v>39.9</v>
      </c>
    </row>
    <row r="57" spans="1:17" hidden="1">
      <c r="A57" s="95" t="str">
        <f t="shared" si="0"/>
        <v>CE-Morada Nova</v>
      </c>
      <c r="B57" s="84" t="s">
        <v>410</v>
      </c>
      <c r="C57" s="83" t="s">
        <v>404</v>
      </c>
      <c r="D57" s="85">
        <v>27.9</v>
      </c>
      <c r="E57" s="85">
        <v>27.4</v>
      </c>
      <c r="F57" s="85">
        <v>26.8</v>
      </c>
      <c r="G57" s="85">
        <v>26.7</v>
      </c>
      <c r="H57" s="85">
        <v>26.5</v>
      </c>
      <c r="I57" s="85">
        <v>26</v>
      </c>
      <c r="J57" s="85">
        <v>25.9</v>
      </c>
      <c r="K57" s="85">
        <v>26.7</v>
      </c>
      <c r="L57" s="85">
        <v>27.4</v>
      </c>
      <c r="M57" s="85">
        <v>28</v>
      </c>
      <c r="N57" s="85">
        <v>28.2</v>
      </c>
      <c r="O57" s="85">
        <v>28.2</v>
      </c>
      <c r="P57" s="94">
        <v>20.6</v>
      </c>
      <c r="Q57" s="94">
        <v>39.700000000000003</v>
      </c>
    </row>
    <row r="58" spans="1:17" hidden="1">
      <c r="A58" s="95" t="str">
        <f t="shared" si="0"/>
        <v>CE-Quixeramobim</v>
      </c>
      <c r="B58" s="84" t="s">
        <v>411</v>
      </c>
      <c r="C58" s="83" t="s">
        <v>404</v>
      </c>
      <c r="D58" s="85">
        <v>27.6</v>
      </c>
      <c r="E58" s="85">
        <v>27</v>
      </c>
      <c r="F58" s="85">
        <v>25.9</v>
      </c>
      <c r="G58" s="85">
        <v>25.5</v>
      </c>
      <c r="H58" s="85">
        <v>25.3</v>
      </c>
      <c r="I58" s="85">
        <v>25.1</v>
      </c>
      <c r="J58" s="85">
        <v>24.9</v>
      </c>
      <c r="K58" s="85">
        <v>26.3</v>
      </c>
      <c r="L58" s="85">
        <v>27.3</v>
      </c>
      <c r="M58" s="85">
        <v>27.7</v>
      </c>
      <c r="N58" s="85">
        <v>27.7</v>
      </c>
      <c r="O58" s="85">
        <v>27.9</v>
      </c>
      <c r="P58" s="94">
        <v>21.1</v>
      </c>
      <c r="Q58" s="94">
        <v>38.200000000000003</v>
      </c>
    </row>
    <row r="59" spans="1:17" hidden="1">
      <c r="A59" s="95" t="str">
        <f t="shared" si="0"/>
        <v>CE-Sobral</v>
      </c>
      <c r="B59" s="84" t="s">
        <v>412</v>
      </c>
      <c r="C59" s="83" t="s">
        <v>404</v>
      </c>
      <c r="D59" s="85">
        <v>27.5</v>
      </c>
      <c r="E59" s="85">
        <v>26.7</v>
      </c>
      <c r="F59" s="85">
        <v>26.1</v>
      </c>
      <c r="G59" s="85">
        <v>26</v>
      </c>
      <c r="H59" s="85">
        <v>26</v>
      </c>
      <c r="I59" s="85">
        <v>26</v>
      </c>
      <c r="J59" s="85">
        <v>25.9</v>
      </c>
      <c r="K59" s="85">
        <v>26.8</v>
      </c>
      <c r="L59" s="85">
        <v>27.5</v>
      </c>
      <c r="M59" s="85">
        <v>27.8</v>
      </c>
      <c r="N59" s="85">
        <v>28.1</v>
      </c>
      <c r="O59" s="85">
        <v>28.1</v>
      </c>
      <c r="P59" s="94">
        <v>21.2</v>
      </c>
      <c r="Q59" s="94">
        <v>39.799999999999997</v>
      </c>
    </row>
    <row r="60" spans="1:17" hidden="1">
      <c r="A60" s="95" t="str">
        <f t="shared" si="0"/>
        <v>CE-Tauá</v>
      </c>
      <c r="B60" s="84" t="s">
        <v>413</v>
      </c>
      <c r="C60" s="83" t="s">
        <v>404</v>
      </c>
      <c r="D60" s="85">
        <v>25.3</v>
      </c>
      <c r="E60" s="85">
        <v>24.9</v>
      </c>
      <c r="F60" s="85">
        <v>24.8</v>
      </c>
      <c r="G60" s="85">
        <v>24.4</v>
      </c>
      <c r="H60" s="85">
        <v>24.2</v>
      </c>
      <c r="I60" s="85">
        <v>24</v>
      </c>
      <c r="J60" s="85">
        <v>24</v>
      </c>
      <c r="K60" s="85">
        <v>25</v>
      </c>
      <c r="L60" s="85">
        <v>26</v>
      </c>
      <c r="M60" s="85">
        <v>26.7</v>
      </c>
      <c r="N60" s="85">
        <v>26.9</v>
      </c>
      <c r="O60" s="85">
        <v>27</v>
      </c>
      <c r="P60" s="94">
        <v>18.600000000000001</v>
      </c>
      <c r="Q60" s="94">
        <v>37.1</v>
      </c>
    </row>
    <row r="61" spans="1:17" hidden="1">
      <c r="A61" s="95" t="str">
        <f t="shared" si="0"/>
        <v>DF-Brasília</v>
      </c>
      <c r="B61" s="84" t="s">
        <v>414</v>
      </c>
      <c r="C61" s="83" t="s">
        <v>415</v>
      </c>
      <c r="D61" s="85">
        <v>21.2</v>
      </c>
      <c r="E61" s="85">
        <v>21.3</v>
      </c>
      <c r="F61" s="85">
        <v>21.5</v>
      </c>
      <c r="G61" s="85">
        <v>20.9</v>
      </c>
      <c r="H61" s="85">
        <v>19.600000000000001</v>
      </c>
      <c r="I61" s="85">
        <v>18.5</v>
      </c>
      <c r="J61" s="85">
        <v>18.3</v>
      </c>
      <c r="K61" s="85">
        <v>20.3</v>
      </c>
      <c r="L61" s="85">
        <v>21.7</v>
      </c>
      <c r="M61" s="85">
        <v>21.6</v>
      </c>
      <c r="N61" s="85">
        <v>21.1</v>
      </c>
      <c r="O61" s="85">
        <v>21</v>
      </c>
      <c r="P61" s="94">
        <v>12.9</v>
      </c>
      <c r="Q61" s="94">
        <v>34.5</v>
      </c>
    </row>
    <row r="62" spans="1:17" hidden="1">
      <c r="A62" s="95" t="str">
        <f t="shared" si="0"/>
        <v>ES-Cachoeiro do Itapemirim</v>
      </c>
      <c r="B62" s="84" t="s">
        <v>416</v>
      </c>
      <c r="C62" s="83" t="s">
        <v>417</v>
      </c>
      <c r="D62" s="85">
        <v>26.4</v>
      </c>
      <c r="E62" s="85">
        <v>26.6</v>
      </c>
      <c r="F62" s="85">
        <v>26.2</v>
      </c>
      <c r="G62" s="85">
        <v>24.3</v>
      </c>
      <c r="H62" s="85">
        <v>22.2</v>
      </c>
      <c r="I62" s="85">
        <v>21</v>
      </c>
      <c r="J62" s="85">
        <v>20.399999999999999</v>
      </c>
      <c r="K62" s="85">
        <v>21.3</v>
      </c>
      <c r="L62" s="85">
        <v>22.3</v>
      </c>
      <c r="M62" s="85">
        <v>23.4</v>
      </c>
      <c r="N62" s="85">
        <v>24.4</v>
      </c>
      <c r="O62" s="85">
        <v>25.1</v>
      </c>
      <c r="P62" s="94">
        <v>16.3</v>
      </c>
      <c r="Q62" s="94">
        <v>42.5</v>
      </c>
    </row>
    <row r="63" spans="1:17" hidden="1">
      <c r="A63" s="95" t="str">
        <f t="shared" si="0"/>
        <v>ES-Linhares</v>
      </c>
      <c r="B63" s="84" t="s">
        <v>418</v>
      </c>
      <c r="C63" s="83" t="s">
        <v>417</v>
      </c>
      <c r="D63" s="85">
        <v>25.7</v>
      </c>
      <c r="E63" s="85">
        <v>26</v>
      </c>
      <c r="F63" s="85">
        <v>25.7</v>
      </c>
      <c r="G63" s="85">
        <v>24.2</v>
      </c>
      <c r="H63" s="85">
        <v>22.7</v>
      </c>
      <c r="I63" s="85">
        <v>21.5</v>
      </c>
      <c r="J63" s="85">
        <v>20.7</v>
      </c>
      <c r="K63" s="85">
        <v>21.3</v>
      </c>
      <c r="L63" s="85">
        <v>21.8</v>
      </c>
      <c r="M63" s="85">
        <v>23.2</v>
      </c>
      <c r="N63" s="85">
        <v>24.4</v>
      </c>
      <c r="O63" s="85">
        <v>25.3</v>
      </c>
      <c r="P63" s="94">
        <v>16.600000000000001</v>
      </c>
      <c r="Q63" s="94">
        <v>38.799999999999997</v>
      </c>
    </row>
    <row r="64" spans="1:17" hidden="1">
      <c r="A64" s="95" t="str">
        <f t="shared" si="0"/>
        <v>ES-Vitória</v>
      </c>
      <c r="B64" s="84" t="s">
        <v>419</v>
      </c>
      <c r="C64" s="83" t="s">
        <v>417</v>
      </c>
      <c r="D64" s="85">
        <v>26.2</v>
      </c>
      <c r="E64" s="85">
        <v>26.7</v>
      </c>
      <c r="F64" s="85">
        <v>26.5</v>
      </c>
      <c r="G64" s="85">
        <v>25.1</v>
      </c>
      <c r="H64" s="85">
        <v>23.3</v>
      </c>
      <c r="I64" s="85">
        <v>22.3</v>
      </c>
      <c r="J64" s="85">
        <v>21.6</v>
      </c>
      <c r="K64" s="85">
        <v>22.2</v>
      </c>
      <c r="L64" s="85">
        <v>22.8</v>
      </c>
      <c r="M64" s="85">
        <v>23.5</v>
      </c>
      <c r="N64" s="85">
        <v>24.4</v>
      </c>
      <c r="O64" s="85">
        <v>25.5</v>
      </c>
      <c r="P64" s="94">
        <v>18.8</v>
      </c>
      <c r="Q64" s="94">
        <v>39</v>
      </c>
    </row>
    <row r="65" spans="1:17" hidden="1">
      <c r="A65" s="95" t="str">
        <f t="shared" si="0"/>
        <v>GO-Aragarças</v>
      </c>
      <c r="B65" s="84" t="s">
        <v>420</v>
      </c>
      <c r="C65" s="83" t="s">
        <v>421</v>
      </c>
      <c r="D65" s="85">
        <v>25.3</v>
      </c>
      <c r="E65" s="85">
        <v>25.4</v>
      </c>
      <c r="F65" s="85">
        <v>25.5</v>
      </c>
      <c r="G65" s="85">
        <v>25.3</v>
      </c>
      <c r="H65" s="85">
        <v>23.8</v>
      </c>
      <c r="I65" s="85">
        <v>22.5</v>
      </c>
      <c r="J65" s="85">
        <v>22.2</v>
      </c>
      <c r="K65" s="85">
        <v>24.3</v>
      </c>
      <c r="L65" s="85">
        <v>26.1</v>
      </c>
      <c r="M65" s="85">
        <v>26.7</v>
      </c>
      <c r="N65" s="85">
        <v>25.9</v>
      </c>
      <c r="O65" s="85">
        <v>25.4</v>
      </c>
      <c r="P65" s="94">
        <v>15</v>
      </c>
      <c r="Q65" s="94">
        <v>39.9</v>
      </c>
    </row>
    <row r="66" spans="1:17" hidden="1">
      <c r="A66" s="95" t="str">
        <f t="shared" si="0"/>
        <v>GO-Catalão</v>
      </c>
      <c r="B66" s="84" t="s">
        <v>422</v>
      </c>
      <c r="C66" s="83" t="s">
        <v>421</v>
      </c>
      <c r="D66" s="85">
        <v>23</v>
      </c>
      <c r="E66" s="85">
        <v>23.1</v>
      </c>
      <c r="F66" s="85">
        <v>23.2</v>
      </c>
      <c r="G66" s="85">
        <v>22.4</v>
      </c>
      <c r="H66" s="85">
        <v>20.6</v>
      </c>
      <c r="I66" s="85">
        <v>19.5</v>
      </c>
      <c r="J66" s="85">
        <v>19.2</v>
      </c>
      <c r="K66" s="85">
        <v>21.4</v>
      </c>
      <c r="L66" s="85">
        <v>23</v>
      </c>
      <c r="M66" s="85">
        <v>23.3</v>
      </c>
      <c r="N66" s="85">
        <v>23</v>
      </c>
      <c r="O66" s="85">
        <v>22.6</v>
      </c>
      <c r="P66" s="94">
        <v>13.7</v>
      </c>
      <c r="Q66" s="94">
        <v>37.1</v>
      </c>
    </row>
    <row r="67" spans="1:17" hidden="1">
      <c r="A67" s="95" t="str">
        <f t="shared" si="0"/>
        <v>GO-Formosa</v>
      </c>
      <c r="B67" s="84" t="s">
        <v>423</v>
      </c>
      <c r="C67" s="83" t="s">
        <v>421</v>
      </c>
      <c r="D67" s="85">
        <v>22.2</v>
      </c>
      <c r="E67" s="85">
        <v>22.4</v>
      </c>
      <c r="F67" s="85">
        <v>22.5</v>
      </c>
      <c r="G67" s="85">
        <v>22</v>
      </c>
      <c r="H67" s="85">
        <v>20.7</v>
      </c>
      <c r="I67" s="85">
        <v>19.5</v>
      </c>
      <c r="J67" s="85">
        <v>19.3</v>
      </c>
      <c r="K67" s="85">
        <v>21.3</v>
      </c>
      <c r="L67" s="85">
        <v>22.8</v>
      </c>
      <c r="M67" s="85">
        <v>22.9</v>
      </c>
      <c r="N67" s="85">
        <v>22.3</v>
      </c>
      <c r="O67" s="85">
        <v>22.1</v>
      </c>
      <c r="P67" s="94">
        <v>13.3</v>
      </c>
      <c r="Q67" s="94">
        <v>39</v>
      </c>
    </row>
    <row r="68" spans="1:17" hidden="1">
      <c r="A68" s="95" t="str">
        <f t="shared" si="0"/>
        <v>GO-Goiânia</v>
      </c>
      <c r="B68" s="84" t="s">
        <v>424</v>
      </c>
      <c r="C68" s="83" t="s">
        <v>421</v>
      </c>
      <c r="D68" s="85">
        <v>23.8</v>
      </c>
      <c r="E68" s="85">
        <v>23.8</v>
      </c>
      <c r="F68" s="85">
        <v>24</v>
      </c>
      <c r="G68" s="85">
        <v>23.6</v>
      </c>
      <c r="H68" s="85">
        <v>22.2</v>
      </c>
      <c r="I68" s="85">
        <v>20.9</v>
      </c>
      <c r="J68" s="85">
        <v>20.9</v>
      </c>
      <c r="K68" s="85">
        <v>23</v>
      </c>
      <c r="L68" s="85">
        <v>24.5</v>
      </c>
      <c r="M68" s="85">
        <v>24.6</v>
      </c>
      <c r="N68" s="85">
        <v>24.1</v>
      </c>
      <c r="O68" s="85">
        <v>23.5</v>
      </c>
      <c r="P68" s="94">
        <v>13.2</v>
      </c>
      <c r="Q68" s="94">
        <v>38.4</v>
      </c>
    </row>
    <row r="69" spans="1:17" hidden="1">
      <c r="A69" s="95" t="str">
        <f t="shared" si="0"/>
        <v>GO-Goiás</v>
      </c>
      <c r="B69" s="84" t="s">
        <v>425</v>
      </c>
      <c r="C69" s="83" t="s">
        <v>421</v>
      </c>
      <c r="D69" s="85">
        <v>24.8</v>
      </c>
      <c r="E69" s="85">
        <v>24.8</v>
      </c>
      <c r="F69" s="85">
        <v>25.1</v>
      </c>
      <c r="G69" s="85">
        <v>25</v>
      </c>
      <c r="H69" s="85">
        <v>24</v>
      </c>
      <c r="I69" s="85">
        <v>22.7</v>
      </c>
      <c r="J69" s="85">
        <v>23</v>
      </c>
      <c r="K69" s="85">
        <v>25</v>
      </c>
      <c r="L69" s="85">
        <v>26.4</v>
      </c>
      <c r="M69" s="85">
        <v>25.8</v>
      </c>
      <c r="N69" s="85">
        <v>25.2</v>
      </c>
      <c r="O69" s="85">
        <v>24.8</v>
      </c>
      <c r="P69" s="94">
        <v>17</v>
      </c>
      <c r="Q69" s="94">
        <v>40</v>
      </c>
    </row>
    <row r="70" spans="1:17" hidden="1">
      <c r="A70" s="95" t="str">
        <f t="shared" si="0"/>
        <v>GO-Jataí</v>
      </c>
      <c r="B70" s="84" t="s">
        <v>426</v>
      </c>
      <c r="C70" s="83" t="s">
        <v>421</v>
      </c>
      <c r="D70" s="85">
        <v>23.9</v>
      </c>
      <c r="E70" s="85">
        <v>23.7</v>
      </c>
      <c r="F70" s="85">
        <v>23.6</v>
      </c>
      <c r="G70" s="85">
        <v>22.7</v>
      </c>
      <c r="H70" s="85">
        <v>20.5</v>
      </c>
      <c r="I70" s="85">
        <v>18.2</v>
      </c>
      <c r="J70" s="85">
        <v>18.2</v>
      </c>
      <c r="K70" s="85">
        <v>20.399999999999999</v>
      </c>
      <c r="L70" s="85">
        <v>22.5</v>
      </c>
      <c r="M70" s="85">
        <v>24.1</v>
      </c>
      <c r="N70" s="85">
        <v>24.1</v>
      </c>
      <c r="O70" s="85">
        <v>23.9</v>
      </c>
      <c r="P70" s="94">
        <v>10.7</v>
      </c>
      <c r="Q70" s="94">
        <v>39.200000000000003</v>
      </c>
    </row>
    <row r="71" spans="1:17" hidden="1">
      <c r="A71" s="95" t="str">
        <f t="shared" si="0"/>
        <v>GO-Mineiros</v>
      </c>
      <c r="B71" s="84" t="s">
        <v>427</v>
      </c>
      <c r="C71" s="83" t="s">
        <v>421</v>
      </c>
      <c r="D71" s="85">
        <v>23.6</v>
      </c>
      <c r="E71" s="85">
        <v>23.7</v>
      </c>
      <c r="F71" s="85">
        <v>23.7</v>
      </c>
      <c r="G71" s="85">
        <v>22.9</v>
      </c>
      <c r="H71" s="85">
        <v>21.1</v>
      </c>
      <c r="I71" s="85">
        <v>19.399999999999999</v>
      </c>
      <c r="J71" s="85">
        <v>19.8</v>
      </c>
      <c r="K71" s="85">
        <v>21.8</v>
      </c>
      <c r="L71" s="85">
        <v>22.9</v>
      </c>
      <c r="M71" s="85">
        <v>24</v>
      </c>
      <c r="N71" s="85">
        <v>23.7</v>
      </c>
      <c r="O71" s="85">
        <v>23.6</v>
      </c>
      <c r="P71" s="94">
        <v>13</v>
      </c>
      <c r="Q71" s="94">
        <v>38</v>
      </c>
    </row>
    <row r="72" spans="1:17" hidden="1">
      <c r="A72" s="95" t="str">
        <f t="shared" si="0"/>
        <v>GO-Pirenópolis</v>
      </c>
      <c r="B72" s="84" t="s">
        <v>428</v>
      </c>
      <c r="C72" s="83" t="s">
        <v>421</v>
      </c>
      <c r="D72" s="85">
        <v>22.9</v>
      </c>
      <c r="E72" s="85">
        <v>23.2</v>
      </c>
      <c r="F72" s="85">
        <v>23.1</v>
      </c>
      <c r="G72" s="85">
        <v>22.9</v>
      </c>
      <c r="H72" s="85">
        <v>21.7</v>
      </c>
      <c r="I72" s="85">
        <v>20.2</v>
      </c>
      <c r="J72" s="85">
        <v>20.399999999999999</v>
      </c>
      <c r="K72" s="85">
        <v>22.4</v>
      </c>
      <c r="L72" s="85">
        <v>23.8</v>
      </c>
      <c r="M72" s="85">
        <v>24</v>
      </c>
      <c r="N72" s="85">
        <v>23.3</v>
      </c>
      <c r="O72" s="85">
        <v>22.9</v>
      </c>
      <c r="P72" s="94">
        <v>14.1</v>
      </c>
      <c r="Q72" s="94">
        <v>37.4</v>
      </c>
    </row>
    <row r="73" spans="1:17" hidden="1">
      <c r="A73" s="95" t="str">
        <f t="shared" ref="A73:A136" si="1">CONCATENATE(C73,"-",B73)</f>
        <v>GO-Rio Verde</v>
      </c>
      <c r="B73" s="84" t="s">
        <v>429</v>
      </c>
      <c r="C73" s="83" t="s">
        <v>421</v>
      </c>
      <c r="D73" s="85">
        <v>23.3</v>
      </c>
      <c r="E73" s="85">
        <v>23.6</v>
      </c>
      <c r="F73" s="85">
        <v>23.4</v>
      </c>
      <c r="G73" s="85">
        <v>22.5</v>
      </c>
      <c r="H73" s="85">
        <v>21.3</v>
      </c>
      <c r="I73" s="85">
        <v>20.3</v>
      </c>
      <c r="J73" s="85">
        <v>20.399999999999999</v>
      </c>
      <c r="K73" s="85">
        <v>22.4</v>
      </c>
      <c r="L73" s="85">
        <v>23.1</v>
      </c>
      <c r="M73" s="85">
        <v>24.1</v>
      </c>
      <c r="N73" s="85">
        <v>23.2</v>
      </c>
      <c r="O73" s="85">
        <v>23.1</v>
      </c>
      <c r="P73" s="94">
        <v>14.1</v>
      </c>
      <c r="Q73" s="94">
        <v>36.200000000000003</v>
      </c>
    </row>
    <row r="74" spans="1:17" hidden="1">
      <c r="A74" s="95" t="str">
        <f t="shared" si="1"/>
        <v>MA-Barra do Corda</v>
      </c>
      <c r="B74" s="84" t="s">
        <v>430</v>
      </c>
      <c r="C74" s="83" t="s">
        <v>431</v>
      </c>
      <c r="D74" s="85">
        <v>25.1</v>
      </c>
      <c r="E74" s="85">
        <v>25</v>
      </c>
      <c r="F74" s="85">
        <v>25</v>
      </c>
      <c r="G74" s="85">
        <v>25.2</v>
      </c>
      <c r="H74" s="85">
        <v>24.9</v>
      </c>
      <c r="I74" s="85">
        <v>24.6</v>
      </c>
      <c r="J74" s="85">
        <v>24.4</v>
      </c>
      <c r="K74" s="85">
        <v>25.5</v>
      </c>
      <c r="L74" s="85">
        <v>27</v>
      </c>
      <c r="M74" s="85">
        <v>27.4</v>
      </c>
      <c r="N74" s="85">
        <v>26.5</v>
      </c>
      <c r="O74" s="85">
        <v>25.8</v>
      </c>
      <c r="P74" s="94">
        <v>18.7</v>
      </c>
      <c r="Q74" s="94">
        <v>40.9</v>
      </c>
    </row>
    <row r="75" spans="1:17" hidden="1">
      <c r="A75" s="95" t="str">
        <f t="shared" si="1"/>
        <v>MA-Carolina</v>
      </c>
      <c r="B75" s="84" t="s">
        <v>432</v>
      </c>
      <c r="C75" s="83" t="s">
        <v>431</v>
      </c>
      <c r="D75" s="85">
        <v>25</v>
      </c>
      <c r="E75" s="85">
        <v>25.1</v>
      </c>
      <c r="F75" s="85">
        <v>25.3</v>
      </c>
      <c r="G75" s="85">
        <v>25.8</v>
      </c>
      <c r="H75" s="85">
        <v>26.1</v>
      </c>
      <c r="I75" s="85">
        <v>26</v>
      </c>
      <c r="J75" s="85">
        <v>26.2</v>
      </c>
      <c r="K75" s="85">
        <v>27.1</v>
      </c>
      <c r="L75" s="85">
        <v>28</v>
      </c>
      <c r="M75" s="85">
        <v>26.7</v>
      </c>
      <c r="N75" s="85">
        <v>26</v>
      </c>
      <c r="O75" s="85">
        <v>25.5</v>
      </c>
      <c r="P75" s="94">
        <v>18.899999999999999</v>
      </c>
      <c r="Q75" s="94">
        <v>38.799999999999997</v>
      </c>
    </row>
    <row r="76" spans="1:17" hidden="1">
      <c r="A76" s="95" t="str">
        <f t="shared" si="1"/>
        <v>MA-Caxias</v>
      </c>
      <c r="B76" s="84" t="s">
        <v>433</v>
      </c>
      <c r="C76" s="83" t="s">
        <v>431</v>
      </c>
      <c r="D76" s="85">
        <v>26.6</v>
      </c>
      <c r="E76" s="85">
        <v>26.2</v>
      </c>
      <c r="F76" s="85">
        <v>25.9</v>
      </c>
      <c r="G76" s="85">
        <v>26.2</v>
      </c>
      <c r="H76" s="85">
        <v>26.1</v>
      </c>
      <c r="I76" s="85">
        <v>25.7</v>
      </c>
      <c r="J76" s="85">
        <v>25.8</v>
      </c>
      <c r="K76" s="85">
        <v>26.7</v>
      </c>
      <c r="L76" s="85">
        <v>28.2</v>
      </c>
      <c r="M76" s="85">
        <v>28.6</v>
      </c>
      <c r="N76" s="85">
        <v>28.3</v>
      </c>
      <c r="O76" s="85">
        <v>27.6</v>
      </c>
      <c r="P76" s="94">
        <v>20.2</v>
      </c>
      <c r="Q76" s="94">
        <v>39.4</v>
      </c>
    </row>
    <row r="77" spans="1:17" hidden="1">
      <c r="A77" s="95" t="str">
        <f t="shared" si="1"/>
        <v>MA-Grajaú</v>
      </c>
      <c r="B77" s="84" t="s">
        <v>434</v>
      </c>
      <c r="C77" s="83" t="s">
        <v>431</v>
      </c>
      <c r="D77" s="85">
        <v>25.1</v>
      </c>
      <c r="E77" s="85">
        <v>25.1</v>
      </c>
      <c r="F77" s="85">
        <v>25.1</v>
      </c>
      <c r="G77" s="85">
        <v>25.3</v>
      </c>
      <c r="H77" s="85">
        <v>25.1</v>
      </c>
      <c r="I77" s="85">
        <v>24.7</v>
      </c>
      <c r="J77" s="85">
        <v>24.6</v>
      </c>
      <c r="K77" s="85">
        <v>25.3</v>
      </c>
      <c r="L77" s="85">
        <v>26.7</v>
      </c>
      <c r="M77" s="85">
        <v>26.6</v>
      </c>
      <c r="N77" s="85">
        <v>26</v>
      </c>
      <c r="O77" s="85">
        <v>25.5</v>
      </c>
      <c r="P77" s="94">
        <v>16.8</v>
      </c>
      <c r="Q77" s="94">
        <v>38.5</v>
      </c>
    </row>
    <row r="78" spans="1:17" hidden="1">
      <c r="A78" s="95" t="str">
        <f t="shared" si="1"/>
        <v>MA-Imperatriz</v>
      </c>
      <c r="B78" s="84" t="s">
        <v>435</v>
      </c>
      <c r="C78" s="83" t="s">
        <v>431</v>
      </c>
      <c r="D78" s="85">
        <v>25.9</v>
      </c>
      <c r="E78" s="85">
        <v>25.9</v>
      </c>
      <c r="F78" s="85">
        <v>25.5</v>
      </c>
      <c r="G78" s="85">
        <v>26.1</v>
      </c>
      <c r="H78" s="85">
        <v>26.4</v>
      </c>
      <c r="I78" s="85">
        <v>25.9</v>
      </c>
      <c r="J78" s="85">
        <v>25.8</v>
      </c>
      <c r="K78" s="85">
        <v>26.6</v>
      </c>
      <c r="L78" s="85">
        <v>27.3</v>
      </c>
      <c r="M78" s="85">
        <v>27.2</v>
      </c>
      <c r="N78" s="85">
        <v>26.8</v>
      </c>
      <c r="O78" s="85">
        <v>26.2</v>
      </c>
      <c r="P78" s="94">
        <v>19.399999999999999</v>
      </c>
      <c r="Q78" s="94">
        <v>38.4</v>
      </c>
    </row>
    <row r="79" spans="1:17" hidden="1">
      <c r="A79" s="95" t="str">
        <f t="shared" si="1"/>
        <v>MA-São Luís</v>
      </c>
      <c r="B79" s="84" t="s">
        <v>436</v>
      </c>
      <c r="C79" s="83" t="s">
        <v>431</v>
      </c>
      <c r="D79" s="85">
        <v>26.1</v>
      </c>
      <c r="E79" s="85">
        <v>25.7</v>
      </c>
      <c r="F79" s="85">
        <v>25.6</v>
      </c>
      <c r="G79" s="85">
        <v>25.8</v>
      </c>
      <c r="H79" s="85">
        <v>25.9</v>
      </c>
      <c r="I79" s="85">
        <v>25.9</v>
      </c>
      <c r="J79" s="85">
        <v>25.6</v>
      </c>
      <c r="K79" s="85">
        <v>25.9</v>
      </c>
      <c r="L79" s="85">
        <v>26.3</v>
      </c>
      <c r="M79" s="85">
        <v>26.6</v>
      </c>
      <c r="N79" s="85">
        <v>26.9</v>
      </c>
      <c r="O79" s="85">
        <v>26.7</v>
      </c>
      <c r="P79" s="94">
        <v>22.6</v>
      </c>
      <c r="Q79" s="94">
        <v>36</v>
      </c>
    </row>
    <row r="80" spans="1:17" hidden="1">
      <c r="A80" s="95" t="str">
        <f t="shared" si="1"/>
        <v>MA-Zé Doca</v>
      </c>
      <c r="B80" s="84" t="s">
        <v>437</v>
      </c>
      <c r="C80" s="83" t="s">
        <v>431</v>
      </c>
      <c r="D80" s="85">
        <v>25.6</v>
      </c>
      <c r="E80" s="85">
        <v>25.7</v>
      </c>
      <c r="F80" s="85">
        <v>25.6</v>
      </c>
      <c r="G80" s="85">
        <v>26.1</v>
      </c>
      <c r="H80" s="85">
        <v>26.3</v>
      </c>
      <c r="I80" s="85">
        <v>26</v>
      </c>
      <c r="J80" s="85">
        <v>25.8</v>
      </c>
      <c r="K80" s="85">
        <v>25.9</v>
      </c>
      <c r="L80" s="85">
        <v>26.4</v>
      </c>
      <c r="M80" s="85">
        <v>27.3</v>
      </c>
      <c r="N80" s="85">
        <v>27.4</v>
      </c>
      <c r="O80" s="85">
        <v>26.6</v>
      </c>
      <c r="P80" s="94">
        <v>21.3</v>
      </c>
      <c r="Q80" s="94">
        <v>37.700000000000003</v>
      </c>
    </row>
    <row r="81" spans="1:17" hidden="1">
      <c r="A81" s="95" t="str">
        <f t="shared" si="1"/>
        <v>MG-Araçuaí</v>
      </c>
      <c r="B81" s="84" t="s">
        <v>438</v>
      </c>
      <c r="C81" s="83" t="s">
        <v>439</v>
      </c>
      <c r="D81" s="85">
        <v>25.6</v>
      </c>
      <c r="E81" s="85">
        <v>26</v>
      </c>
      <c r="F81" s="85">
        <v>25.9</v>
      </c>
      <c r="G81" s="85">
        <v>24.6</v>
      </c>
      <c r="H81" s="85">
        <v>22.8</v>
      </c>
      <c r="I81" s="85">
        <v>21.5</v>
      </c>
      <c r="J81" s="85">
        <v>21.3</v>
      </c>
      <c r="K81" s="85">
        <v>22.5</v>
      </c>
      <c r="L81" s="85">
        <v>24.5</v>
      </c>
      <c r="M81" s="85">
        <v>25.3</v>
      </c>
      <c r="N81" s="85">
        <v>25</v>
      </c>
      <c r="O81" s="85">
        <v>24.9</v>
      </c>
      <c r="P81" s="94">
        <v>14.9</v>
      </c>
      <c r="Q81" s="94">
        <v>40</v>
      </c>
    </row>
    <row r="82" spans="1:17" hidden="1">
      <c r="A82" s="95" t="str">
        <f t="shared" si="1"/>
        <v>MG-Araxá</v>
      </c>
      <c r="B82" s="84" t="s">
        <v>440</v>
      </c>
      <c r="C82" s="83" t="s">
        <v>439</v>
      </c>
      <c r="D82" s="85">
        <v>21.5</v>
      </c>
      <c r="E82" s="85">
        <v>22</v>
      </c>
      <c r="F82" s="85">
        <v>22</v>
      </c>
      <c r="G82" s="85">
        <v>20.3</v>
      </c>
      <c r="H82" s="85">
        <v>18.7</v>
      </c>
      <c r="I82" s="85">
        <v>17.899999999999999</v>
      </c>
      <c r="J82" s="85">
        <v>17.5</v>
      </c>
      <c r="K82" s="85">
        <v>19.399999999999999</v>
      </c>
      <c r="L82" s="85">
        <v>20</v>
      </c>
      <c r="M82" s="85">
        <v>21.1</v>
      </c>
      <c r="N82" s="85">
        <v>21</v>
      </c>
      <c r="O82" s="85">
        <v>21</v>
      </c>
      <c r="P82" s="94">
        <v>12.3</v>
      </c>
      <c r="Q82" s="94">
        <v>40.200000000000003</v>
      </c>
    </row>
    <row r="83" spans="1:17" hidden="1">
      <c r="A83" s="95" t="str">
        <f t="shared" si="1"/>
        <v>MG-Bambuí</v>
      </c>
      <c r="B83" s="84" t="s">
        <v>441</v>
      </c>
      <c r="C83" s="83" t="s">
        <v>439</v>
      </c>
      <c r="D83" s="85">
        <v>23.2</v>
      </c>
      <c r="E83" s="85">
        <v>23.4</v>
      </c>
      <c r="F83" s="85">
        <v>23.1</v>
      </c>
      <c r="G83" s="85">
        <v>20.9</v>
      </c>
      <c r="H83" s="85">
        <v>18.2</v>
      </c>
      <c r="I83" s="85">
        <v>16.600000000000001</v>
      </c>
      <c r="J83" s="85">
        <v>16.100000000000001</v>
      </c>
      <c r="K83" s="85">
        <v>18.399999999999999</v>
      </c>
      <c r="L83" s="85">
        <v>20.2</v>
      </c>
      <c r="M83" s="85">
        <v>22.2</v>
      </c>
      <c r="N83" s="85">
        <v>22.4</v>
      </c>
      <c r="O83" s="85">
        <v>22.6</v>
      </c>
      <c r="P83" s="94">
        <v>8.1999999999999993</v>
      </c>
      <c r="Q83" s="94">
        <v>40</v>
      </c>
    </row>
    <row r="84" spans="1:17" hidden="1">
      <c r="A84" s="95" t="str">
        <f t="shared" si="1"/>
        <v>MG-Barbacena</v>
      </c>
      <c r="B84" s="84" t="s">
        <v>442</v>
      </c>
      <c r="C84" s="83" t="s">
        <v>439</v>
      </c>
      <c r="D84" s="85">
        <v>20.2</v>
      </c>
      <c r="E84" s="85">
        <v>20.5</v>
      </c>
      <c r="F84" s="85">
        <v>20</v>
      </c>
      <c r="G84" s="85">
        <v>18.100000000000001</v>
      </c>
      <c r="H84" s="85">
        <v>16.3</v>
      </c>
      <c r="I84" s="85">
        <v>15.2</v>
      </c>
      <c r="J84" s="85">
        <v>14.7</v>
      </c>
      <c r="K84" s="85">
        <v>16.100000000000001</v>
      </c>
      <c r="L84" s="85">
        <v>17</v>
      </c>
      <c r="M84" s="85">
        <v>18.100000000000001</v>
      </c>
      <c r="N84" s="85">
        <v>18.899999999999999</v>
      </c>
      <c r="O84" s="85">
        <v>19.5</v>
      </c>
      <c r="P84" s="94">
        <v>10.199999999999999</v>
      </c>
      <c r="Q84" s="94">
        <v>34</v>
      </c>
    </row>
    <row r="85" spans="1:17" hidden="1">
      <c r="A85" s="95" t="str">
        <f t="shared" si="1"/>
        <v>MG-Belo Horizonte</v>
      </c>
      <c r="B85" s="84" t="s">
        <v>443</v>
      </c>
      <c r="C85" s="83" t="s">
        <v>439</v>
      </c>
      <c r="D85" s="85">
        <v>22.8</v>
      </c>
      <c r="E85" s="85">
        <v>23</v>
      </c>
      <c r="F85" s="85">
        <v>22.9</v>
      </c>
      <c r="G85" s="85">
        <v>21.7</v>
      </c>
      <c r="H85" s="85">
        <v>19.600000000000001</v>
      </c>
      <c r="I85" s="85">
        <v>18.5</v>
      </c>
      <c r="J85" s="85">
        <v>18</v>
      </c>
      <c r="K85" s="85">
        <v>19.7</v>
      </c>
      <c r="L85" s="85">
        <v>21.1</v>
      </c>
      <c r="M85" s="85">
        <v>21.7</v>
      </c>
      <c r="N85" s="85">
        <v>22.2</v>
      </c>
      <c r="O85" s="85">
        <v>22.2</v>
      </c>
      <c r="P85" s="94">
        <v>13.1</v>
      </c>
      <c r="Q85" s="94">
        <v>40</v>
      </c>
    </row>
    <row r="86" spans="1:17" hidden="1">
      <c r="A86" s="95" t="str">
        <f t="shared" si="1"/>
        <v>MG-Caldas (P. de Caldas)</v>
      </c>
      <c r="B86" s="84" t="s">
        <v>444</v>
      </c>
      <c r="C86" s="83" t="s">
        <v>439</v>
      </c>
      <c r="D86" s="85">
        <v>20.7</v>
      </c>
      <c r="E86" s="85">
        <v>20.9</v>
      </c>
      <c r="F86" s="85">
        <v>20.399999999999999</v>
      </c>
      <c r="G86" s="85">
        <v>18.600000000000001</v>
      </c>
      <c r="H86" s="85">
        <v>15.9</v>
      </c>
      <c r="I86" s="85">
        <v>14.3</v>
      </c>
      <c r="J86" s="85">
        <v>14.2</v>
      </c>
      <c r="K86" s="85">
        <v>16</v>
      </c>
      <c r="L86" s="85">
        <v>18.399999999999999</v>
      </c>
      <c r="M86" s="85">
        <v>19.3</v>
      </c>
      <c r="N86" s="85">
        <v>20.2</v>
      </c>
      <c r="O86" s="85">
        <v>20.2</v>
      </c>
      <c r="P86" s="94">
        <v>7.8</v>
      </c>
      <c r="Q86" s="94">
        <v>34.4</v>
      </c>
    </row>
    <row r="87" spans="1:17" hidden="1">
      <c r="A87" s="95" t="str">
        <f t="shared" si="1"/>
        <v>MG-Cambuquira</v>
      </c>
      <c r="B87" s="84" t="s">
        <v>445</v>
      </c>
      <c r="C87" s="83" t="s">
        <v>439</v>
      </c>
      <c r="D87" s="85">
        <v>21.7</v>
      </c>
      <c r="E87" s="85">
        <v>21.9</v>
      </c>
      <c r="F87" s="85">
        <v>21.6</v>
      </c>
      <c r="G87" s="85">
        <v>19.600000000000001</v>
      </c>
      <c r="H87" s="85">
        <v>17.3</v>
      </c>
      <c r="I87" s="85">
        <v>16.399999999999999</v>
      </c>
      <c r="J87" s="85">
        <v>16.2</v>
      </c>
      <c r="K87" s="85">
        <v>18.100000000000001</v>
      </c>
      <c r="L87" s="85">
        <v>19.600000000000001</v>
      </c>
      <c r="M87" s="85">
        <v>20.399999999999999</v>
      </c>
      <c r="N87" s="85">
        <v>20.8</v>
      </c>
      <c r="O87" s="85">
        <v>21.2</v>
      </c>
      <c r="P87" s="94">
        <v>10.5</v>
      </c>
      <c r="Q87" s="94">
        <v>35</v>
      </c>
    </row>
    <row r="88" spans="1:17" hidden="1">
      <c r="A88" s="95" t="str">
        <f t="shared" si="1"/>
        <v>MG-Capinópolis</v>
      </c>
      <c r="B88" s="84" t="s">
        <v>446</v>
      </c>
      <c r="C88" s="83" t="s">
        <v>439</v>
      </c>
      <c r="D88" s="85">
        <v>23.8</v>
      </c>
      <c r="E88" s="85">
        <v>24.1</v>
      </c>
      <c r="F88" s="85">
        <v>24</v>
      </c>
      <c r="G88" s="85">
        <v>23.3</v>
      </c>
      <c r="H88" s="85">
        <v>21.5</v>
      </c>
      <c r="I88" s="85">
        <v>20.3</v>
      </c>
      <c r="J88" s="85">
        <v>20.2</v>
      </c>
      <c r="K88" s="85">
        <v>22.5</v>
      </c>
      <c r="L88" s="85">
        <v>23.9</v>
      </c>
      <c r="M88" s="85">
        <v>24.7</v>
      </c>
      <c r="N88" s="85">
        <v>24.3</v>
      </c>
      <c r="O88" s="85">
        <v>23.7</v>
      </c>
      <c r="P88" s="94">
        <v>13.9</v>
      </c>
      <c r="Q88" s="94">
        <v>38.4</v>
      </c>
    </row>
    <row r="89" spans="1:17" hidden="1">
      <c r="A89" s="95" t="str">
        <f t="shared" si="1"/>
        <v>MG-Caratinga</v>
      </c>
      <c r="B89" s="84" t="s">
        <v>447</v>
      </c>
      <c r="C89" s="83" t="s">
        <v>439</v>
      </c>
      <c r="D89" s="85">
        <v>23.2</v>
      </c>
      <c r="E89" s="85">
        <v>23.6</v>
      </c>
      <c r="F89" s="85">
        <v>23.1</v>
      </c>
      <c r="G89" s="85">
        <v>21.4</v>
      </c>
      <c r="H89" s="85">
        <v>19.399999999999999</v>
      </c>
      <c r="I89" s="85">
        <v>18.100000000000001</v>
      </c>
      <c r="J89" s="85">
        <v>17.8</v>
      </c>
      <c r="K89" s="85">
        <v>19.100000000000001</v>
      </c>
      <c r="L89" s="85">
        <v>20.5</v>
      </c>
      <c r="M89" s="85">
        <v>22.1</v>
      </c>
      <c r="N89" s="85">
        <v>22.8</v>
      </c>
      <c r="O89" s="85">
        <v>22.9</v>
      </c>
      <c r="P89" s="94">
        <v>12.3</v>
      </c>
      <c r="Q89" s="94">
        <v>36.9</v>
      </c>
    </row>
    <row r="90" spans="1:17" hidden="1">
      <c r="A90" s="95" t="str">
        <f t="shared" si="1"/>
        <v>MG-Cataguases</v>
      </c>
      <c r="B90" s="84" t="s">
        <v>448</v>
      </c>
      <c r="C90" s="83" t="s">
        <v>439</v>
      </c>
      <c r="D90" s="85">
        <v>26</v>
      </c>
      <c r="E90" s="85">
        <v>26.1</v>
      </c>
      <c r="F90" s="85">
        <v>25.6</v>
      </c>
      <c r="G90" s="85">
        <v>23.5</v>
      </c>
      <c r="H90" s="85">
        <v>21.1</v>
      </c>
      <c r="I90" s="85">
        <v>19.7</v>
      </c>
      <c r="J90" s="85">
        <v>19.399999999999999</v>
      </c>
      <c r="K90" s="85">
        <v>20.6</v>
      </c>
      <c r="L90" s="85">
        <v>22.2</v>
      </c>
      <c r="M90" s="85">
        <v>23.6</v>
      </c>
      <c r="N90" s="85">
        <v>24.5</v>
      </c>
      <c r="O90" s="85">
        <v>25.3</v>
      </c>
      <c r="P90" s="94">
        <v>14.3</v>
      </c>
      <c r="Q90" s="94">
        <v>39.9</v>
      </c>
    </row>
    <row r="91" spans="1:17" hidden="1">
      <c r="A91" s="95" t="str">
        <f t="shared" si="1"/>
        <v>MG-Caxambu</v>
      </c>
      <c r="B91" s="84" t="s">
        <v>449</v>
      </c>
      <c r="C91" s="83" t="s">
        <v>439</v>
      </c>
      <c r="D91" s="85">
        <v>22</v>
      </c>
      <c r="E91" s="85">
        <v>22.2</v>
      </c>
      <c r="F91" s="85">
        <v>21.4</v>
      </c>
      <c r="G91" s="85">
        <v>19.600000000000001</v>
      </c>
      <c r="H91" s="85">
        <v>16.899999999999999</v>
      </c>
      <c r="I91" s="85">
        <v>15.2</v>
      </c>
      <c r="J91" s="85">
        <v>14.8</v>
      </c>
      <c r="K91" s="85">
        <v>16.8</v>
      </c>
      <c r="L91" s="85">
        <v>18.899999999999999</v>
      </c>
      <c r="M91" s="85">
        <v>20.6</v>
      </c>
      <c r="N91" s="85">
        <v>21.1</v>
      </c>
      <c r="O91" s="85">
        <v>21.3</v>
      </c>
      <c r="P91" s="94">
        <v>7.4</v>
      </c>
      <c r="Q91" s="94">
        <v>36</v>
      </c>
    </row>
    <row r="92" spans="1:17" hidden="1">
      <c r="A92" s="95" t="str">
        <f t="shared" si="1"/>
        <v>MG-Conceição do Mato Dentro</v>
      </c>
      <c r="B92" s="84" t="s">
        <v>450</v>
      </c>
      <c r="C92" s="83" t="s">
        <v>439</v>
      </c>
      <c r="D92" s="85">
        <v>23</v>
      </c>
      <c r="E92" s="85">
        <v>23.2</v>
      </c>
      <c r="F92" s="85">
        <v>22.8</v>
      </c>
      <c r="G92" s="85">
        <v>21</v>
      </c>
      <c r="H92" s="85">
        <v>18.600000000000001</v>
      </c>
      <c r="I92" s="85">
        <v>17.100000000000001</v>
      </c>
      <c r="J92" s="85">
        <v>16.600000000000001</v>
      </c>
      <c r="K92" s="85">
        <v>18.2</v>
      </c>
      <c r="L92" s="85">
        <v>20</v>
      </c>
      <c r="M92" s="85">
        <v>21.6</v>
      </c>
      <c r="N92" s="85">
        <v>22.4</v>
      </c>
      <c r="O92" s="85">
        <v>22.6</v>
      </c>
      <c r="P92" s="94">
        <v>10</v>
      </c>
      <c r="Q92" s="94">
        <v>37.4</v>
      </c>
    </row>
    <row r="93" spans="1:17" hidden="1">
      <c r="A93" s="95" t="str">
        <f t="shared" si="1"/>
        <v>MG-Coronel Pacheco</v>
      </c>
      <c r="B93" s="84" t="s">
        <v>451</v>
      </c>
      <c r="C93" s="83" t="s">
        <v>439</v>
      </c>
      <c r="D93" s="85">
        <v>23.9</v>
      </c>
      <c r="E93" s="85">
        <v>24.2</v>
      </c>
      <c r="F93" s="85">
        <v>23.6</v>
      </c>
      <c r="G93" s="85">
        <v>21.5</v>
      </c>
      <c r="H93" s="85">
        <v>19.3</v>
      </c>
      <c r="I93" s="85">
        <v>17.3</v>
      </c>
      <c r="J93" s="85">
        <v>16.899999999999999</v>
      </c>
      <c r="K93" s="85">
        <v>18.2</v>
      </c>
      <c r="L93" s="85">
        <v>19.5</v>
      </c>
      <c r="M93" s="85">
        <v>21.6</v>
      </c>
      <c r="N93" s="85">
        <v>22.7</v>
      </c>
      <c r="O93" s="85">
        <v>23.2</v>
      </c>
      <c r="P93" s="94">
        <v>10.199999999999999</v>
      </c>
      <c r="Q93" s="94">
        <v>37.9</v>
      </c>
    </row>
    <row r="94" spans="1:17" hidden="1">
      <c r="A94" s="95" t="str">
        <f t="shared" si="1"/>
        <v>MG-Curvelo</v>
      </c>
      <c r="B94" s="84" t="s">
        <v>452</v>
      </c>
      <c r="C94" s="83" t="s">
        <v>439</v>
      </c>
      <c r="D94" s="85">
        <v>24.3</v>
      </c>
      <c r="E94" s="85">
        <v>24.7</v>
      </c>
      <c r="F94" s="85">
        <v>24.3</v>
      </c>
      <c r="G94" s="85">
        <v>23.1</v>
      </c>
      <c r="H94" s="85">
        <v>20.9</v>
      </c>
      <c r="I94" s="85">
        <v>19.5</v>
      </c>
      <c r="J94" s="85">
        <v>19.2</v>
      </c>
      <c r="K94" s="85">
        <v>20.9</v>
      </c>
      <c r="L94" s="85">
        <v>22.6</v>
      </c>
      <c r="M94" s="85">
        <v>23.8</v>
      </c>
      <c r="N94" s="85">
        <v>23.9</v>
      </c>
      <c r="O94" s="85">
        <v>24</v>
      </c>
      <c r="P94" s="94">
        <v>11.5</v>
      </c>
      <c r="Q94" s="94">
        <v>39.200000000000003</v>
      </c>
    </row>
    <row r="95" spans="1:17" hidden="1">
      <c r="A95" s="95" t="str">
        <f t="shared" si="1"/>
        <v>MG-Diamantina</v>
      </c>
      <c r="B95" s="84" t="s">
        <v>453</v>
      </c>
      <c r="C95" s="83" t="s">
        <v>439</v>
      </c>
      <c r="D95" s="85">
        <v>19.899999999999999</v>
      </c>
      <c r="E95" s="85">
        <v>20.100000000000001</v>
      </c>
      <c r="F95" s="85">
        <v>20.100000000000001</v>
      </c>
      <c r="G95" s="85">
        <v>18.399999999999999</v>
      </c>
      <c r="H95" s="85">
        <v>16.899999999999999</v>
      </c>
      <c r="I95" s="85">
        <v>16</v>
      </c>
      <c r="J95" s="85">
        <v>15.5</v>
      </c>
      <c r="K95" s="85">
        <v>16.8</v>
      </c>
      <c r="L95" s="85">
        <v>17.600000000000001</v>
      </c>
      <c r="M95" s="85">
        <v>18.7</v>
      </c>
      <c r="N95" s="85">
        <v>19.600000000000001</v>
      </c>
      <c r="O95" s="85">
        <v>19.7</v>
      </c>
      <c r="P95" s="94">
        <v>11</v>
      </c>
      <c r="Q95" s="94">
        <v>35.799999999999997</v>
      </c>
    </row>
    <row r="96" spans="1:17" hidden="1">
      <c r="A96" s="95" t="str">
        <f t="shared" si="1"/>
        <v>MG-Espinosa</v>
      </c>
      <c r="B96" s="84" t="s">
        <v>454</v>
      </c>
      <c r="C96" s="83" t="s">
        <v>439</v>
      </c>
      <c r="D96" s="85">
        <v>24.9</v>
      </c>
      <c r="E96" s="85">
        <v>25.2</v>
      </c>
      <c r="F96" s="85">
        <v>25.1</v>
      </c>
      <c r="G96" s="85">
        <v>24.4</v>
      </c>
      <c r="H96" s="85">
        <v>23.5</v>
      </c>
      <c r="I96" s="85">
        <v>22</v>
      </c>
      <c r="J96" s="85">
        <v>21.8</v>
      </c>
      <c r="K96" s="85">
        <v>23.4</v>
      </c>
      <c r="L96" s="85">
        <v>24.8</v>
      </c>
      <c r="M96" s="85">
        <v>25.6</v>
      </c>
      <c r="N96" s="85">
        <v>25</v>
      </c>
      <c r="O96" s="85">
        <v>24.8</v>
      </c>
      <c r="P96" s="94">
        <v>15.8</v>
      </c>
      <c r="Q96" s="94">
        <v>39.5</v>
      </c>
    </row>
    <row r="97" spans="1:17" hidden="1">
      <c r="A97" s="95" t="str">
        <f t="shared" si="1"/>
        <v>MG-Florestal</v>
      </c>
      <c r="B97" s="84" t="s">
        <v>455</v>
      </c>
      <c r="C97" s="83" t="s">
        <v>439</v>
      </c>
      <c r="D97" s="85">
        <v>22.5</v>
      </c>
      <c r="E97" s="85">
        <v>22.6</v>
      </c>
      <c r="F97" s="85">
        <v>22.3</v>
      </c>
      <c r="G97" s="85">
        <v>20.6</v>
      </c>
      <c r="H97" s="85">
        <v>17.7</v>
      </c>
      <c r="I97" s="85">
        <v>16</v>
      </c>
      <c r="J97" s="85">
        <v>15.5</v>
      </c>
      <c r="K97" s="85">
        <v>17.3</v>
      </c>
      <c r="L97" s="85">
        <v>19.600000000000001</v>
      </c>
      <c r="M97" s="85">
        <v>21.3</v>
      </c>
      <c r="N97" s="85">
        <v>21.9</v>
      </c>
      <c r="O97" s="85">
        <v>22.1</v>
      </c>
      <c r="P97" s="94">
        <v>7.9</v>
      </c>
      <c r="Q97" s="94">
        <v>38</v>
      </c>
    </row>
    <row r="98" spans="1:17" hidden="1">
      <c r="A98" s="95" t="str">
        <f t="shared" si="1"/>
        <v>MG-Frutal</v>
      </c>
      <c r="B98" s="84" t="s">
        <v>456</v>
      </c>
      <c r="C98" s="83" t="s">
        <v>439</v>
      </c>
      <c r="D98" s="85">
        <v>25.3</v>
      </c>
      <c r="E98" s="85">
        <v>25.5</v>
      </c>
      <c r="F98" s="85">
        <v>25.5</v>
      </c>
      <c r="G98" s="85">
        <v>24</v>
      </c>
      <c r="H98" s="85">
        <v>22</v>
      </c>
      <c r="I98" s="85">
        <v>20.8</v>
      </c>
      <c r="J98" s="85">
        <v>20.5</v>
      </c>
      <c r="K98" s="85">
        <v>22.6</v>
      </c>
      <c r="L98" s="85">
        <v>24.7</v>
      </c>
      <c r="M98" s="85">
        <v>24.9</v>
      </c>
      <c r="N98" s="85">
        <v>25.2</v>
      </c>
      <c r="O98" s="85">
        <v>25.4</v>
      </c>
      <c r="P98" s="94">
        <v>13.9</v>
      </c>
      <c r="Q98" s="94">
        <v>40.6</v>
      </c>
    </row>
    <row r="99" spans="1:17" hidden="1">
      <c r="A99" s="95" t="str">
        <f t="shared" si="1"/>
        <v>MG-Governador Valadares</v>
      </c>
      <c r="B99" s="84" t="s">
        <v>457</v>
      </c>
      <c r="C99" s="83" t="s">
        <v>439</v>
      </c>
      <c r="D99" s="85">
        <v>26.1</v>
      </c>
      <c r="E99" s="85">
        <v>26.4</v>
      </c>
      <c r="F99" s="85">
        <v>26.3</v>
      </c>
      <c r="G99" s="85">
        <v>24.4</v>
      </c>
      <c r="H99" s="85">
        <v>22.3</v>
      </c>
      <c r="I99" s="85">
        <v>21.1</v>
      </c>
      <c r="J99" s="85">
        <v>20.7</v>
      </c>
      <c r="K99" s="85">
        <v>22</v>
      </c>
      <c r="L99" s="85">
        <v>23.2</v>
      </c>
      <c r="M99" s="85">
        <v>24.3</v>
      </c>
      <c r="N99" s="85">
        <v>24.9</v>
      </c>
      <c r="O99" s="85">
        <v>25.4</v>
      </c>
      <c r="P99" s="94">
        <v>14.8</v>
      </c>
      <c r="Q99" s="94">
        <v>40.4</v>
      </c>
    </row>
    <row r="100" spans="1:17" hidden="1">
      <c r="A100" s="95" t="str">
        <f t="shared" si="1"/>
        <v>MG-Ibirité</v>
      </c>
      <c r="B100" s="84" t="s">
        <v>458</v>
      </c>
      <c r="C100" s="83" t="s">
        <v>439</v>
      </c>
      <c r="D100" s="85">
        <v>22.5</v>
      </c>
      <c r="E100" s="85">
        <v>22.8</v>
      </c>
      <c r="F100" s="85">
        <v>22.4</v>
      </c>
      <c r="G100" s="85">
        <v>20.6</v>
      </c>
      <c r="H100" s="85">
        <v>18.2</v>
      </c>
      <c r="I100" s="85">
        <v>16.8</v>
      </c>
      <c r="J100" s="85">
        <v>16.399999999999999</v>
      </c>
      <c r="K100" s="85">
        <v>18.600000000000001</v>
      </c>
      <c r="L100" s="85">
        <v>20.399999999999999</v>
      </c>
      <c r="M100" s="85">
        <v>21.7</v>
      </c>
      <c r="N100" s="85">
        <v>22</v>
      </c>
      <c r="O100" s="85">
        <v>22.1</v>
      </c>
      <c r="P100" s="94">
        <v>8.9</v>
      </c>
      <c r="Q100" s="94">
        <v>36.9</v>
      </c>
    </row>
    <row r="101" spans="1:17" hidden="1">
      <c r="A101" s="95" t="str">
        <f t="shared" si="1"/>
        <v>MG-Itamarandiba</v>
      </c>
      <c r="B101" s="84" t="s">
        <v>459</v>
      </c>
      <c r="C101" s="83" t="s">
        <v>439</v>
      </c>
      <c r="D101" s="85">
        <v>21.6</v>
      </c>
      <c r="E101" s="85">
        <v>21.8</v>
      </c>
      <c r="F101" s="85">
        <v>21.7</v>
      </c>
      <c r="G101" s="85">
        <v>20.100000000000001</v>
      </c>
      <c r="H101" s="85">
        <v>18.399999999999999</v>
      </c>
      <c r="I101" s="85">
        <v>17</v>
      </c>
      <c r="J101" s="85">
        <v>16.3</v>
      </c>
      <c r="K101" s="85">
        <v>17.5</v>
      </c>
      <c r="L101" s="85">
        <v>18.899999999999999</v>
      </c>
      <c r="M101" s="85">
        <v>20.399999999999999</v>
      </c>
      <c r="N101" s="85">
        <v>20.8</v>
      </c>
      <c r="O101" s="85">
        <v>21.2</v>
      </c>
      <c r="P101" s="94">
        <v>11.1</v>
      </c>
      <c r="Q101" s="94">
        <v>35.4</v>
      </c>
    </row>
    <row r="102" spans="1:17" hidden="1">
      <c r="A102" s="95" t="str">
        <f t="shared" si="1"/>
        <v>MG-Itambacuri</v>
      </c>
      <c r="B102" s="84" t="s">
        <v>460</v>
      </c>
      <c r="C102" s="83" t="s">
        <v>439</v>
      </c>
      <c r="D102" s="85">
        <v>25.2</v>
      </c>
      <c r="E102" s="85">
        <v>25.2</v>
      </c>
      <c r="F102" s="85">
        <v>24.6</v>
      </c>
      <c r="G102" s="85">
        <v>23.3</v>
      </c>
      <c r="H102" s="85">
        <v>21.2</v>
      </c>
      <c r="I102" s="85">
        <v>20</v>
      </c>
      <c r="J102" s="85">
        <v>19.399999999999999</v>
      </c>
      <c r="K102" s="85">
        <v>20.5</v>
      </c>
      <c r="L102" s="85">
        <v>22.3</v>
      </c>
      <c r="M102" s="85">
        <v>23.7</v>
      </c>
      <c r="N102" s="85">
        <v>24.4</v>
      </c>
      <c r="O102" s="85">
        <v>24.5</v>
      </c>
      <c r="P102" s="94">
        <v>14.5</v>
      </c>
      <c r="Q102" s="94">
        <v>39.4</v>
      </c>
    </row>
    <row r="103" spans="1:17" hidden="1">
      <c r="A103" s="95" t="str">
        <f t="shared" si="1"/>
        <v>MG-Januária</v>
      </c>
      <c r="B103" s="84" t="s">
        <v>461</v>
      </c>
      <c r="C103" s="83" t="s">
        <v>439</v>
      </c>
      <c r="D103" s="85">
        <v>24.9</v>
      </c>
      <c r="E103" s="85">
        <v>25.4</v>
      </c>
      <c r="F103" s="85">
        <v>25.3</v>
      </c>
      <c r="G103" s="85">
        <v>24.6</v>
      </c>
      <c r="H103" s="85">
        <v>23</v>
      </c>
      <c r="I103" s="85">
        <v>21.6</v>
      </c>
      <c r="J103" s="85">
        <v>21.2</v>
      </c>
      <c r="K103" s="85">
        <v>23</v>
      </c>
      <c r="L103" s="85">
        <v>25</v>
      </c>
      <c r="M103" s="85">
        <v>26.1</v>
      </c>
      <c r="N103" s="85">
        <v>25.4</v>
      </c>
      <c r="O103" s="85">
        <v>24.7</v>
      </c>
      <c r="P103" s="94">
        <v>14.3</v>
      </c>
      <c r="Q103" s="94">
        <v>41</v>
      </c>
    </row>
    <row r="104" spans="1:17" hidden="1">
      <c r="A104" s="95" t="str">
        <f t="shared" si="1"/>
        <v>MG-João Monlevade</v>
      </c>
      <c r="B104" s="84" t="s">
        <v>462</v>
      </c>
      <c r="C104" s="83" t="s">
        <v>439</v>
      </c>
      <c r="D104" s="85">
        <v>22.1</v>
      </c>
      <c r="E104" s="85">
        <v>22.3</v>
      </c>
      <c r="F104" s="85">
        <v>22.1</v>
      </c>
      <c r="G104" s="85">
        <v>20.7</v>
      </c>
      <c r="H104" s="85">
        <v>19</v>
      </c>
      <c r="I104" s="85">
        <v>17.7</v>
      </c>
      <c r="J104" s="85">
        <v>17</v>
      </c>
      <c r="K104" s="85">
        <v>18.3</v>
      </c>
      <c r="L104" s="85">
        <v>19.2</v>
      </c>
      <c r="M104" s="85">
        <v>20.5</v>
      </c>
      <c r="N104" s="85">
        <v>21.1</v>
      </c>
      <c r="O104" s="85">
        <v>21.4</v>
      </c>
      <c r="P104" s="94">
        <v>12.3</v>
      </c>
      <c r="Q104" s="94">
        <v>39</v>
      </c>
    </row>
    <row r="105" spans="1:17" hidden="1">
      <c r="A105" s="95" t="str">
        <f t="shared" si="1"/>
        <v>MG-João Pinheiro</v>
      </c>
      <c r="B105" s="84" t="s">
        <v>463</v>
      </c>
      <c r="C105" s="83" t="s">
        <v>439</v>
      </c>
      <c r="D105" s="85">
        <v>23.2</v>
      </c>
      <c r="E105" s="85">
        <v>23.7</v>
      </c>
      <c r="F105" s="85">
        <v>23.6</v>
      </c>
      <c r="G105" s="85">
        <v>23</v>
      </c>
      <c r="H105" s="85">
        <v>21.7</v>
      </c>
      <c r="I105" s="85">
        <v>20.3</v>
      </c>
      <c r="J105" s="85">
        <v>19.899999999999999</v>
      </c>
      <c r="K105" s="85">
        <v>21.8</v>
      </c>
      <c r="L105" s="85">
        <v>23.1</v>
      </c>
      <c r="M105" s="85">
        <v>23.7</v>
      </c>
      <c r="N105" s="85">
        <v>23.5</v>
      </c>
      <c r="O105" s="85">
        <v>22.9</v>
      </c>
      <c r="P105" s="94">
        <v>12.9</v>
      </c>
      <c r="Q105" s="94">
        <v>39.4</v>
      </c>
    </row>
    <row r="106" spans="1:17" hidden="1">
      <c r="A106" s="95" t="str">
        <f t="shared" si="1"/>
        <v>MG-Juiz de Fora</v>
      </c>
      <c r="B106" s="84" t="s">
        <v>464</v>
      </c>
      <c r="C106" s="83" t="s">
        <v>439</v>
      </c>
      <c r="D106" s="85">
        <v>21.9</v>
      </c>
      <c r="E106" s="85">
        <v>22.4</v>
      </c>
      <c r="F106" s="85">
        <v>21.4</v>
      </c>
      <c r="G106" s="85">
        <v>19.5</v>
      </c>
      <c r="H106" s="85">
        <v>17.600000000000001</v>
      </c>
      <c r="I106" s="85">
        <v>16.5</v>
      </c>
      <c r="J106" s="85">
        <v>16.100000000000001</v>
      </c>
      <c r="K106" s="85">
        <v>17.2</v>
      </c>
      <c r="L106" s="85">
        <v>18</v>
      </c>
      <c r="M106" s="85">
        <v>19.399999999999999</v>
      </c>
      <c r="N106" s="85">
        <v>20.3</v>
      </c>
      <c r="O106" s="85">
        <v>21.1</v>
      </c>
      <c r="P106" s="94">
        <v>11.8</v>
      </c>
      <c r="Q106" s="94">
        <v>36.200000000000003</v>
      </c>
    </row>
    <row r="107" spans="1:17" hidden="1">
      <c r="A107" s="95" t="str">
        <f t="shared" si="1"/>
        <v>MG-Lavras</v>
      </c>
      <c r="B107" s="84" t="s">
        <v>465</v>
      </c>
      <c r="C107" s="83" t="s">
        <v>439</v>
      </c>
      <c r="D107" s="85">
        <v>21.8</v>
      </c>
      <c r="E107" s="85">
        <v>22.1</v>
      </c>
      <c r="F107" s="85">
        <v>21.6</v>
      </c>
      <c r="G107" s="85">
        <v>19.8</v>
      </c>
      <c r="H107" s="85">
        <v>17.399999999999999</v>
      </c>
      <c r="I107" s="85">
        <v>16.3</v>
      </c>
      <c r="J107" s="85">
        <v>15.9</v>
      </c>
      <c r="K107" s="85">
        <v>17.7</v>
      </c>
      <c r="L107" s="85">
        <v>19.399999999999999</v>
      </c>
      <c r="M107" s="85">
        <v>20.399999999999999</v>
      </c>
      <c r="N107" s="85">
        <v>20.9</v>
      </c>
      <c r="O107" s="85">
        <v>21.2</v>
      </c>
      <c r="P107" s="94">
        <v>10.4</v>
      </c>
      <c r="Q107" s="94">
        <v>35.4</v>
      </c>
    </row>
    <row r="108" spans="1:17" hidden="1">
      <c r="A108" s="95" t="str">
        <f t="shared" si="1"/>
        <v>MG-Lavras-ESAL.</v>
      </c>
      <c r="B108" s="84" t="s">
        <v>466</v>
      </c>
      <c r="C108" s="83" t="s">
        <v>439</v>
      </c>
      <c r="D108" s="85">
        <v>21.5</v>
      </c>
      <c r="E108" s="85">
        <v>21.9</v>
      </c>
      <c r="F108" s="85">
        <v>21.4</v>
      </c>
      <c r="G108" s="85">
        <v>19.600000000000001</v>
      </c>
      <c r="H108" s="85">
        <v>17.3</v>
      </c>
      <c r="I108" s="85">
        <v>16.2</v>
      </c>
      <c r="J108" s="85">
        <v>16</v>
      </c>
      <c r="K108" s="85">
        <v>17.8</v>
      </c>
      <c r="L108" s="85">
        <v>19.399999999999999</v>
      </c>
      <c r="M108" s="85">
        <v>20.2</v>
      </c>
      <c r="N108" s="85">
        <v>20.9</v>
      </c>
      <c r="O108" s="85">
        <v>21</v>
      </c>
      <c r="P108" s="94">
        <v>10.199999999999999</v>
      </c>
      <c r="Q108" s="94">
        <v>36.799999999999997</v>
      </c>
    </row>
    <row r="109" spans="1:17" hidden="1">
      <c r="A109" s="95" t="str">
        <f t="shared" si="1"/>
        <v>MG-Machado</v>
      </c>
      <c r="B109" s="84" t="s">
        <v>467</v>
      </c>
      <c r="C109" s="83" t="s">
        <v>439</v>
      </c>
      <c r="D109" s="85">
        <v>22.2</v>
      </c>
      <c r="E109" s="85">
        <v>22.5</v>
      </c>
      <c r="F109" s="85">
        <v>22</v>
      </c>
      <c r="G109" s="85">
        <v>20</v>
      </c>
      <c r="H109" s="85">
        <v>17.5</v>
      </c>
      <c r="I109" s="85">
        <v>16</v>
      </c>
      <c r="J109" s="85">
        <v>15.9</v>
      </c>
      <c r="K109" s="85">
        <v>17.899999999999999</v>
      </c>
      <c r="L109" s="85">
        <v>19.7</v>
      </c>
      <c r="M109" s="85">
        <v>20.9</v>
      </c>
      <c r="N109" s="85">
        <v>21.5</v>
      </c>
      <c r="O109" s="85">
        <v>21.7</v>
      </c>
      <c r="P109" s="94">
        <v>8.8000000000000007</v>
      </c>
      <c r="Q109" s="94">
        <v>39.299999999999997</v>
      </c>
    </row>
    <row r="110" spans="1:17" hidden="1">
      <c r="A110" s="95" t="str">
        <f t="shared" si="1"/>
        <v>MG-Minas Novas</v>
      </c>
      <c r="B110" s="84" t="s">
        <v>468</v>
      </c>
      <c r="C110" s="83" t="s">
        <v>439</v>
      </c>
      <c r="D110" s="85">
        <v>24</v>
      </c>
      <c r="E110" s="85">
        <v>24.3</v>
      </c>
      <c r="F110" s="85">
        <v>24</v>
      </c>
      <c r="G110" s="85">
        <v>22.8</v>
      </c>
      <c r="H110" s="85">
        <v>20.5</v>
      </c>
      <c r="I110" s="85">
        <v>19.100000000000001</v>
      </c>
      <c r="J110" s="85">
        <v>19</v>
      </c>
      <c r="K110" s="85">
        <v>20.2</v>
      </c>
      <c r="L110" s="85">
        <v>22.2</v>
      </c>
      <c r="M110" s="85">
        <v>23.2</v>
      </c>
      <c r="N110" s="85">
        <v>23.4</v>
      </c>
      <c r="O110" s="85">
        <v>23.4</v>
      </c>
      <c r="P110" s="94">
        <v>12.4</v>
      </c>
      <c r="Q110" s="94">
        <v>38.9</v>
      </c>
    </row>
    <row r="111" spans="1:17" hidden="1">
      <c r="A111" s="95" t="str">
        <f t="shared" si="1"/>
        <v>MG-Montes Claros</v>
      </c>
      <c r="B111" s="84" t="s">
        <v>469</v>
      </c>
      <c r="C111" s="83" t="s">
        <v>439</v>
      </c>
      <c r="D111" s="85">
        <v>23.6</v>
      </c>
      <c r="E111" s="85">
        <v>23.8</v>
      </c>
      <c r="F111" s="85">
        <v>23.9</v>
      </c>
      <c r="G111" s="85">
        <v>23</v>
      </c>
      <c r="H111" s="85">
        <v>21.1</v>
      </c>
      <c r="I111" s="85">
        <v>20</v>
      </c>
      <c r="J111" s="85">
        <v>19.600000000000001</v>
      </c>
      <c r="K111" s="85">
        <v>21.1</v>
      </c>
      <c r="L111" s="85">
        <v>22.8</v>
      </c>
      <c r="M111" s="85">
        <v>23.6</v>
      </c>
      <c r="N111" s="85">
        <v>23.1</v>
      </c>
      <c r="O111" s="85">
        <v>23.1</v>
      </c>
      <c r="P111" s="94">
        <v>12.5</v>
      </c>
      <c r="Q111" s="94">
        <v>38.4</v>
      </c>
    </row>
    <row r="112" spans="1:17" hidden="1">
      <c r="A112" s="95" t="str">
        <f t="shared" si="1"/>
        <v>MG-Oliveira</v>
      </c>
      <c r="B112" s="84" t="s">
        <v>470</v>
      </c>
      <c r="C112" s="83" t="s">
        <v>439</v>
      </c>
      <c r="D112" s="85">
        <v>21.7</v>
      </c>
      <c r="E112" s="85">
        <v>22</v>
      </c>
      <c r="F112" s="85">
        <v>21.7</v>
      </c>
      <c r="G112" s="85">
        <v>20.2</v>
      </c>
      <c r="H112" s="85">
        <v>17.899999999999999</v>
      </c>
      <c r="I112" s="85">
        <v>16.7</v>
      </c>
      <c r="J112" s="85">
        <v>16.399999999999999</v>
      </c>
      <c r="K112" s="85">
        <v>18.399999999999999</v>
      </c>
      <c r="L112" s="85">
        <v>19.600000000000001</v>
      </c>
      <c r="M112" s="85">
        <v>20.5</v>
      </c>
      <c r="N112" s="85">
        <v>20.8</v>
      </c>
      <c r="O112" s="85">
        <v>21.1</v>
      </c>
      <c r="P112" s="94">
        <v>11</v>
      </c>
      <c r="Q112" s="94">
        <v>34.799999999999997</v>
      </c>
    </row>
    <row r="113" spans="1:17" hidden="1">
      <c r="A113" s="95" t="str">
        <f t="shared" si="1"/>
        <v>MG-Ouro Fino</v>
      </c>
      <c r="B113" s="84" t="s">
        <v>471</v>
      </c>
      <c r="C113" s="83" t="s">
        <v>439</v>
      </c>
      <c r="D113" s="85">
        <v>21.6</v>
      </c>
      <c r="E113" s="85">
        <v>21.9</v>
      </c>
      <c r="F113" s="85">
        <v>21.4</v>
      </c>
      <c r="G113" s="85">
        <v>19.899999999999999</v>
      </c>
      <c r="H113" s="85">
        <v>17.3</v>
      </c>
      <c r="I113" s="85">
        <v>16.100000000000001</v>
      </c>
      <c r="J113" s="85">
        <v>15.9</v>
      </c>
      <c r="K113" s="85">
        <v>17.600000000000001</v>
      </c>
      <c r="L113" s="85">
        <v>19.5</v>
      </c>
      <c r="M113" s="85">
        <v>19.899999999999999</v>
      </c>
      <c r="N113" s="85">
        <v>21</v>
      </c>
      <c r="O113" s="85">
        <v>21.1</v>
      </c>
      <c r="P113" s="94">
        <v>10</v>
      </c>
      <c r="Q113" s="94">
        <v>36</v>
      </c>
    </row>
    <row r="114" spans="1:17" hidden="1">
      <c r="A114" s="95" t="str">
        <f t="shared" si="1"/>
        <v>MG-Passa Quatro</v>
      </c>
      <c r="B114" s="84" t="s">
        <v>472</v>
      </c>
      <c r="C114" s="83" t="s">
        <v>439</v>
      </c>
      <c r="D114" s="85">
        <v>21.6</v>
      </c>
      <c r="E114" s="85">
        <v>21.8</v>
      </c>
      <c r="F114" s="85">
        <v>21.2</v>
      </c>
      <c r="G114" s="85">
        <v>19.100000000000001</v>
      </c>
      <c r="H114" s="85">
        <v>16.2</v>
      </c>
      <c r="I114" s="85">
        <v>14.5</v>
      </c>
      <c r="J114" s="85">
        <v>14.1</v>
      </c>
      <c r="K114" s="85">
        <v>15.9</v>
      </c>
      <c r="L114" s="85">
        <v>17.600000000000001</v>
      </c>
      <c r="M114" s="85">
        <v>19.7</v>
      </c>
      <c r="N114" s="85">
        <v>20.399999999999999</v>
      </c>
      <c r="O114" s="85">
        <v>20.9</v>
      </c>
      <c r="P114" s="94">
        <v>7.3</v>
      </c>
      <c r="Q114" s="94">
        <v>35.1</v>
      </c>
    </row>
    <row r="115" spans="1:17" hidden="1">
      <c r="A115" s="95" t="str">
        <f t="shared" si="1"/>
        <v>MG-Patos de Minas</v>
      </c>
      <c r="B115" s="84" t="s">
        <v>473</v>
      </c>
      <c r="C115" s="83" t="s">
        <v>439</v>
      </c>
      <c r="D115" s="85">
        <v>22.1</v>
      </c>
      <c r="E115" s="85">
        <v>22.3</v>
      </c>
      <c r="F115" s="85">
        <v>22.3</v>
      </c>
      <c r="G115" s="85">
        <v>21.1</v>
      </c>
      <c r="H115" s="85">
        <v>19.399999999999999</v>
      </c>
      <c r="I115" s="85">
        <v>18.399999999999999</v>
      </c>
      <c r="J115" s="85">
        <v>18.3</v>
      </c>
      <c r="K115" s="85">
        <v>20.399999999999999</v>
      </c>
      <c r="L115" s="85">
        <v>21.9</v>
      </c>
      <c r="M115" s="85">
        <v>22.2</v>
      </c>
      <c r="N115" s="85">
        <v>22</v>
      </c>
      <c r="O115" s="85">
        <v>21.7</v>
      </c>
      <c r="P115" s="94">
        <v>12.5</v>
      </c>
      <c r="Q115" s="94">
        <v>38.1</v>
      </c>
    </row>
    <row r="116" spans="1:17" hidden="1">
      <c r="A116" s="95" t="str">
        <f t="shared" si="1"/>
        <v>MG-Pedra Azul</v>
      </c>
      <c r="B116" s="84" t="s">
        <v>474</v>
      </c>
      <c r="C116" s="83" t="s">
        <v>439</v>
      </c>
      <c r="D116" s="85">
        <v>23.9</v>
      </c>
      <c r="E116" s="85">
        <v>24.2</v>
      </c>
      <c r="F116" s="85">
        <v>23.9</v>
      </c>
      <c r="G116" s="85">
        <v>22.9</v>
      </c>
      <c r="H116" s="85">
        <v>21.4</v>
      </c>
      <c r="I116" s="85">
        <v>20.100000000000001</v>
      </c>
      <c r="J116" s="85">
        <v>19.5</v>
      </c>
      <c r="K116" s="85">
        <v>20.399999999999999</v>
      </c>
      <c r="L116" s="85">
        <v>21.5</v>
      </c>
      <c r="M116" s="85">
        <v>22.6</v>
      </c>
      <c r="N116" s="85">
        <v>23.1</v>
      </c>
      <c r="O116" s="85">
        <v>23.4</v>
      </c>
      <c r="P116" s="94">
        <v>14.8</v>
      </c>
      <c r="Q116" s="94">
        <v>38.799999999999997</v>
      </c>
    </row>
    <row r="117" spans="1:17" hidden="1">
      <c r="A117" s="95" t="str">
        <f t="shared" si="1"/>
        <v>MG-Pirapora</v>
      </c>
      <c r="B117" s="84" t="s">
        <v>475</v>
      </c>
      <c r="C117" s="83" t="s">
        <v>439</v>
      </c>
      <c r="D117" s="85">
        <v>24.7</v>
      </c>
      <c r="E117" s="85">
        <v>25.3</v>
      </c>
      <c r="F117" s="85">
        <v>25.1</v>
      </c>
      <c r="G117" s="85">
        <v>23.8</v>
      </c>
      <c r="H117" s="85">
        <v>21.5</v>
      </c>
      <c r="I117" s="85">
        <v>19.8</v>
      </c>
      <c r="J117" s="85">
        <v>19.7</v>
      </c>
      <c r="K117" s="85">
        <v>21.9</v>
      </c>
      <c r="L117" s="85">
        <v>24.1</v>
      </c>
      <c r="M117" s="85">
        <v>25.3</v>
      </c>
      <c r="N117" s="85">
        <v>24.9</v>
      </c>
      <c r="O117" s="85">
        <v>24.4</v>
      </c>
      <c r="P117" s="94">
        <v>12.1</v>
      </c>
      <c r="Q117" s="94">
        <v>40</v>
      </c>
    </row>
    <row r="118" spans="1:17" hidden="1">
      <c r="A118" s="95" t="str">
        <f t="shared" si="1"/>
        <v>MG-Pompeu</v>
      </c>
      <c r="B118" s="84" t="s">
        <v>476</v>
      </c>
      <c r="C118" s="83" t="s">
        <v>439</v>
      </c>
      <c r="D118" s="85">
        <v>23.8</v>
      </c>
      <c r="E118" s="85">
        <v>24.1</v>
      </c>
      <c r="F118" s="85">
        <v>24</v>
      </c>
      <c r="G118" s="85">
        <v>22.8</v>
      </c>
      <c r="H118" s="85">
        <v>20.100000000000001</v>
      </c>
      <c r="I118" s="85">
        <v>18.899999999999999</v>
      </c>
      <c r="J118" s="85">
        <v>18.5</v>
      </c>
      <c r="K118" s="85">
        <v>20.7</v>
      </c>
      <c r="L118" s="85">
        <v>22</v>
      </c>
      <c r="M118" s="85">
        <v>23.3</v>
      </c>
      <c r="N118" s="85">
        <v>23.4</v>
      </c>
      <c r="O118" s="85">
        <v>23.1</v>
      </c>
      <c r="P118" s="94">
        <v>11</v>
      </c>
      <c r="Q118" s="94">
        <v>37.200000000000003</v>
      </c>
    </row>
    <row r="119" spans="1:17" hidden="1">
      <c r="A119" s="95" t="str">
        <f t="shared" si="1"/>
        <v>MG-Salinas</v>
      </c>
      <c r="B119" s="84" t="s">
        <v>477</v>
      </c>
      <c r="C119" s="83" t="s">
        <v>439</v>
      </c>
      <c r="D119" s="85">
        <v>24.8</v>
      </c>
      <c r="E119" s="85">
        <v>24.9</v>
      </c>
      <c r="F119" s="85">
        <v>25</v>
      </c>
      <c r="G119" s="85">
        <v>23.2</v>
      </c>
      <c r="H119" s="85">
        <v>21.4</v>
      </c>
      <c r="I119" s="85">
        <v>19.899999999999999</v>
      </c>
      <c r="J119" s="85">
        <v>19.7</v>
      </c>
      <c r="K119" s="85">
        <v>21.5</v>
      </c>
      <c r="L119" s="85">
        <v>23.4</v>
      </c>
      <c r="M119" s="85">
        <v>24.4</v>
      </c>
      <c r="N119" s="85">
        <v>24.4</v>
      </c>
      <c r="O119" s="85">
        <v>24.2</v>
      </c>
      <c r="P119" s="94">
        <v>12.9</v>
      </c>
      <c r="Q119" s="94">
        <v>39.799999999999997</v>
      </c>
    </row>
    <row r="120" spans="1:17" hidden="1">
      <c r="A120" s="95" t="str">
        <f t="shared" si="1"/>
        <v>MG-São Francisco</v>
      </c>
      <c r="B120" s="84" t="s">
        <v>478</v>
      </c>
      <c r="C120" s="83" t="s">
        <v>439</v>
      </c>
      <c r="D120" s="85">
        <v>25</v>
      </c>
      <c r="E120" s="85">
        <v>25.2</v>
      </c>
      <c r="F120" s="85">
        <v>25.2</v>
      </c>
      <c r="G120" s="85">
        <v>24.3</v>
      </c>
      <c r="H120" s="85">
        <v>22.6</v>
      </c>
      <c r="I120" s="85">
        <v>21.7</v>
      </c>
      <c r="J120" s="85">
        <v>21.5</v>
      </c>
      <c r="K120" s="85">
        <v>23.2</v>
      </c>
      <c r="L120" s="85">
        <v>25.5</v>
      </c>
      <c r="M120" s="85">
        <v>26</v>
      </c>
      <c r="N120" s="85">
        <v>25.3</v>
      </c>
      <c r="O120" s="85">
        <v>24.7</v>
      </c>
      <c r="P120" s="94">
        <v>13.3</v>
      </c>
      <c r="Q120" s="94">
        <v>40</v>
      </c>
    </row>
    <row r="121" spans="1:17" hidden="1">
      <c r="A121" s="95" t="str">
        <f t="shared" si="1"/>
        <v>MG-São João del-Rei</v>
      </c>
      <c r="B121" s="84" t="s">
        <v>479</v>
      </c>
      <c r="C121" s="83" t="s">
        <v>439</v>
      </c>
      <c r="D121" s="85">
        <v>21.5</v>
      </c>
      <c r="E121" s="85">
        <v>21.7</v>
      </c>
      <c r="F121" s="85">
        <v>21.4</v>
      </c>
      <c r="G121" s="85">
        <v>19.600000000000001</v>
      </c>
      <c r="H121" s="85">
        <v>17.399999999999999</v>
      </c>
      <c r="I121" s="85">
        <v>15.9</v>
      </c>
      <c r="J121" s="85">
        <v>15.7</v>
      </c>
      <c r="K121" s="85">
        <v>17.2</v>
      </c>
      <c r="L121" s="85">
        <v>18.8</v>
      </c>
      <c r="M121" s="85">
        <v>19.899999999999999</v>
      </c>
      <c r="N121" s="85">
        <v>20.399999999999999</v>
      </c>
      <c r="O121" s="85">
        <v>21</v>
      </c>
      <c r="P121" s="94">
        <v>9.8000000000000007</v>
      </c>
      <c r="Q121" s="94">
        <v>35.200000000000003</v>
      </c>
    </row>
    <row r="122" spans="1:17" hidden="1">
      <c r="A122" s="95" t="str">
        <f t="shared" si="1"/>
        <v>MG-São Lourenço</v>
      </c>
      <c r="B122" s="84" t="s">
        <v>480</v>
      </c>
      <c r="C122" s="83" t="s">
        <v>439</v>
      </c>
      <c r="D122" s="85">
        <v>22.2</v>
      </c>
      <c r="E122" s="85">
        <v>22.3</v>
      </c>
      <c r="F122" s="85">
        <v>21.7</v>
      </c>
      <c r="G122" s="85">
        <v>19.5</v>
      </c>
      <c r="H122" s="85">
        <v>16.2</v>
      </c>
      <c r="I122" s="85">
        <v>14.6</v>
      </c>
      <c r="J122" s="85">
        <v>14.3</v>
      </c>
      <c r="K122" s="85">
        <v>16.399999999999999</v>
      </c>
      <c r="L122" s="85">
        <v>18.7</v>
      </c>
      <c r="M122" s="85">
        <v>20.399999999999999</v>
      </c>
      <c r="N122" s="85">
        <v>21.3</v>
      </c>
      <c r="O122" s="85">
        <v>21.7</v>
      </c>
      <c r="P122" s="94">
        <v>7.1</v>
      </c>
      <c r="Q122" s="94">
        <v>36</v>
      </c>
    </row>
    <row r="123" spans="1:17" hidden="1">
      <c r="A123" s="95" t="str">
        <f t="shared" si="1"/>
        <v>MG-Sete Lagoas</v>
      </c>
      <c r="B123" s="84" t="s">
        <v>481</v>
      </c>
      <c r="C123" s="83" t="s">
        <v>439</v>
      </c>
      <c r="D123" s="85">
        <v>22.7</v>
      </c>
      <c r="E123" s="85">
        <v>22.9</v>
      </c>
      <c r="F123" s="85">
        <v>22.7</v>
      </c>
      <c r="G123" s="85">
        <v>21.1</v>
      </c>
      <c r="H123" s="85">
        <v>19</v>
      </c>
      <c r="I123" s="85">
        <v>17.8</v>
      </c>
      <c r="J123" s="85">
        <v>17.5</v>
      </c>
      <c r="K123" s="85">
        <v>19.399999999999999</v>
      </c>
      <c r="L123" s="85">
        <v>21</v>
      </c>
      <c r="M123" s="85">
        <v>22.1</v>
      </c>
      <c r="N123" s="85">
        <v>22.3</v>
      </c>
      <c r="O123" s="85">
        <v>22.4</v>
      </c>
      <c r="P123" s="94">
        <v>11.1</v>
      </c>
      <c r="Q123" s="94">
        <v>37.6</v>
      </c>
    </row>
    <row r="124" spans="1:17" hidden="1">
      <c r="A124" s="95" t="str">
        <f t="shared" si="1"/>
        <v>MG-Teófilo Otoni</v>
      </c>
      <c r="B124" s="84" t="s">
        <v>482</v>
      </c>
      <c r="C124" s="83" t="s">
        <v>439</v>
      </c>
      <c r="D124" s="85">
        <v>25.2</v>
      </c>
      <c r="E124" s="85">
        <v>25.3</v>
      </c>
      <c r="F124" s="85">
        <v>25</v>
      </c>
      <c r="G124" s="85">
        <v>23.6</v>
      </c>
      <c r="H124" s="85">
        <v>21.6</v>
      </c>
      <c r="I124" s="85">
        <v>19.899999999999999</v>
      </c>
      <c r="J124" s="85">
        <v>19.399999999999999</v>
      </c>
      <c r="K124" s="85">
        <v>20.5</v>
      </c>
      <c r="L124" s="85">
        <v>22.1</v>
      </c>
      <c r="M124" s="85">
        <v>23.5</v>
      </c>
      <c r="N124" s="85">
        <v>24</v>
      </c>
      <c r="O124" s="85">
        <v>24.5</v>
      </c>
      <c r="P124" s="94">
        <v>14.1</v>
      </c>
      <c r="Q124" s="94">
        <v>39.200000000000003</v>
      </c>
    </row>
    <row r="125" spans="1:17" hidden="1">
      <c r="A125" s="95" t="str">
        <f t="shared" si="1"/>
        <v>MG-Uberaba</v>
      </c>
      <c r="B125" s="84" t="s">
        <v>483</v>
      </c>
      <c r="C125" s="83" t="s">
        <v>439</v>
      </c>
      <c r="D125" s="85">
        <v>23.5</v>
      </c>
      <c r="E125" s="85">
        <v>23.5</v>
      </c>
      <c r="F125" s="85">
        <v>23.5</v>
      </c>
      <c r="G125" s="85">
        <v>22.2</v>
      </c>
      <c r="H125" s="85">
        <v>19.8</v>
      </c>
      <c r="I125" s="85">
        <v>18.8</v>
      </c>
      <c r="J125" s="85">
        <v>18.5</v>
      </c>
      <c r="K125" s="85">
        <v>20.9</v>
      </c>
      <c r="L125" s="85">
        <v>22.6</v>
      </c>
      <c r="M125" s="85">
        <v>23.2</v>
      </c>
      <c r="N125" s="85">
        <v>23.3</v>
      </c>
      <c r="O125" s="85">
        <v>23.1</v>
      </c>
      <c r="P125" s="94">
        <v>12.2</v>
      </c>
      <c r="Q125" s="94">
        <v>37.6</v>
      </c>
    </row>
    <row r="126" spans="1:17" hidden="1">
      <c r="A126" s="95" t="str">
        <f t="shared" si="1"/>
        <v>MG-Viçosa</v>
      </c>
      <c r="B126" s="84" t="s">
        <v>484</v>
      </c>
      <c r="C126" s="83" t="s">
        <v>439</v>
      </c>
      <c r="D126" s="85">
        <v>22.1</v>
      </c>
      <c r="E126" s="85">
        <v>22.2</v>
      </c>
      <c r="F126" s="85">
        <v>21.8</v>
      </c>
      <c r="G126" s="85">
        <v>19.7</v>
      </c>
      <c r="H126" s="85">
        <v>17.2</v>
      </c>
      <c r="I126" s="85">
        <v>15.9</v>
      </c>
      <c r="J126" s="85">
        <v>15.5</v>
      </c>
      <c r="K126" s="85">
        <v>16.899999999999999</v>
      </c>
      <c r="L126" s="85">
        <v>18.5</v>
      </c>
      <c r="M126" s="85">
        <v>20.2</v>
      </c>
      <c r="N126" s="85">
        <v>21.1</v>
      </c>
      <c r="O126" s="85">
        <v>21.5</v>
      </c>
      <c r="P126" s="94">
        <v>10</v>
      </c>
      <c r="Q126" s="94">
        <v>37</v>
      </c>
    </row>
    <row r="127" spans="1:17" hidden="1">
      <c r="A127" s="95" t="str">
        <f t="shared" si="1"/>
        <v>MS-Campo Grande</v>
      </c>
      <c r="B127" s="84" t="s">
        <v>485</v>
      </c>
      <c r="C127" s="83" t="s">
        <v>486</v>
      </c>
      <c r="D127" s="85">
        <v>24.6</v>
      </c>
      <c r="E127" s="85">
        <v>24.5</v>
      </c>
      <c r="F127" s="85">
        <v>24.2</v>
      </c>
      <c r="G127" s="85">
        <v>22.6</v>
      </c>
      <c r="H127" s="85">
        <v>20.8</v>
      </c>
      <c r="I127" s="85">
        <v>19.399999999999999</v>
      </c>
      <c r="J127" s="85">
        <v>20.3</v>
      </c>
      <c r="K127" s="85">
        <v>21.4</v>
      </c>
      <c r="L127" s="85">
        <v>22.5</v>
      </c>
      <c r="M127" s="85">
        <v>24.2</v>
      </c>
      <c r="N127" s="85">
        <v>24.2</v>
      </c>
      <c r="O127" s="85">
        <v>24.3</v>
      </c>
      <c r="P127" s="94">
        <v>14.5</v>
      </c>
      <c r="Q127" s="94">
        <v>39.700000000000003</v>
      </c>
    </row>
    <row r="128" spans="1:17" hidden="1">
      <c r="A128" s="95" t="str">
        <f t="shared" si="1"/>
        <v>MS-Coxim</v>
      </c>
      <c r="B128" s="84" t="s">
        <v>487</v>
      </c>
      <c r="C128" s="83" t="s">
        <v>486</v>
      </c>
      <c r="D128" s="85">
        <v>25.9</v>
      </c>
      <c r="E128" s="85">
        <v>25.8</v>
      </c>
      <c r="F128" s="85">
        <v>25.6</v>
      </c>
      <c r="G128" s="85">
        <v>24.5</v>
      </c>
      <c r="H128" s="85">
        <v>22.5</v>
      </c>
      <c r="I128" s="85">
        <v>20.5</v>
      </c>
      <c r="J128" s="85">
        <v>20.9</v>
      </c>
      <c r="K128" s="85">
        <v>22.4</v>
      </c>
      <c r="L128" s="85">
        <v>24.6</v>
      </c>
      <c r="M128" s="85">
        <v>26.3</v>
      </c>
      <c r="N128" s="85">
        <v>26.2</v>
      </c>
      <c r="O128" s="85">
        <v>25.9</v>
      </c>
      <c r="P128" s="94">
        <v>14.9</v>
      </c>
      <c r="Q128" s="94">
        <v>39.799999999999997</v>
      </c>
    </row>
    <row r="129" spans="1:17" hidden="1">
      <c r="A129" s="95" t="str">
        <f t="shared" si="1"/>
        <v>MS-Dourados</v>
      </c>
      <c r="B129" s="84" t="s">
        <v>488</v>
      </c>
      <c r="C129" s="83" t="s">
        <v>486</v>
      </c>
      <c r="D129" s="85">
        <v>25</v>
      </c>
      <c r="E129" s="85">
        <v>24.9</v>
      </c>
      <c r="F129" s="85">
        <v>24.3</v>
      </c>
      <c r="G129" s="85">
        <v>22.1</v>
      </c>
      <c r="H129" s="85">
        <v>19.8</v>
      </c>
      <c r="I129" s="85">
        <v>18</v>
      </c>
      <c r="J129" s="85">
        <v>18.3</v>
      </c>
      <c r="K129" s="85">
        <v>19.600000000000001</v>
      </c>
      <c r="L129" s="85">
        <v>20.9</v>
      </c>
      <c r="M129" s="85">
        <v>23.1</v>
      </c>
      <c r="N129" s="85">
        <v>23.9</v>
      </c>
      <c r="O129" s="85">
        <v>24.5</v>
      </c>
      <c r="P129" s="94">
        <v>12.5</v>
      </c>
      <c r="Q129" s="94">
        <v>38.5</v>
      </c>
    </row>
    <row r="130" spans="1:17" hidden="1">
      <c r="A130" s="95" t="str">
        <f t="shared" si="1"/>
        <v>MS-Ivinhema</v>
      </c>
      <c r="B130" s="84" t="s">
        <v>489</v>
      </c>
      <c r="C130" s="83" t="s">
        <v>486</v>
      </c>
      <c r="D130" s="85">
        <v>25.1</v>
      </c>
      <c r="E130" s="85">
        <v>25.2</v>
      </c>
      <c r="F130" s="85">
        <v>24.7</v>
      </c>
      <c r="G130" s="85">
        <v>22.1</v>
      </c>
      <c r="H130" s="85">
        <v>19.8</v>
      </c>
      <c r="I130" s="85">
        <v>18.399999999999999</v>
      </c>
      <c r="J130" s="85">
        <v>18.899999999999999</v>
      </c>
      <c r="K130" s="85">
        <v>19.5</v>
      </c>
      <c r="L130" s="85">
        <v>21</v>
      </c>
      <c r="M130" s="85">
        <v>23.1</v>
      </c>
      <c r="N130" s="85">
        <v>24.1</v>
      </c>
      <c r="O130" s="85">
        <v>24.6</v>
      </c>
      <c r="P130" s="94">
        <v>13.5</v>
      </c>
      <c r="Q130" s="94">
        <v>39</v>
      </c>
    </row>
    <row r="131" spans="1:17" hidden="1">
      <c r="A131" s="95" t="str">
        <f t="shared" si="1"/>
        <v>MS-Paranaíba</v>
      </c>
      <c r="B131" s="84" t="s">
        <v>490</v>
      </c>
      <c r="C131" s="83" t="s">
        <v>486</v>
      </c>
      <c r="D131" s="85">
        <v>25.1</v>
      </c>
      <c r="E131" s="85">
        <v>25.5</v>
      </c>
      <c r="F131" s="85">
        <v>25.1</v>
      </c>
      <c r="G131" s="85">
        <v>23.3</v>
      </c>
      <c r="H131" s="85">
        <v>21.4</v>
      </c>
      <c r="I131" s="85">
        <v>20.100000000000001</v>
      </c>
      <c r="J131" s="85">
        <v>20</v>
      </c>
      <c r="K131" s="85">
        <v>22</v>
      </c>
      <c r="L131" s="85">
        <v>23.4</v>
      </c>
      <c r="M131" s="85">
        <v>25.3</v>
      </c>
      <c r="N131" s="85">
        <v>25</v>
      </c>
      <c r="O131" s="85">
        <v>24.8</v>
      </c>
      <c r="P131" s="94">
        <v>13.4</v>
      </c>
      <c r="Q131" s="94">
        <v>40.6</v>
      </c>
    </row>
    <row r="132" spans="1:17" hidden="1">
      <c r="A132" s="95" t="str">
        <f t="shared" si="1"/>
        <v>MS-Ponta Porã</v>
      </c>
      <c r="B132" s="84" t="s">
        <v>491</v>
      </c>
      <c r="C132" s="83" t="s">
        <v>486</v>
      </c>
      <c r="D132" s="85">
        <v>24</v>
      </c>
      <c r="E132" s="85">
        <v>23.8</v>
      </c>
      <c r="F132" s="85">
        <v>23</v>
      </c>
      <c r="G132" s="85">
        <v>20.7</v>
      </c>
      <c r="H132" s="85">
        <v>18.399999999999999</v>
      </c>
      <c r="I132" s="85">
        <v>16.5</v>
      </c>
      <c r="J132" s="85">
        <v>16.8</v>
      </c>
      <c r="K132" s="85">
        <v>18.100000000000001</v>
      </c>
      <c r="L132" s="85">
        <v>19.899999999999999</v>
      </c>
      <c r="M132" s="85">
        <v>21.6</v>
      </c>
      <c r="N132" s="85">
        <v>22.6</v>
      </c>
      <c r="O132" s="85">
        <v>23.4</v>
      </c>
      <c r="P132" s="94">
        <v>11.7</v>
      </c>
      <c r="Q132" s="94">
        <v>38</v>
      </c>
    </row>
    <row r="133" spans="1:17" hidden="1">
      <c r="A133" s="95" t="str">
        <f t="shared" si="1"/>
        <v>MT-Cáceres</v>
      </c>
      <c r="B133" s="84" t="s">
        <v>492</v>
      </c>
      <c r="C133" s="83" t="s">
        <v>493</v>
      </c>
      <c r="D133" s="85">
        <v>26.5</v>
      </c>
      <c r="E133" s="85">
        <v>26.4</v>
      </c>
      <c r="F133" s="85">
        <v>26.3</v>
      </c>
      <c r="G133" s="85">
        <v>25.6</v>
      </c>
      <c r="H133" s="85">
        <v>23.9</v>
      </c>
      <c r="I133" s="85">
        <v>22</v>
      </c>
      <c r="J133" s="85">
        <v>21.7</v>
      </c>
      <c r="K133" s="85">
        <v>23.8</v>
      </c>
      <c r="L133" s="85">
        <v>25.5</v>
      </c>
      <c r="M133" s="85">
        <v>26.9</v>
      </c>
      <c r="N133" s="85">
        <v>26.9</v>
      </c>
      <c r="O133" s="85">
        <v>26.6</v>
      </c>
      <c r="P133" s="94">
        <v>15.5</v>
      </c>
      <c r="Q133" s="94">
        <v>41.2</v>
      </c>
    </row>
    <row r="134" spans="1:17" hidden="1">
      <c r="A134" s="95" t="str">
        <f t="shared" si="1"/>
        <v>MT-Cuiabá</v>
      </c>
      <c r="B134" s="84" t="s">
        <v>494</v>
      </c>
      <c r="C134" s="83" t="s">
        <v>493</v>
      </c>
      <c r="D134" s="85">
        <v>26.7</v>
      </c>
      <c r="E134" s="85">
        <v>26.5</v>
      </c>
      <c r="F134" s="85">
        <v>26.5</v>
      </c>
      <c r="G134" s="85">
        <v>26</v>
      </c>
      <c r="H134" s="85">
        <v>24.4</v>
      </c>
      <c r="I134" s="85">
        <v>23</v>
      </c>
      <c r="J134" s="85">
        <v>22.8</v>
      </c>
      <c r="K134" s="85">
        <v>25</v>
      </c>
      <c r="L134" s="85">
        <v>26.6</v>
      </c>
      <c r="M134" s="85">
        <v>27.4</v>
      </c>
      <c r="N134" s="85">
        <v>27.2</v>
      </c>
      <c r="O134" s="85">
        <v>26.9</v>
      </c>
      <c r="P134" s="94">
        <v>17</v>
      </c>
      <c r="Q134" s="94">
        <v>41.1</v>
      </c>
    </row>
    <row r="135" spans="1:17" hidden="1">
      <c r="A135" s="95" t="str">
        <f t="shared" si="1"/>
        <v>MT-Diamantino</v>
      </c>
      <c r="B135" s="84" t="s">
        <v>495</v>
      </c>
      <c r="C135" s="83" t="s">
        <v>493</v>
      </c>
      <c r="D135" s="85">
        <v>25.6</v>
      </c>
      <c r="E135" s="85">
        <v>25.5</v>
      </c>
      <c r="F135" s="85">
        <v>25.5</v>
      </c>
      <c r="G135" s="85">
        <v>25.3</v>
      </c>
      <c r="H135" s="85">
        <v>23.9</v>
      </c>
      <c r="I135" s="85">
        <v>22.5</v>
      </c>
      <c r="J135" s="85">
        <v>22.3</v>
      </c>
      <c r="K135" s="85">
        <v>24.5</v>
      </c>
      <c r="L135" s="85">
        <v>25.9</v>
      </c>
      <c r="M135" s="85">
        <v>26.2</v>
      </c>
      <c r="N135" s="85">
        <v>26</v>
      </c>
      <c r="O135" s="85">
        <v>25.6</v>
      </c>
      <c r="P135" s="94">
        <v>16.8</v>
      </c>
      <c r="Q135" s="94">
        <v>41</v>
      </c>
    </row>
    <row r="136" spans="1:17" hidden="1">
      <c r="A136" s="95" t="str">
        <f t="shared" si="1"/>
        <v>MT-Gleba Celeste</v>
      </c>
      <c r="B136" s="84" t="s">
        <v>496</v>
      </c>
      <c r="C136" s="83" t="s">
        <v>493</v>
      </c>
      <c r="D136" s="85">
        <v>24.4</v>
      </c>
      <c r="E136" s="85">
        <v>24.3</v>
      </c>
      <c r="F136" s="85">
        <v>24.6</v>
      </c>
      <c r="G136" s="85">
        <v>24.7</v>
      </c>
      <c r="H136" s="85">
        <v>23.9</v>
      </c>
      <c r="I136" s="85">
        <v>22.5</v>
      </c>
      <c r="J136" s="85">
        <v>22.1</v>
      </c>
      <c r="K136" s="85">
        <v>23.2</v>
      </c>
      <c r="L136" s="85">
        <v>24.6</v>
      </c>
      <c r="M136" s="85">
        <v>25.1</v>
      </c>
      <c r="N136" s="85">
        <v>24.7</v>
      </c>
      <c r="O136" s="85">
        <v>24.4</v>
      </c>
      <c r="P136" s="94">
        <v>14.9</v>
      </c>
      <c r="Q136" s="94">
        <v>39</v>
      </c>
    </row>
    <row r="137" spans="1:17" hidden="1">
      <c r="A137" s="95" t="str">
        <f t="shared" ref="A137:A199" si="2">CONCATENATE(C137,"-",B137)</f>
        <v>MT-Sangradouro</v>
      </c>
      <c r="B137" s="84" t="s">
        <v>497</v>
      </c>
      <c r="C137" s="83" t="s">
        <v>493</v>
      </c>
      <c r="D137" s="85">
        <v>23.6</v>
      </c>
      <c r="E137" s="85">
        <v>23.5</v>
      </c>
      <c r="F137" s="85">
        <v>23.5</v>
      </c>
      <c r="G137" s="85">
        <v>23</v>
      </c>
      <c r="H137" s="85">
        <v>21</v>
      </c>
      <c r="I137" s="85">
        <v>19</v>
      </c>
      <c r="J137" s="85">
        <v>18.5</v>
      </c>
      <c r="K137" s="85">
        <v>21</v>
      </c>
      <c r="L137" s="85">
        <v>23.7</v>
      </c>
      <c r="M137" s="85">
        <v>24</v>
      </c>
      <c r="N137" s="85">
        <v>23.9</v>
      </c>
      <c r="O137" s="85">
        <v>23.7</v>
      </c>
      <c r="P137" s="94">
        <v>11.5</v>
      </c>
      <c r="Q137" s="94">
        <v>37.5</v>
      </c>
    </row>
    <row r="138" spans="1:17" hidden="1">
      <c r="A138" s="95" t="str">
        <f t="shared" si="2"/>
        <v>PA-Altamira</v>
      </c>
      <c r="B138" s="84" t="s">
        <v>498</v>
      </c>
      <c r="C138" s="83" t="s">
        <v>499</v>
      </c>
      <c r="D138" s="85">
        <v>25.7</v>
      </c>
      <c r="E138" s="85">
        <v>25.4</v>
      </c>
      <c r="F138" s="85">
        <v>25.4</v>
      </c>
      <c r="G138" s="85">
        <v>25.7</v>
      </c>
      <c r="H138" s="85">
        <v>25.9</v>
      </c>
      <c r="I138" s="85">
        <v>25.7</v>
      </c>
      <c r="J138" s="85">
        <v>25.6</v>
      </c>
      <c r="K138" s="85">
        <v>26.2</v>
      </c>
      <c r="L138" s="85">
        <v>26.8</v>
      </c>
      <c r="M138" s="85">
        <v>27</v>
      </c>
      <c r="N138" s="85">
        <v>26.8</v>
      </c>
      <c r="O138" s="85">
        <v>26.4</v>
      </c>
      <c r="P138" s="94">
        <v>20.7</v>
      </c>
      <c r="Q138" s="94">
        <v>39.200000000000003</v>
      </c>
    </row>
    <row r="139" spans="1:17" hidden="1">
      <c r="A139" s="95" t="str">
        <f t="shared" si="2"/>
        <v>PA-Alto Tapajós</v>
      </c>
      <c r="B139" s="84" t="s">
        <v>500</v>
      </c>
      <c r="C139" s="83" t="s">
        <v>499</v>
      </c>
      <c r="D139" s="85">
        <v>25.3</v>
      </c>
      <c r="E139" s="85">
        <v>25.2</v>
      </c>
      <c r="F139" s="85">
        <v>25.4</v>
      </c>
      <c r="G139" s="85">
        <v>25.5</v>
      </c>
      <c r="H139" s="85">
        <v>25.5</v>
      </c>
      <c r="I139" s="85">
        <v>25</v>
      </c>
      <c r="J139" s="85">
        <v>24.4</v>
      </c>
      <c r="K139" s="85">
        <v>25.5</v>
      </c>
      <c r="L139" s="85">
        <v>25.7</v>
      </c>
      <c r="M139" s="85">
        <v>25.8</v>
      </c>
      <c r="N139" s="85">
        <v>25.6</v>
      </c>
      <c r="O139" s="85">
        <v>25.5</v>
      </c>
      <c r="P139" s="94">
        <v>17.600000000000001</v>
      </c>
      <c r="Q139" s="94">
        <v>38.799999999999997</v>
      </c>
    </row>
    <row r="140" spans="1:17" hidden="1">
      <c r="A140" s="95" t="str">
        <f t="shared" si="2"/>
        <v>PA-Belém</v>
      </c>
      <c r="B140" s="84" t="s">
        <v>501</v>
      </c>
      <c r="C140" s="83" t="s">
        <v>499</v>
      </c>
      <c r="D140" s="85">
        <v>25.6</v>
      </c>
      <c r="E140" s="85">
        <v>25.4</v>
      </c>
      <c r="F140" s="85">
        <v>25.5</v>
      </c>
      <c r="G140" s="85">
        <v>25.6</v>
      </c>
      <c r="H140" s="85">
        <v>25.8</v>
      </c>
      <c r="I140" s="85">
        <v>26</v>
      </c>
      <c r="J140" s="85">
        <v>25.7</v>
      </c>
      <c r="K140" s="85">
        <v>26</v>
      </c>
      <c r="L140" s="85">
        <v>26</v>
      </c>
      <c r="M140" s="85">
        <v>26.4</v>
      </c>
      <c r="N140" s="85">
        <v>26.5</v>
      </c>
      <c r="O140" s="85">
        <v>26.2</v>
      </c>
      <c r="P140" s="94">
        <v>21.6</v>
      </c>
      <c r="Q140" s="94">
        <v>37.299999999999997</v>
      </c>
    </row>
    <row r="141" spans="1:17" hidden="1">
      <c r="A141" s="95" t="str">
        <f t="shared" si="2"/>
        <v>PA-Belterra</v>
      </c>
      <c r="B141" s="84" t="s">
        <v>502</v>
      </c>
      <c r="C141" s="83" t="s">
        <v>499</v>
      </c>
      <c r="D141" s="85">
        <v>24.8</v>
      </c>
      <c r="E141" s="85">
        <v>24.5</v>
      </c>
      <c r="F141" s="85">
        <v>24.6</v>
      </c>
      <c r="G141" s="85">
        <v>24.7</v>
      </c>
      <c r="H141" s="85">
        <v>24.6</v>
      </c>
      <c r="I141" s="85">
        <v>24.4</v>
      </c>
      <c r="J141" s="85">
        <v>24.3</v>
      </c>
      <c r="K141" s="85">
        <v>24.8</v>
      </c>
      <c r="L141" s="85">
        <v>25.4</v>
      </c>
      <c r="M141" s="85">
        <v>25.8</v>
      </c>
      <c r="N141" s="85">
        <v>25.8</v>
      </c>
      <c r="O141" s="85">
        <v>25.3</v>
      </c>
      <c r="P141" s="94">
        <v>19.399999999999999</v>
      </c>
      <c r="Q141" s="94">
        <v>36.299999999999997</v>
      </c>
    </row>
    <row r="142" spans="1:17" hidden="1">
      <c r="A142" s="95" t="str">
        <f t="shared" si="2"/>
        <v>PA-Breves</v>
      </c>
      <c r="B142" s="84" t="s">
        <v>503</v>
      </c>
      <c r="C142" s="83" t="s">
        <v>499</v>
      </c>
      <c r="D142" s="85">
        <v>25.5</v>
      </c>
      <c r="E142" s="85">
        <v>25.4</v>
      </c>
      <c r="F142" s="85">
        <v>25.5</v>
      </c>
      <c r="G142" s="85">
        <v>25.8</v>
      </c>
      <c r="H142" s="85">
        <v>26.1</v>
      </c>
      <c r="I142" s="85">
        <v>26</v>
      </c>
      <c r="J142" s="85">
        <v>26</v>
      </c>
      <c r="K142" s="85">
        <v>26.2</v>
      </c>
      <c r="L142" s="85">
        <v>26.3</v>
      </c>
      <c r="M142" s="85">
        <v>26.5</v>
      </c>
      <c r="N142" s="85">
        <v>26.5</v>
      </c>
      <c r="O142" s="85">
        <v>26.1</v>
      </c>
      <c r="P142" s="94">
        <v>20.9</v>
      </c>
      <c r="Q142" s="94">
        <v>38.200000000000003</v>
      </c>
    </row>
    <row r="143" spans="1:17" hidden="1">
      <c r="A143" s="95" t="str">
        <f t="shared" si="2"/>
        <v>PA-Cametá</v>
      </c>
      <c r="B143" s="84" t="s">
        <v>504</v>
      </c>
      <c r="C143" s="83" t="s">
        <v>499</v>
      </c>
      <c r="D143" s="85">
        <v>26.2</v>
      </c>
      <c r="E143" s="85">
        <v>25.9</v>
      </c>
      <c r="F143" s="85">
        <v>26.1</v>
      </c>
      <c r="G143" s="85">
        <v>26.3</v>
      </c>
      <c r="H143" s="85">
        <v>26.5</v>
      </c>
      <c r="I143" s="85">
        <v>26.6</v>
      </c>
      <c r="J143" s="85">
        <v>26.4</v>
      </c>
      <c r="K143" s="85">
        <v>26.7</v>
      </c>
      <c r="L143" s="85">
        <v>26.9</v>
      </c>
      <c r="M143" s="85">
        <v>27.2</v>
      </c>
      <c r="N143" s="85">
        <v>27.3</v>
      </c>
      <c r="O143" s="85">
        <v>26.9</v>
      </c>
      <c r="P143" s="94">
        <v>22.3</v>
      </c>
      <c r="Q143" s="94">
        <v>39.6</v>
      </c>
    </row>
    <row r="144" spans="1:17" hidden="1">
      <c r="A144" s="95" t="str">
        <f t="shared" si="2"/>
        <v>PA-Conceição do Araguaia</v>
      </c>
      <c r="B144" s="84" t="s">
        <v>505</v>
      </c>
      <c r="C144" s="83" t="s">
        <v>499</v>
      </c>
      <c r="D144" s="85">
        <v>25.1</v>
      </c>
      <c r="E144" s="85">
        <v>25.1</v>
      </c>
      <c r="F144" s="85">
        <v>25.3</v>
      </c>
      <c r="G144" s="85">
        <v>25.6</v>
      </c>
      <c r="H144" s="85">
        <v>25.9</v>
      </c>
      <c r="I144" s="85">
        <v>25.3</v>
      </c>
      <c r="J144" s="85">
        <v>25.1</v>
      </c>
      <c r="K144" s="85">
        <v>25.9</v>
      </c>
      <c r="L144" s="85">
        <v>26.4</v>
      </c>
      <c r="M144" s="85">
        <v>25.8</v>
      </c>
      <c r="N144" s="85">
        <v>25.6</v>
      </c>
      <c r="O144" s="85">
        <v>25.2</v>
      </c>
      <c r="P144" s="94">
        <v>17.7</v>
      </c>
      <c r="Q144" s="94">
        <v>38.799999999999997</v>
      </c>
    </row>
    <row r="145" spans="1:17" hidden="1">
      <c r="A145" s="95" t="str">
        <f t="shared" si="2"/>
        <v>PA-Itaituba</v>
      </c>
      <c r="B145" s="84" t="s">
        <v>506</v>
      </c>
      <c r="C145" s="83" t="s">
        <v>499</v>
      </c>
      <c r="D145" s="85">
        <v>26.2</v>
      </c>
      <c r="E145" s="85">
        <v>25.7</v>
      </c>
      <c r="F145" s="85">
        <v>25.9</v>
      </c>
      <c r="G145" s="85">
        <v>26.3</v>
      </c>
      <c r="H145" s="85">
        <v>26.4</v>
      </c>
      <c r="I145" s="85">
        <v>26.3</v>
      </c>
      <c r="J145" s="85">
        <v>26.4</v>
      </c>
      <c r="K145" s="85">
        <v>27.1</v>
      </c>
      <c r="L145" s="85">
        <v>27.5</v>
      </c>
      <c r="M145" s="85">
        <v>27.7</v>
      </c>
      <c r="N145" s="85">
        <v>27.6</v>
      </c>
      <c r="O145" s="85">
        <v>26.7</v>
      </c>
      <c r="P145" s="94">
        <v>21.3</v>
      </c>
      <c r="Q145" s="94">
        <v>39.6</v>
      </c>
    </row>
    <row r="146" spans="1:17" hidden="1">
      <c r="A146" s="95" t="str">
        <f t="shared" si="2"/>
        <v>PA-Marabá</v>
      </c>
      <c r="B146" s="84" t="s">
        <v>507</v>
      </c>
      <c r="C146" s="83" t="s">
        <v>499</v>
      </c>
      <c r="D146" s="85">
        <v>25.9</v>
      </c>
      <c r="E146" s="85">
        <v>25.7</v>
      </c>
      <c r="F146" s="85">
        <v>25.9</v>
      </c>
      <c r="G146" s="85">
        <v>26.3</v>
      </c>
      <c r="H146" s="85">
        <v>26.6</v>
      </c>
      <c r="I146" s="85">
        <v>26.4</v>
      </c>
      <c r="J146" s="85">
        <v>26.3</v>
      </c>
      <c r="K146" s="85">
        <v>26.9</v>
      </c>
      <c r="L146" s="85">
        <v>26.9</v>
      </c>
      <c r="M146" s="85">
        <v>26.6</v>
      </c>
      <c r="N146" s="85">
        <v>26.5</v>
      </c>
      <c r="O146" s="85">
        <v>26</v>
      </c>
      <c r="P146" s="94">
        <v>21.1</v>
      </c>
      <c r="Q146" s="94">
        <v>38.1</v>
      </c>
    </row>
    <row r="147" spans="1:17" hidden="1">
      <c r="A147" s="95" t="str">
        <f t="shared" si="2"/>
        <v>PA-Monte Alegre</v>
      </c>
      <c r="B147" s="84" t="s">
        <v>508</v>
      </c>
      <c r="C147" s="83" t="s">
        <v>499</v>
      </c>
      <c r="D147" s="85">
        <v>25.9</v>
      </c>
      <c r="E147" s="85">
        <v>25.6</v>
      </c>
      <c r="F147" s="85">
        <v>25.7</v>
      </c>
      <c r="G147" s="85">
        <v>25.9</v>
      </c>
      <c r="H147" s="85">
        <v>26</v>
      </c>
      <c r="I147" s="85">
        <v>25.9</v>
      </c>
      <c r="J147" s="85">
        <v>26.1</v>
      </c>
      <c r="K147" s="85">
        <v>26.7</v>
      </c>
      <c r="L147" s="85">
        <v>27.4</v>
      </c>
      <c r="M147" s="85">
        <v>27.7</v>
      </c>
      <c r="N147" s="85">
        <v>27.5</v>
      </c>
      <c r="O147" s="85">
        <v>27</v>
      </c>
      <c r="P147" s="94">
        <v>22.6</v>
      </c>
      <c r="Q147" s="94">
        <v>39.6</v>
      </c>
    </row>
    <row r="148" spans="1:17" hidden="1">
      <c r="A148" s="95" t="str">
        <f t="shared" si="2"/>
        <v>PA-Óbidos</v>
      </c>
      <c r="B148" s="84" t="s">
        <v>509</v>
      </c>
      <c r="C148" s="83" t="s">
        <v>499</v>
      </c>
      <c r="D148" s="85">
        <v>26.1</v>
      </c>
      <c r="E148" s="85">
        <v>25.7</v>
      </c>
      <c r="F148" s="85">
        <v>25.8</v>
      </c>
      <c r="G148" s="85">
        <v>26</v>
      </c>
      <c r="H148" s="85">
        <v>26.2</v>
      </c>
      <c r="I148" s="85">
        <v>26.2</v>
      </c>
      <c r="J148" s="85">
        <v>26.3</v>
      </c>
      <c r="K148" s="85">
        <v>27</v>
      </c>
      <c r="L148" s="85">
        <v>27.4</v>
      </c>
      <c r="M148" s="85">
        <v>27.8</v>
      </c>
      <c r="N148" s="85">
        <v>27.8</v>
      </c>
      <c r="O148" s="85">
        <v>27</v>
      </c>
      <c r="P148" s="94">
        <v>21.8</v>
      </c>
      <c r="Q148" s="94">
        <v>39.799999999999997</v>
      </c>
    </row>
    <row r="149" spans="1:17" hidden="1">
      <c r="A149" s="95" t="str">
        <f t="shared" si="2"/>
        <v>PA-Porto de Moz</v>
      </c>
      <c r="B149" s="84" t="s">
        <v>510</v>
      </c>
      <c r="C149" s="83" t="s">
        <v>499</v>
      </c>
      <c r="D149" s="85">
        <v>25.9</v>
      </c>
      <c r="E149" s="85">
        <v>25.6</v>
      </c>
      <c r="F149" s="85">
        <v>26</v>
      </c>
      <c r="G149" s="85">
        <v>26.1</v>
      </c>
      <c r="H149" s="85">
        <v>26.2</v>
      </c>
      <c r="I149" s="85">
        <v>26.2</v>
      </c>
      <c r="J149" s="85">
        <v>26.2</v>
      </c>
      <c r="K149" s="85">
        <v>26.7</v>
      </c>
      <c r="L149" s="85">
        <v>27</v>
      </c>
      <c r="M149" s="85">
        <v>27.3</v>
      </c>
      <c r="N149" s="85">
        <v>27.2</v>
      </c>
      <c r="O149" s="85">
        <v>26.7</v>
      </c>
      <c r="P149" s="94">
        <v>22</v>
      </c>
      <c r="Q149" s="94">
        <v>37.4</v>
      </c>
    </row>
    <row r="150" spans="1:17" hidden="1">
      <c r="A150" s="95" t="str">
        <f t="shared" si="2"/>
        <v xml:space="preserve">PA-Santarém </v>
      </c>
      <c r="B150" s="84" t="s">
        <v>511</v>
      </c>
      <c r="C150" s="83" t="s">
        <v>499</v>
      </c>
      <c r="D150" s="85">
        <v>25.8</v>
      </c>
      <c r="E150" s="85">
        <v>25.5</v>
      </c>
      <c r="F150" s="85">
        <v>25.5</v>
      </c>
      <c r="G150" s="85">
        <v>25.6</v>
      </c>
      <c r="H150" s="85">
        <v>25.7</v>
      </c>
      <c r="I150" s="85">
        <v>25.5</v>
      </c>
      <c r="J150" s="85">
        <v>25.4</v>
      </c>
      <c r="K150" s="85">
        <v>26.1</v>
      </c>
      <c r="L150" s="85">
        <v>26.6</v>
      </c>
      <c r="M150" s="85">
        <v>26.9</v>
      </c>
      <c r="N150" s="85">
        <v>26.9</v>
      </c>
      <c r="O150" s="85">
        <v>26.2</v>
      </c>
      <c r="P150" s="94">
        <v>21.4</v>
      </c>
      <c r="Q150" s="94">
        <v>36.700000000000003</v>
      </c>
    </row>
    <row r="151" spans="1:17" hidden="1">
      <c r="A151" s="95" t="str">
        <f t="shared" si="2"/>
        <v>PA-São Félix do Xingu</v>
      </c>
      <c r="B151" s="84" t="s">
        <v>512</v>
      </c>
      <c r="C151" s="83" t="s">
        <v>499</v>
      </c>
      <c r="D151" s="85">
        <v>24.7</v>
      </c>
      <c r="E151" s="85">
        <v>24.6</v>
      </c>
      <c r="F151" s="85">
        <v>24.8</v>
      </c>
      <c r="G151" s="85">
        <v>25</v>
      </c>
      <c r="H151" s="85">
        <v>25.2</v>
      </c>
      <c r="I151" s="85">
        <v>24.7</v>
      </c>
      <c r="J151" s="85">
        <v>24.6</v>
      </c>
      <c r="K151" s="85">
        <v>25.2</v>
      </c>
      <c r="L151" s="85">
        <v>25.4</v>
      </c>
      <c r="M151" s="85">
        <v>25.3</v>
      </c>
      <c r="N151" s="85">
        <v>25.3</v>
      </c>
      <c r="O151" s="85">
        <v>24.8</v>
      </c>
      <c r="P151" s="94">
        <v>17.399999999999999</v>
      </c>
      <c r="Q151" s="94">
        <v>37.4</v>
      </c>
    </row>
    <row r="152" spans="1:17" hidden="1">
      <c r="A152" s="95" t="str">
        <f t="shared" si="2"/>
        <v>PA-Soure</v>
      </c>
      <c r="B152" s="84" t="s">
        <v>513</v>
      </c>
      <c r="C152" s="83" t="s">
        <v>499</v>
      </c>
      <c r="D152" s="85">
        <v>26.9</v>
      </c>
      <c r="E152" s="85">
        <v>26.3</v>
      </c>
      <c r="F152" s="85">
        <v>26.2</v>
      </c>
      <c r="G152" s="85">
        <v>26.5</v>
      </c>
      <c r="H152" s="85">
        <v>26.9</v>
      </c>
      <c r="I152" s="85">
        <v>27.2</v>
      </c>
      <c r="J152" s="85">
        <v>27.1</v>
      </c>
      <c r="K152" s="85">
        <v>27.6</v>
      </c>
      <c r="L152" s="85">
        <v>27.9</v>
      </c>
      <c r="M152" s="85">
        <v>28.2</v>
      </c>
      <c r="N152" s="85">
        <v>28.2</v>
      </c>
      <c r="O152" s="85">
        <v>27.8</v>
      </c>
      <c r="P152" s="94">
        <v>23.4</v>
      </c>
      <c r="Q152" s="94">
        <v>38</v>
      </c>
    </row>
    <row r="153" spans="1:17" hidden="1">
      <c r="A153" s="95" t="str">
        <f t="shared" si="2"/>
        <v>PA-Tracuateua</v>
      </c>
      <c r="B153" s="84" t="s">
        <v>514</v>
      </c>
      <c r="C153" s="83" t="s">
        <v>499</v>
      </c>
      <c r="D153" s="85">
        <v>25.7</v>
      </c>
      <c r="E153" s="85">
        <v>25</v>
      </c>
      <c r="F153" s="85">
        <v>25</v>
      </c>
      <c r="G153" s="85">
        <v>24.8</v>
      </c>
      <c r="H153" s="85">
        <v>25.1</v>
      </c>
      <c r="I153" s="85">
        <v>25.2</v>
      </c>
      <c r="J153" s="85">
        <v>25.1</v>
      </c>
      <c r="K153" s="85">
        <v>25.4</v>
      </c>
      <c r="L153" s="85">
        <v>25.8</v>
      </c>
      <c r="M153" s="85">
        <v>26.3</v>
      </c>
      <c r="N153" s="85">
        <v>26.5</v>
      </c>
      <c r="O153" s="85">
        <v>26.5</v>
      </c>
      <c r="P153" s="94">
        <v>20.399999999999999</v>
      </c>
      <c r="Q153" s="94">
        <v>37.299999999999997</v>
      </c>
    </row>
    <row r="154" spans="1:17" hidden="1">
      <c r="A154" s="95" t="str">
        <f t="shared" si="2"/>
        <v>PA-Tucuruí</v>
      </c>
      <c r="B154" s="84" t="s">
        <v>515</v>
      </c>
      <c r="C154" s="83" t="s">
        <v>499</v>
      </c>
      <c r="D154" s="85">
        <v>26.1</v>
      </c>
      <c r="E154" s="85">
        <v>25.9</v>
      </c>
      <c r="F154" s="85">
        <v>26.1</v>
      </c>
      <c r="G154" s="85">
        <v>26.3</v>
      </c>
      <c r="H154" s="85">
        <v>26.6</v>
      </c>
      <c r="I154" s="85">
        <v>26.5</v>
      </c>
      <c r="J154" s="85">
        <v>26.3</v>
      </c>
      <c r="K154" s="85">
        <v>26.6</v>
      </c>
      <c r="L154" s="85">
        <v>27</v>
      </c>
      <c r="M154" s="85">
        <v>27.4</v>
      </c>
      <c r="N154" s="85">
        <v>27.2</v>
      </c>
      <c r="O154" s="85">
        <v>26.6</v>
      </c>
      <c r="P154" s="94">
        <v>21.5</v>
      </c>
      <c r="Q154" s="94">
        <v>38</v>
      </c>
    </row>
    <row r="155" spans="1:17" hidden="1">
      <c r="A155" s="95" t="str">
        <f t="shared" si="2"/>
        <v>PB-Campina Grande</v>
      </c>
      <c r="B155" s="84" t="s">
        <v>516</v>
      </c>
      <c r="C155" s="83" t="s">
        <v>517</v>
      </c>
      <c r="D155" s="85">
        <v>23.5</v>
      </c>
      <c r="E155" s="85">
        <v>23.7</v>
      </c>
      <c r="F155" s="85">
        <v>23.5</v>
      </c>
      <c r="G155" s="85">
        <v>23.2</v>
      </c>
      <c r="H155" s="85">
        <v>22.3</v>
      </c>
      <c r="I155" s="85">
        <v>21.3</v>
      </c>
      <c r="J155" s="85">
        <v>20.5</v>
      </c>
      <c r="K155" s="85">
        <v>20.6</v>
      </c>
      <c r="L155" s="85">
        <v>21.3</v>
      </c>
      <c r="M155" s="85">
        <v>22.4</v>
      </c>
      <c r="N155" s="85">
        <v>23.1</v>
      </c>
      <c r="O155" s="85">
        <v>23.4</v>
      </c>
      <c r="P155" s="94">
        <v>17.8</v>
      </c>
      <c r="Q155" s="94">
        <v>34</v>
      </c>
    </row>
    <row r="156" spans="1:17" hidden="1">
      <c r="A156" s="95" t="str">
        <f t="shared" si="2"/>
        <v>PB-João Pessoa</v>
      </c>
      <c r="B156" s="84" t="s">
        <v>518</v>
      </c>
      <c r="C156" s="83" t="s">
        <v>517</v>
      </c>
      <c r="D156" s="85">
        <v>27.1</v>
      </c>
      <c r="E156" s="85">
        <v>27.2</v>
      </c>
      <c r="F156" s="85">
        <v>27</v>
      </c>
      <c r="G156" s="85">
        <v>26.7</v>
      </c>
      <c r="H156" s="85">
        <v>26</v>
      </c>
      <c r="I156" s="85">
        <v>25.2</v>
      </c>
      <c r="J156" s="85">
        <v>24.2</v>
      </c>
      <c r="K156" s="85">
        <v>24.3</v>
      </c>
      <c r="L156" s="85">
        <v>25.1</v>
      </c>
      <c r="M156" s="85">
        <v>26.3</v>
      </c>
      <c r="N156" s="85">
        <v>26.7</v>
      </c>
      <c r="O156" s="85">
        <v>26.9</v>
      </c>
      <c r="P156" s="94">
        <v>20.5</v>
      </c>
      <c r="Q156" s="94">
        <v>34.799999999999997</v>
      </c>
    </row>
    <row r="157" spans="1:17" hidden="1">
      <c r="A157" s="95" t="str">
        <f t="shared" si="2"/>
        <v>PB-Monteiro</v>
      </c>
      <c r="B157" s="84" t="s">
        <v>519</v>
      </c>
      <c r="C157" s="83" t="s">
        <v>517</v>
      </c>
      <c r="D157" s="85">
        <v>25.4</v>
      </c>
      <c r="E157" s="85">
        <v>25</v>
      </c>
      <c r="F157" s="85">
        <v>24.5</v>
      </c>
      <c r="G157" s="85">
        <v>23.9</v>
      </c>
      <c r="H157" s="85">
        <v>22.5</v>
      </c>
      <c r="I157" s="85">
        <v>21.6</v>
      </c>
      <c r="J157" s="85">
        <v>21.1</v>
      </c>
      <c r="K157" s="85">
        <v>21.7</v>
      </c>
      <c r="L157" s="85">
        <v>23</v>
      </c>
      <c r="M157" s="85">
        <v>24.6</v>
      </c>
      <c r="N157" s="85">
        <v>25.2</v>
      </c>
      <c r="O157" s="85">
        <v>25.4</v>
      </c>
      <c r="P157" s="94">
        <v>14.9</v>
      </c>
      <c r="Q157" s="94">
        <v>36.6</v>
      </c>
    </row>
    <row r="158" spans="1:17" hidden="1">
      <c r="A158" s="95" t="str">
        <f t="shared" si="2"/>
        <v>PB-São Gonçalo</v>
      </c>
      <c r="B158" s="84" t="s">
        <v>520</v>
      </c>
      <c r="C158" s="83" t="s">
        <v>517</v>
      </c>
      <c r="D158" s="85">
        <v>27.2</v>
      </c>
      <c r="E158" s="85">
        <v>26.4</v>
      </c>
      <c r="F158" s="85">
        <v>26</v>
      </c>
      <c r="G158" s="85">
        <v>25.9</v>
      </c>
      <c r="H158" s="85">
        <v>25.7</v>
      </c>
      <c r="I158" s="85">
        <v>25.2</v>
      </c>
      <c r="J158" s="85">
        <v>25.2</v>
      </c>
      <c r="K158" s="85">
        <v>26.1</v>
      </c>
      <c r="L158" s="85">
        <v>27.2</v>
      </c>
      <c r="M158" s="85">
        <v>27.7</v>
      </c>
      <c r="N158" s="85">
        <v>27.8</v>
      </c>
      <c r="O158" s="85">
        <v>27.8</v>
      </c>
      <c r="P158" s="94">
        <v>19</v>
      </c>
      <c r="Q158" s="94">
        <v>38.4</v>
      </c>
    </row>
    <row r="159" spans="1:17" hidden="1">
      <c r="A159" s="95" t="str">
        <f t="shared" si="2"/>
        <v>PE-Arcoverde</v>
      </c>
      <c r="B159" s="84" t="s">
        <v>521</v>
      </c>
      <c r="C159" s="83" t="s">
        <v>522</v>
      </c>
      <c r="D159" s="85">
        <v>24.5</v>
      </c>
      <c r="E159" s="85">
        <v>24.2</v>
      </c>
      <c r="F159" s="85">
        <v>24.2</v>
      </c>
      <c r="G159" s="85">
        <v>23.3</v>
      </c>
      <c r="H159" s="85">
        <v>21.9</v>
      </c>
      <c r="I159" s="85">
        <v>20.8</v>
      </c>
      <c r="J159" s="85">
        <v>20.2</v>
      </c>
      <c r="K159" s="85">
        <v>20.7</v>
      </c>
      <c r="L159" s="85">
        <v>22.1</v>
      </c>
      <c r="M159" s="85">
        <v>23.8</v>
      </c>
      <c r="N159" s="85">
        <v>24.5</v>
      </c>
      <c r="O159" s="85">
        <v>24.7</v>
      </c>
      <c r="P159" s="94">
        <v>16.399999999999999</v>
      </c>
      <c r="Q159" s="94">
        <v>35.9</v>
      </c>
    </row>
    <row r="160" spans="1:17" hidden="1">
      <c r="A160" s="95" t="str">
        <f t="shared" si="2"/>
        <v>PE-Cabrobó</v>
      </c>
      <c r="B160" s="84" t="s">
        <v>523</v>
      </c>
      <c r="C160" s="83" t="s">
        <v>522</v>
      </c>
      <c r="D160" s="85">
        <v>27</v>
      </c>
      <c r="E160" s="85">
        <v>26.5</v>
      </c>
      <c r="F160" s="85">
        <v>26.4</v>
      </c>
      <c r="G160" s="85">
        <v>25.6</v>
      </c>
      <c r="H160" s="85">
        <v>24.8</v>
      </c>
      <c r="I160" s="85">
        <v>24</v>
      </c>
      <c r="J160" s="85">
        <v>23.7</v>
      </c>
      <c r="K160" s="85">
        <v>24.5</v>
      </c>
      <c r="L160" s="85">
        <v>26</v>
      </c>
      <c r="M160" s="85">
        <v>27.9</v>
      </c>
      <c r="N160" s="85">
        <v>28.4</v>
      </c>
      <c r="O160" s="85">
        <v>27.7</v>
      </c>
      <c r="P160" s="94">
        <v>19.100000000000001</v>
      </c>
      <c r="Q160" s="94">
        <v>39.5</v>
      </c>
    </row>
    <row r="161" spans="1:17" hidden="1">
      <c r="A161" s="95" t="str">
        <f t="shared" si="2"/>
        <v>PE-Caruaru</v>
      </c>
      <c r="B161" s="84" t="s">
        <v>524</v>
      </c>
      <c r="C161" s="83" t="s">
        <v>522</v>
      </c>
      <c r="D161" s="85">
        <v>23.9</v>
      </c>
      <c r="E161" s="85">
        <v>24.1</v>
      </c>
      <c r="F161" s="85">
        <v>24.1</v>
      </c>
      <c r="G161" s="85">
        <v>23.6</v>
      </c>
      <c r="H161" s="85">
        <v>22.7</v>
      </c>
      <c r="I161" s="85">
        <v>21.6</v>
      </c>
      <c r="J161" s="85">
        <v>20.6</v>
      </c>
      <c r="K161" s="85">
        <v>20.9</v>
      </c>
      <c r="L161" s="85">
        <v>21.7</v>
      </c>
      <c r="M161" s="85">
        <v>23.1</v>
      </c>
      <c r="N161" s="85">
        <v>24</v>
      </c>
      <c r="O161" s="85">
        <v>24.2</v>
      </c>
      <c r="P161" s="94">
        <v>17.3</v>
      </c>
      <c r="Q161" s="94">
        <v>34.799999999999997</v>
      </c>
    </row>
    <row r="162" spans="1:17" hidden="1">
      <c r="A162" s="95" t="str">
        <f t="shared" si="2"/>
        <v>PE-Floresta</v>
      </c>
      <c r="B162" s="84" t="s">
        <v>525</v>
      </c>
      <c r="C162" s="83" t="s">
        <v>522</v>
      </c>
      <c r="D162" s="85">
        <v>27.8</v>
      </c>
      <c r="E162" s="85">
        <v>27.1</v>
      </c>
      <c r="F162" s="85">
        <v>26.9</v>
      </c>
      <c r="G162" s="85">
        <v>26.3</v>
      </c>
      <c r="H162" s="85">
        <v>25</v>
      </c>
      <c r="I162" s="85">
        <v>23.9</v>
      </c>
      <c r="J162" s="85">
        <v>23.2</v>
      </c>
      <c r="K162" s="85">
        <v>24.1</v>
      </c>
      <c r="L162" s="85">
        <v>25.8</v>
      </c>
      <c r="M162" s="85">
        <v>27.9</v>
      </c>
      <c r="N162" s="85">
        <v>28.6</v>
      </c>
      <c r="O162" s="85">
        <v>28.2</v>
      </c>
      <c r="P162" s="94">
        <v>18</v>
      </c>
      <c r="Q162" s="94">
        <v>40</v>
      </c>
    </row>
    <row r="163" spans="1:17" hidden="1">
      <c r="A163" s="95" t="str">
        <f t="shared" si="2"/>
        <v>PE-Garanhuns</v>
      </c>
      <c r="B163" s="84" t="s">
        <v>526</v>
      </c>
      <c r="C163" s="83" t="s">
        <v>522</v>
      </c>
      <c r="D163" s="85">
        <v>22</v>
      </c>
      <c r="E163" s="85">
        <v>22</v>
      </c>
      <c r="F163" s="85">
        <v>21.9</v>
      </c>
      <c r="G163" s="85">
        <v>21.4</v>
      </c>
      <c r="H163" s="85">
        <v>20.3</v>
      </c>
      <c r="I163" s="85">
        <v>19.2</v>
      </c>
      <c r="J163" s="85">
        <v>18.399999999999999</v>
      </c>
      <c r="K163" s="85">
        <v>18.399999999999999</v>
      </c>
      <c r="L163" s="85">
        <v>19.3</v>
      </c>
      <c r="M163" s="85">
        <v>20.8</v>
      </c>
      <c r="N163" s="85">
        <v>21.7</v>
      </c>
      <c r="O163" s="85">
        <v>21.9</v>
      </c>
      <c r="P163" s="94">
        <v>15.6</v>
      </c>
      <c r="Q163" s="94">
        <v>33.9</v>
      </c>
    </row>
    <row r="164" spans="1:17" hidden="1">
      <c r="A164" s="95" t="str">
        <f t="shared" si="2"/>
        <v>PE-Pesqueira</v>
      </c>
      <c r="B164" s="84" t="s">
        <v>527</v>
      </c>
      <c r="C164" s="83" t="s">
        <v>522</v>
      </c>
      <c r="D164" s="85">
        <v>24.4</v>
      </c>
      <c r="E164" s="85">
        <v>24.1</v>
      </c>
      <c r="F164" s="85">
        <v>24</v>
      </c>
      <c r="G164" s="85">
        <v>23.2</v>
      </c>
      <c r="H164" s="85">
        <v>22</v>
      </c>
      <c r="I164" s="85">
        <v>20.8</v>
      </c>
      <c r="J164" s="85">
        <v>20.2</v>
      </c>
      <c r="K164" s="85">
        <v>20.399999999999999</v>
      </c>
      <c r="L164" s="85">
        <v>21.7</v>
      </c>
      <c r="M164" s="85">
        <v>23.2</v>
      </c>
      <c r="N164" s="85">
        <v>24.1</v>
      </c>
      <c r="O164" s="85">
        <v>24.2</v>
      </c>
      <c r="P164" s="94">
        <v>16.5</v>
      </c>
      <c r="Q164" s="94">
        <v>35.9</v>
      </c>
    </row>
    <row r="165" spans="1:17" hidden="1">
      <c r="A165" s="95" t="str">
        <f t="shared" si="2"/>
        <v>PE-Petrolina</v>
      </c>
      <c r="B165" s="84" t="s">
        <v>528</v>
      </c>
      <c r="C165" s="83" t="s">
        <v>522</v>
      </c>
      <c r="D165" s="85">
        <v>27.2</v>
      </c>
      <c r="E165" s="85">
        <v>26.8</v>
      </c>
      <c r="F165" s="85">
        <v>27.1</v>
      </c>
      <c r="G165" s="85">
        <v>26.2</v>
      </c>
      <c r="H165" s="85">
        <v>25.5</v>
      </c>
      <c r="I165" s="85">
        <v>24.5</v>
      </c>
      <c r="J165" s="85">
        <v>24.1</v>
      </c>
      <c r="K165" s="85">
        <v>24.7</v>
      </c>
      <c r="L165" s="85">
        <v>26.2</v>
      </c>
      <c r="M165" s="85">
        <v>27.7</v>
      </c>
      <c r="N165" s="85">
        <v>28.2</v>
      </c>
      <c r="O165" s="85">
        <v>27.6</v>
      </c>
      <c r="P165" s="94">
        <v>19.5</v>
      </c>
      <c r="Q165" s="94">
        <v>44.1</v>
      </c>
    </row>
    <row r="166" spans="1:17" hidden="1">
      <c r="A166" s="95" t="str">
        <f t="shared" si="2"/>
        <v xml:space="preserve">PE-Recife </v>
      </c>
      <c r="B166" s="84" t="s">
        <v>529</v>
      </c>
      <c r="C166" s="83" t="s">
        <v>522</v>
      </c>
      <c r="D166" s="85">
        <v>26.5</v>
      </c>
      <c r="E166" s="85">
        <v>26.5</v>
      </c>
      <c r="F166" s="85">
        <v>26.4</v>
      </c>
      <c r="G166" s="85">
        <v>25.9</v>
      </c>
      <c r="H166" s="85">
        <v>25.2</v>
      </c>
      <c r="I166" s="85">
        <v>24.5</v>
      </c>
      <c r="J166" s="85">
        <v>23.9</v>
      </c>
      <c r="K166" s="85">
        <v>23.9</v>
      </c>
      <c r="L166" s="85">
        <v>24.6</v>
      </c>
      <c r="M166" s="85">
        <v>25.5</v>
      </c>
      <c r="N166" s="85">
        <v>26.1</v>
      </c>
      <c r="O166" s="85">
        <v>26.4</v>
      </c>
      <c r="P166" s="94">
        <v>20.6</v>
      </c>
      <c r="Q166" s="94">
        <v>35.700000000000003</v>
      </c>
    </row>
    <row r="167" spans="1:17" hidden="1">
      <c r="A167" s="95" t="str">
        <f t="shared" si="2"/>
        <v>PE-Surubim</v>
      </c>
      <c r="B167" s="84" t="s">
        <v>530</v>
      </c>
      <c r="C167" s="83" t="s">
        <v>522</v>
      </c>
      <c r="D167" s="85">
        <v>24.8</v>
      </c>
      <c r="E167" s="85">
        <v>24.9</v>
      </c>
      <c r="F167" s="85">
        <v>24.6</v>
      </c>
      <c r="G167" s="85">
        <v>24.3</v>
      </c>
      <c r="H167" s="85">
        <v>23.3</v>
      </c>
      <c r="I167" s="85">
        <v>22.3</v>
      </c>
      <c r="J167" s="85">
        <v>21.6</v>
      </c>
      <c r="K167" s="85">
        <v>21.9</v>
      </c>
      <c r="L167" s="85">
        <v>22.7</v>
      </c>
      <c r="M167" s="85">
        <v>23.8</v>
      </c>
      <c r="N167" s="85">
        <v>24.4</v>
      </c>
      <c r="O167" s="85">
        <v>24.7</v>
      </c>
      <c r="P167" s="94">
        <v>18.2</v>
      </c>
      <c r="Q167" s="94">
        <v>36.4</v>
      </c>
    </row>
    <row r="168" spans="1:17" hidden="1">
      <c r="A168" s="95" t="str">
        <f t="shared" si="2"/>
        <v>PE-Triunfo</v>
      </c>
      <c r="B168" s="84" t="s">
        <v>531</v>
      </c>
      <c r="C168" s="83" t="s">
        <v>522</v>
      </c>
      <c r="D168" s="85">
        <v>22.6</v>
      </c>
      <c r="E168" s="85">
        <v>21.9</v>
      </c>
      <c r="F168" s="85">
        <v>21.5</v>
      </c>
      <c r="G168" s="85">
        <v>21</v>
      </c>
      <c r="H168" s="85">
        <v>20.100000000000001</v>
      </c>
      <c r="I168" s="85">
        <v>19</v>
      </c>
      <c r="J168" s="85">
        <v>18.399999999999999</v>
      </c>
      <c r="K168" s="85">
        <v>19.2</v>
      </c>
      <c r="L168" s="85">
        <v>20.8</v>
      </c>
      <c r="M168" s="85">
        <v>22.5</v>
      </c>
      <c r="N168" s="85">
        <v>23.1</v>
      </c>
      <c r="O168" s="85">
        <v>23</v>
      </c>
      <c r="P168" s="94">
        <v>14.8</v>
      </c>
      <c r="Q168" s="94">
        <v>33.200000000000003</v>
      </c>
    </row>
    <row r="169" spans="1:17" hidden="1">
      <c r="A169" s="95" t="str">
        <f t="shared" si="2"/>
        <v>PI-Bom Jesus do Piauí</v>
      </c>
      <c r="B169" s="84" t="s">
        <v>532</v>
      </c>
      <c r="C169" s="83" t="s">
        <v>533</v>
      </c>
      <c r="D169" s="85">
        <v>25.4</v>
      </c>
      <c r="E169" s="85">
        <v>25.3</v>
      </c>
      <c r="F169" s="85">
        <v>25.5</v>
      </c>
      <c r="G169" s="85">
        <v>25.6</v>
      </c>
      <c r="H169" s="85">
        <v>25.8</v>
      </c>
      <c r="I169" s="85">
        <v>25.5</v>
      </c>
      <c r="J169" s="85">
        <v>25.6</v>
      </c>
      <c r="K169" s="85">
        <v>27</v>
      </c>
      <c r="L169" s="85">
        <v>28.5</v>
      </c>
      <c r="M169" s="85">
        <v>27.7</v>
      </c>
      <c r="N169" s="85">
        <v>26.2</v>
      </c>
      <c r="O169" s="85">
        <v>26</v>
      </c>
      <c r="P169" s="94">
        <v>19</v>
      </c>
      <c r="Q169" s="94">
        <v>39.9</v>
      </c>
    </row>
    <row r="170" spans="1:17" hidden="1">
      <c r="A170" s="95" t="str">
        <f t="shared" si="2"/>
        <v>PI-Floriano</v>
      </c>
      <c r="B170" s="84" t="s">
        <v>534</v>
      </c>
      <c r="C170" s="83" t="s">
        <v>533</v>
      </c>
      <c r="D170" s="85">
        <v>25.5</v>
      </c>
      <c r="E170" s="85">
        <v>25.5</v>
      </c>
      <c r="F170" s="85">
        <v>25.6</v>
      </c>
      <c r="G170" s="85">
        <v>25.9</v>
      </c>
      <c r="H170" s="85">
        <v>26</v>
      </c>
      <c r="I170" s="85">
        <v>25.9</v>
      </c>
      <c r="J170" s="85">
        <v>26.5</v>
      </c>
      <c r="K170" s="85">
        <v>27.7</v>
      </c>
      <c r="L170" s="85">
        <v>29.1</v>
      </c>
      <c r="M170" s="85">
        <v>28.5</v>
      </c>
      <c r="N170" s="85">
        <v>27.2</v>
      </c>
      <c r="O170" s="85">
        <v>26.5</v>
      </c>
      <c r="P170" s="94">
        <v>21.3</v>
      </c>
      <c r="Q170" s="94">
        <v>40.200000000000003</v>
      </c>
    </row>
    <row r="171" spans="1:17" hidden="1">
      <c r="A171" s="95" t="str">
        <f t="shared" si="2"/>
        <v>PI-Picos</v>
      </c>
      <c r="B171" s="84" t="s">
        <v>535</v>
      </c>
      <c r="C171" s="83" t="s">
        <v>533</v>
      </c>
      <c r="D171" s="85">
        <v>26.7</v>
      </c>
      <c r="E171" s="85">
        <v>26.1</v>
      </c>
      <c r="F171" s="85">
        <v>25.8</v>
      </c>
      <c r="G171" s="85">
        <v>26.1</v>
      </c>
      <c r="H171" s="85">
        <v>26.2</v>
      </c>
      <c r="I171" s="85">
        <v>26</v>
      </c>
      <c r="J171" s="85">
        <v>26</v>
      </c>
      <c r="K171" s="85">
        <v>27.1</v>
      </c>
      <c r="L171" s="85">
        <v>28.9</v>
      </c>
      <c r="M171" s="85">
        <v>29.7</v>
      </c>
      <c r="N171" s="85">
        <v>29.2</v>
      </c>
      <c r="O171" s="85">
        <v>27.8</v>
      </c>
      <c r="P171" s="94">
        <v>18.899999999999999</v>
      </c>
      <c r="Q171" s="94">
        <v>40</v>
      </c>
    </row>
    <row r="172" spans="1:17" hidden="1">
      <c r="A172" s="95" t="str">
        <f t="shared" si="2"/>
        <v>PI-Teresina</v>
      </c>
      <c r="B172" s="84" t="s">
        <v>536</v>
      </c>
      <c r="C172" s="83" t="s">
        <v>533</v>
      </c>
      <c r="D172" s="85">
        <v>26.7</v>
      </c>
      <c r="E172" s="85">
        <v>26.1</v>
      </c>
      <c r="F172" s="85">
        <v>26.1</v>
      </c>
      <c r="G172" s="85">
        <v>26.2</v>
      </c>
      <c r="H172" s="85">
        <v>26.4</v>
      </c>
      <c r="I172" s="85">
        <v>26.1</v>
      </c>
      <c r="J172" s="85">
        <v>26.2</v>
      </c>
      <c r="K172" s="85">
        <v>26.8</v>
      </c>
      <c r="L172" s="85">
        <v>28.8</v>
      </c>
      <c r="M172" s="85">
        <v>29.3</v>
      </c>
      <c r="N172" s="85">
        <v>28.8</v>
      </c>
      <c r="O172" s="85">
        <v>28.1</v>
      </c>
      <c r="P172" s="94">
        <v>20.399999999999999</v>
      </c>
      <c r="Q172" s="94">
        <v>40.299999999999997</v>
      </c>
    </row>
    <row r="173" spans="1:17" hidden="1">
      <c r="A173" s="95" t="str">
        <f t="shared" si="2"/>
        <v>PR-Campo Mourão</v>
      </c>
      <c r="B173" s="84" t="s">
        <v>537</v>
      </c>
      <c r="C173" s="83" t="s">
        <v>538</v>
      </c>
      <c r="D173" s="85">
        <v>23.7</v>
      </c>
      <c r="E173" s="85">
        <v>23.7</v>
      </c>
      <c r="F173" s="85">
        <v>23</v>
      </c>
      <c r="G173" s="85">
        <v>20.7</v>
      </c>
      <c r="H173" s="85">
        <v>17.7</v>
      </c>
      <c r="I173" s="85">
        <v>16</v>
      </c>
      <c r="J173" s="85">
        <v>16.100000000000001</v>
      </c>
      <c r="K173" s="85">
        <v>17.5</v>
      </c>
      <c r="L173" s="85">
        <v>19</v>
      </c>
      <c r="M173" s="85">
        <v>21.4</v>
      </c>
      <c r="N173" s="85">
        <v>22.7</v>
      </c>
      <c r="O173" s="85">
        <v>23.3</v>
      </c>
      <c r="P173" s="94">
        <v>10.3</v>
      </c>
      <c r="Q173" s="94">
        <v>39.200000000000003</v>
      </c>
    </row>
    <row r="174" spans="1:17" hidden="1">
      <c r="A174" s="95" t="str">
        <f t="shared" si="2"/>
        <v>PR-Castro</v>
      </c>
      <c r="B174" s="84" t="s">
        <v>539</v>
      </c>
      <c r="C174" s="83" t="s">
        <v>538</v>
      </c>
      <c r="D174" s="85">
        <v>20.5</v>
      </c>
      <c r="E174" s="85">
        <v>20.6</v>
      </c>
      <c r="F174" s="85">
        <v>19.600000000000001</v>
      </c>
      <c r="G174" s="85">
        <v>17.100000000000001</v>
      </c>
      <c r="H174" s="85">
        <v>14.1</v>
      </c>
      <c r="I174" s="85">
        <v>12.6</v>
      </c>
      <c r="J174" s="85">
        <v>12.5</v>
      </c>
      <c r="K174" s="85">
        <v>13.7</v>
      </c>
      <c r="L174" s="85">
        <v>15.3</v>
      </c>
      <c r="M174" s="85">
        <v>17</v>
      </c>
      <c r="N174" s="85">
        <v>18.600000000000001</v>
      </c>
      <c r="O174" s="85">
        <v>19.600000000000001</v>
      </c>
      <c r="P174" s="94">
        <v>6.8</v>
      </c>
      <c r="Q174" s="94">
        <v>35.299999999999997</v>
      </c>
    </row>
    <row r="175" spans="1:17" hidden="1">
      <c r="A175" s="95" t="str">
        <f t="shared" si="2"/>
        <v>PR-Curitiba</v>
      </c>
      <c r="B175" s="84" t="s">
        <v>540</v>
      </c>
      <c r="C175" s="83" t="s">
        <v>538</v>
      </c>
      <c r="D175" s="85">
        <v>20.399999999999999</v>
      </c>
      <c r="E175" s="85">
        <v>20.6</v>
      </c>
      <c r="F175" s="85">
        <v>19.600000000000001</v>
      </c>
      <c r="G175" s="85">
        <v>17.2</v>
      </c>
      <c r="H175" s="85">
        <v>14.5</v>
      </c>
      <c r="I175" s="85">
        <v>13.1</v>
      </c>
      <c r="J175" s="85">
        <v>12.9</v>
      </c>
      <c r="K175" s="85">
        <v>14.1</v>
      </c>
      <c r="L175" s="85">
        <v>15</v>
      </c>
      <c r="M175" s="85">
        <v>16.5</v>
      </c>
      <c r="N175" s="85">
        <v>18.2</v>
      </c>
      <c r="O175" s="85">
        <v>19.3</v>
      </c>
      <c r="P175" s="94">
        <v>8.1</v>
      </c>
      <c r="Q175" s="94">
        <v>34.799999999999997</v>
      </c>
    </row>
    <row r="176" spans="1:17" hidden="1">
      <c r="A176" s="95" t="str">
        <f t="shared" si="2"/>
        <v>PR-Foz do lguaçu</v>
      </c>
      <c r="B176" s="84" t="s">
        <v>541</v>
      </c>
      <c r="C176" s="83" t="s">
        <v>538</v>
      </c>
      <c r="D176" s="85">
        <v>25.5</v>
      </c>
      <c r="E176" s="85">
        <v>25.4</v>
      </c>
      <c r="F176" s="85">
        <v>23.8</v>
      </c>
      <c r="G176" s="85">
        <v>20.8</v>
      </c>
      <c r="H176" s="85">
        <v>17.7</v>
      </c>
      <c r="I176" s="85">
        <v>15.8</v>
      </c>
      <c r="J176" s="85">
        <v>15.7</v>
      </c>
      <c r="K176" s="85">
        <v>17.5</v>
      </c>
      <c r="L176" s="85">
        <v>19</v>
      </c>
      <c r="M176" s="85">
        <v>21.4</v>
      </c>
      <c r="N176" s="85">
        <v>23.1</v>
      </c>
      <c r="O176" s="85">
        <v>25.1</v>
      </c>
      <c r="P176" s="94">
        <v>9.6999999999999993</v>
      </c>
      <c r="Q176" s="94">
        <v>40</v>
      </c>
    </row>
    <row r="177" spans="1:17" hidden="1">
      <c r="A177" s="95" t="str">
        <f t="shared" si="2"/>
        <v>PR-Guaíra</v>
      </c>
      <c r="B177" s="84" t="s">
        <v>542</v>
      </c>
      <c r="C177" s="83" t="s">
        <v>538</v>
      </c>
      <c r="D177" s="85">
        <v>25.6</v>
      </c>
      <c r="E177" s="85">
        <v>25.5</v>
      </c>
      <c r="F177" s="85">
        <v>24.7</v>
      </c>
      <c r="G177" s="85">
        <v>21.9</v>
      </c>
      <c r="H177" s="85">
        <v>18.7</v>
      </c>
      <c r="I177" s="85">
        <v>16.8</v>
      </c>
      <c r="J177" s="85">
        <v>17</v>
      </c>
      <c r="K177" s="85">
        <v>18.3</v>
      </c>
      <c r="L177" s="85">
        <v>19.899999999999999</v>
      </c>
      <c r="M177" s="85">
        <v>22.4</v>
      </c>
      <c r="N177" s="85">
        <v>23.9</v>
      </c>
      <c r="O177" s="85">
        <v>25.1</v>
      </c>
      <c r="P177" s="94">
        <v>11.7</v>
      </c>
      <c r="Q177" s="94">
        <v>40</v>
      </c>
    </row>
    <row r="178" spans="1:17" hidden="1">
      <c r="A178" s="95" t="str">
        <f t="shared" si="2"/>
        <v>PR-Guarapuava</v>
      </c>
      <c r="B178" s="84" t="s">
        <v>543</v>
      </c>
      <c r="C178" s="83" t="s">
        <v>538</v>
      </c>
      <c r="D178" s="85">
        <v>20.2</v>
      </c>
      <c r="E178" s="85">
        <v>20.2</v>
      </c>
      <c r="F178" s="85">
        <v>19.3</v>
      </c>
      <c r="G178" s="85">
        <v>16.7</v>
      </c>
      <c r="H178" s="85">
        <v>14.4</v>
      </c>
      <c r="I178" s="85">
        <v>12.6</v>
      </c>
      <c r="J178" s="85">
        <v>12.3</v>
      </c>
      <c r="K178" s="85">
        <v>14.5</v>
      </c>
      <c r="L178" s="85">
        <v>15.8</v>
      </c>
      <c r="M178" s="85">
        <v>17.100000000000001</v>
      </c>
      <c r="N178" s="85">
        <v>18.5</v>
      </c>
      <c r="O178" s="85">
        <v>19.5</v>
      </c>
      <c r="P178" s="94">
        <v>7.5</v>
      </c>
      <c r="Q178" s="94">
        <v>39</v>
      </c>
    </row>
    <row r="179" spans="1:17" hidden="1">
      <c r="A179" s="95" t="str">
        <f t="shared" si="2"/>
        <v>PR-Irati</v>
      </c>
      <c r="B179" s="84" t="s">
        <v>544</v>
      </c>
      <c r="C179" s="83" t="s">
        <v>538</v>
      </c>
      <c r="D179" s="85">
        <v>20.399999999999999</v>
      </c>
      <c r="E179" s="85">
        <v>20.7</v>
      </c>
      <c r="F179" s="85">
        <v>19.7</v>
      </c>
      <c r="G179" s="85">
        <v>16.5</v>
      </c>
      <c r="H179" s="85">
        <v>14.5</v>
      </c>
      <c r="I179" s="85">
        <v>13.1</v>
      </c>
      <c r="J179" s="85">
        <v>13.3</v>
      </c>
      <c r="K179" s="85">
        <v>14</v>
      </c>
      <c r="L179" s="85">
        <v>15.5</v>
      </c>
      <c r="M179" s="85">
        <v>17.100000000000001</v>
      </c>
      <c r="N179" s="85">
        <v>18.600000000000001</v>
      </c>
      <c r="O179" s="85">
        <v>19.8</v>
      </c>
      <c r="P179" s="94">
        <v>8.3000000000000007</v>
      </c>
      <c r="Q179" s="94">
        <v>33.299999999999997</v>
      </c>
    </row>
    <row r="180" spans="1:17" hidden="1">
      <c r="A180" s="95" t="str">
        <f t="shared" si="2"/>
        <v>PR-Ivaí</v>
      </c>
      <c r="B180" s="84" t="s">
        <v>545</v>
      </c>
      <c r="C180" s="83" t="s">
        <v>538</v>
      </c>
      <c r="D180" s="85">
        <v>21.6</v>
      </c>
      <c r="E180" s="85">
        <v>21.3</v>
      </c>
      <c r="F180" s="85">
        <v>20.399999999999999</v>
      </c>
      <c r="G180" s="85">
        <v>18.3</v>
      </c>
      <c r="H180" s="85">
        <v>15.1</v>
      </c>
      <c r="I180" s="85">
        <v>13.2</v>
      </c>
      <c r="J180" s="85">
        <v>13.7</v>
      </c>
      <c r="K180" s="85">
        <v>15</v>
      </c>
      <c r="L180" s="85">
        <v>16.5</v>
      </c>
      <c r="M180" s="85">
        <v>18.600000000000001</v>
      </c>
      <c r="N180" s="85">
        <v>19.899999999999999</v>
      </c>
      <c r="O180" s="85">
        <v>20.7</v>
      </c>
      <c r="P180" s="94">
        <v>8.1</v>
      </c>
      <c r="Q180" s="94">
        <v>38.200000000000003</v>
      </c>
    </row>
    <row r="181" spans="1:17" hidden="1">
      <c r="A181" s="95" t="str">
        <f t="shared" si="2"/>
        <v>PR-Jacarezinho</v>
      </c>
      <c r="B181" s="84" t="s">
        <v>546</v>
      </c>
      <c r="C181" s="83" t="s">
        <v>538</v>
      </c>
      <c r="D181" s="85">
        <v>24.6</v>
      </c>
      <c r="E181" s="85">
        <v>24.8</v>
      </c>
      <c r="F181" s="85">
        <v>24</v>
      </c>
      <c r="G181" s="85">
        <v>21.7</v>
      </c>
      <c r="H181" s="85">
        <v>18.7</v>
      </c>
      <c r="I181" s="85">
        <v>17</v>
      </c>
      <c r="J181" s="85">
        <v>17.100000000000001</v>
      </c>
      <c r="K181" s="85">
        <v>18.7</v>
      </c>
      <c r="L181" s="85">
        <v>20.5</v>
      </c>
      <c r="M181" s="85">
        <v>22</v>
      </c>
      <c r="N181" s="85">
        <v>23.3</v>
      </c>
      <c r="O181" s="85">
        <v>23.9</v>
      </c>
      <c r="P181" s="94">
        <v>11.1</v>
      </c>
      <c r="Q181" s="94">
        <v>39.4</v>
      </c>
    </row>
    <row r="182" spans="1:17" hidden="1">
      <c r="A182" s="95" t="str">
        <f t="shared" si="2"/>
        <v>PR-Londrina</v>
      </c>
      <c r="B182" s="84" t="s">
        <v>547</v>
      </c>
      <c r="C182" s="83" t="s">
        <v>538</v>
      </c>
      <c r="D182" s="85">
        <v>23.9</v>
      </c>
      <c r="E182" s="85">
        <v>24.1</v>
      </c>
      <c r="F182" s="85">
        <v>23.4</v>
      </c>
      <c r="G182" s="85">
        <v>21.3</v>
      </c>
      <c r="H182" s="85">
        <v>18.3</v>
      </c>
      <c r="I182" s="85">
        <v>16.7</v>
      </c>
      <c r="J182" s="85">
        <v>16.7</v>
      </c>
      <c r="K182" s="85">
        <v>18.399999999999999</v>
      </c>
      <c r="L182" s="85">
        <v>20</v>
      </c>
      <c r="M182" s="85">
        <v>21.5</v>
      </c>
      <c r="N182" s="85">
        <v>22.9</v>
      </c>
      <c r="O182" s="85">
        <v>23.4</v>
      </c>
      <c r="P182" s="94">
        <v>11.1</v>
      </c>
      <c r="Q182" s="94">
        <v>39.299999999999997</v>
      </c>
    </row>
    <row r="183" spans="1:17" hidden="1">
      <c r="A183" s="95" t="str">
        <f t="shared" si="2"/>
        <v>PR-Maringá</v>
      </c>
      <c r="B183" s="84" t="s">
        <v>548</v>
      </c>
      <c r="C183" s="83" t="s">
        <v>538</v>
      </c>
      <c r="D183" s="85">
        <v>24.5</v>
      </c>
      <c r="E183" s="85">
        <v>24.5</v>
      </c>
      <c r="F183" s="85">
        <v>24</v>
      </c>
      <c r="G183" s="85">
        <v>22</v>
      </c>
      <c r="H183" s="85">
        <v>19.5</v>
      </c>
      <c r="I183" s="85">
        <v>17.8</v>
      </c>
      <c r="J183" s="85">
        <v>18</v>
      </c>
      <c r="K183" s="85">
        <v>19.600000000000001</v>
      </c>
      <c r="L183" s="85">
        <v>20.5</v>
      </c>
      <c r="M183" s="85">
        <v>22.3</v>
      </c>
      <c r="N183" s="85">
        <v>23.6</v>
      </c>
      <c r="O183" s="85">
        <v>24</v>
      </c>
      <c r="P183" s="94">
        <v>13.2</v>
      </c>
      <c r="Q183" s="94">
        <v>39.4</v>
      </c>
    </row>
    <row r="184" spans="1:17" hidden="1">
      <c r="A184" s="95" t="str">
        <f t="shared" si="2"/>
        <v>PR-Palmas</v>
      </c>
      <c r="B184" s="84" t="s">
        <v>549</v>
      </c>
      <c r="C184" s="83" t="s">
        <v>538</v>
      </c>
      <c r="D184" s="85">
        <v>19.3</v>
      </c>
      <c r="E184" s="85">
        <v>19.3</v>
      </c>
      <c r="F184" s="85">
        <v>17.899999999999999</v>
      </c>
      <c r="G184" s="85">
        <v>14.8</v>
      </c>
      <c r="H184" s="85">
        <v>12.2</v>
      </c>
      <c r="I184" s="85">
        <v>10.7</v>
      </c>
      <c r="J184" s="85">
        <v>10.4</v>
      </c>
      <c r="K184" s="85">
        <v>11.3</v>
      </c>
      <c r="L184" s="85">
        <v>13.7</v>
      </c>
      <c r="M184" s="85">
        <v>15.5</v>
      </c>
      <c r="N184" s="85">
        <v>17.2</v>
      </c>
      <c r="O184" s="85">
        <v>18.5</v>
      </c>
      <c r="P184" s="94">
        <v>4.7</v>
      </c>
      <c r="Q184" s="94">
        <v>38.799999999999997</v>
      </c>
    </row>
    <row r="185" spans="1:17" hidden="1">
      <c r="A185" s="95" t="str">
        <f t="shared" si="2"/>
        <v>PR-Paranaguá</v>
      </c>
      <c r="B185" s="84" t="s">
        <v>550</v>
      </c>
      <c r="C185" s="83" t="s">
        <v>538</v>
      </c>
      <c r="D185" s="85">
        <v>25</v>
      </c>
      <c r="E185" s="85">
        <v>25.3</v>
      </c>
      <c r="F185" s="85">
        <v>24.4</v>
      </c>
      <c r="G185" s="85">
        <v>22.1</v>
      </c>
      <c r="H185" s="85">
        <v>19.8</v>
      </c>
      <c r="I185" s="85">
        <v>17.7</v>
      </c>
      <c r="J185" s="85">
        <v>17.2</v>
      </c>
      <c r="K185" s="85">
        <v>17.8</v>
      </c>
      <c r="L185" s="85">
        <v>18.7</v>
      </c>
      <c r="M185" s="85">
        <v>20.399999999999999</v>
      </c>
      <c r="N185" s="85">
        <v>22.3</v>
      </c>
      <c r="O185" s="85">
        <v>23.9</v>
      </c>
      <c r="P185" s="94">
        <v>13.8</v>
      </c>
      <c r="Q185" s="94">
        <v>40</v>
      </c>
    </row>
    <row r="186" spans="1:17" hidden="1">
      <c r="A186" s="95" t="str">
        <f t="shared" si="2"/>
        <v>PR-Ponta Grossa</v>
      </c>
      <c r="B186" s="84" t="s">
        <v>551</v>
      </c>
      <c r="C186" s="83" t="s">
        <v>538</v>
      </c>
      <c r="D186" s="85">
        <v>21.5</v>
      </c>
      <c r="E186" s="85">
        <v>21.5</v>
      </c>
      <c r="F186" s="85">
        <v>20.5</v>
      </c>
      <c r="G186" s="85">
        <v>17.5</v>
      </c>
      <c r="H186" s="85">
        <v>15</v>
      </c>
      <c r="I186" s="85">
        <v>13.7</v>
      </c>
      <c r="J186" s="85">
        <v>13.4</v>
      </c>
      <c r="K186" s="85">
        <v>15.1</v>
      </c>
      <c r="L186" s="85">
        <v>17</v>
      </c>
      <c r="M186" s="85">
        <v>17.899999999999999</v>
      </c>
      <c r="N186" s="85">
        <v>19.600000000000001</v>
      </c>
      <c r="O186" s="85">
        <v>20.5</v>
      </c>
      <c r="P186" s="94">
        <v>8.4</v>
      </c>
      <c r="Q186" s="94">
        <v>34.5</v>
      </c>
    </row>
    <row r="187" spans="1:17" hidden="1">
      <c r="A187" s="95" t="str">
        <f t="shared" si="2"/>
        <v>PR-Rio Negro</v>
      </c>
      <c r="B187" s="84" t="s">
        <v>552</v>
      </c>
      <c r="C187" s="83" t="s">
        <v>538</v>
      </c>
      <c r="D187" s="85">
        <v>20.399999999999999</v>
      </c>
      <c r="E187" s="85">
        <v>20.7</v>
      </c>
      <c r="F187" s="85">
        <v>19.5</v>
      </c>
      <c r="G187" s="85">
        <v>16.7</v>
      </c>
      <c r="H187" s="85">
        <v>13.9</v>
      </c>
      <c r="I187" s="85">
        <v>12.6</v>
      </c>
      <c r="J187" s="85">
        <v>12.4</v>
      </c>
      <c r="K187" s="85">
        <v>13.5</v>
      </c>
      <c r="L187" s="85">
        <v>15.1</v>
      </c>
      <c r="M187" s="85">
        <v>16.600000000000001</v>
      </c>
      <c r="N187" s="85">
        <v>18.399999999999999</v>
      </c>
      <c r="O187" s="85">
        <v>19.7</v>
      </c>
      <c r="P187" s="94">
        <v>7.2</v>
      </c>
      <c r="Q187" s="94">
        <v>39.5</v>
      </c>
    </row>
    <row r="188" spans="1:17" hidden="1">
      <c r="A188" s="95" t="str">
        <f t="shared" si="2"/>
        <v>PR-São Mateus do Sul</v>
      </c>
      <c r="B188" s="84" t="s">
        <v>553</v>
      </c>
      <c r="C188" s="83" t="s">
        <v>538</v>
      </c>
      <c r="D188" s="85">
        <v>21.3</v>
      </c>
      <c r="E188" s="85">
        <v>21.2</v>
      </c>
      <c r="F188" s="85">
        <v>20.100000000000001</v>
      </c>
      <c r="G188" s="85">
        <v>16.8</v>
      </c>
      <c r="H188" s="85">
        <v>14</v>
      </c>
      <c r="I188" s="85">
        <v>12.7</v>
      </c>
      <c r="J188" s="85">
        <v>12.3</v>
      </c>
      <c r="K188" s="85">
        <v>13.9</v>
      </c>
      <c r="L188" s="85">
        <v>15.9</v>
      </c>
      <c r="M188" s="85">
        <v>17.399999999999999</v>
      </c>
      <c r="N188" s="85">
        <v>19.3</v>
      </c>
      <c r="O188" s="85">
        <v>20.399999999999999</v>
      </c>
      <c r="P188" s="94">
        <v>7.2</v>
      </c>
      <c r="Q188" s="94">
        <v>36.299999999999997</v>
      </c>
    </row>
    <row r="189" spans="1:17" hidden="1">
      <c r="A189" s="95" t="str">
        <f t="shared" si="2"/>
        <v>PR-Toledo</v>
      </c>
      <c r="B189" s="84" t="s">
        <v>554</v>
      </c>
      <c r="C189" s="83" t="s">
        <v>538</v>
      </c>
      <c r="D189" s="85">
        <v>24.4</v>
      </c>
      <c r="E189" s="85">
        <v>24</v>
      </c>
      <c r="F189" s="85">
        <v>23.4</v>
      </c>
      <c r="G189" s="85">
        <v>20.7</v>
      </c>
      <c r="H189" s="85">
        <v>17.7</v>
      </c>
      <c r="I189" s="85">
        <v>15.7</v>
      </c>
      <c r="J189" s="85">
        <v>17.100000000000001</v>
      </c>
      <c r="K189" s="85">
        <v>17.100000000000001</v>
      </c>
      <c r="L189" s="85">
        <v>18.899999999999999</v>
      </c>
      <c r="M189" s="85">
        <v>21.6</v>
      </c>
      <c r="N189" s="85">
        <v>22.7</v>
      </c>
      <c r="O189" s="85">
        <v>23.4</v>
      </c>
      <c r="P189" s="94">
        <v>11.4</v>
      </c>
      <c r="Q189" s="94">
        <v>38</v>
      </c>
    </row>
    <row r="190" spans="1:17" hidden="1">
      <c r="A190" s="95" t="str">
        <f t="shared" si="2"/>
        <v>RJ-Alto da Boa Vista</v>
      </c>
      <c r="B190" s="84" t="s">
        <v>555</v>
      </c>
      <c r="C190" s="83" t="s">
        <v>556</v>
      </c>
      <c r="D190" s="85">
        <v>24.5</v>
      </c>
      <c r="E190" s="85">
        <v>24.6</v>
      </c>
      <c r="F190" s="85" t="s">
        <v>557</v>
      </c>
      <c r="G190" s="85">
        <v>21.2</v>
      </c>
      <c r="H190" s="85">
        <v>19.5</v>
      </c>
      <c r="I190" s="85">
        <v>19</v>
      </c>
      <c r="J190" s="85">
        <v>18.5</v>
      </c>
      <c r="K190" s="85">
        <v>19</v>
      </c>
      <c r="L190" s="85">
        <v>19.3</v>
      </c>
      <c r="M190" s="85">
        <v>20.2</v>
      </c>
      <c r="N190" s="85">
        <v>21.3</v>
      </c>
      <c r="O190" s="85">
        <v>22.8</v>
      </c>
      <c r="P190" s="94">
        <v>14.9</v>
      </c>
      <c r="Q190" s="94">
        <v>38.6</v>
      </c>
    </row>
    <row r="191" spans="1:17" hidden="1">
      <c r="A191" s="95" t="str">
        <f t="shared" si="2"/>
        <v>RJ-Angra dos Reis</v>
      </c>
      <c r="B191" s="84" t="s">
        <v>558</v>
      </c>
      <c r="C191" s="83" t="s">
        <v>556</v>
      </c>
      <c r="D191" s="85">
        <v>25.9</v>
      </c>
      <c r="E191" s="85">
        <v>26.4</v>
      </c>
      <c r="F191" s="85">
        <v>25.7</v>
      </c>
      <c r="G191" s="85">
        <v>23.8</v>
      </c>
      <c r="H191" s="85">
        <v>22.1</v>
      </c>
      <c r="I191" s="85">
        <v>20.7</v>
      </c>
      <c r="J191" s="85">
        <v>20.2</v>
      </c>
      <c r="K191" s="85">
        <v>20.8</v>
      </c>
      <c r="L191" s="85">
        <v>21.4</v>
      </c>
      <c r="M191" s="85">
        <v>22.3</v>
      </c>
      <c r="N191" s="85">
        <v>23.5</v>
      </c>
      <c r="O191" s="85">
        <v>24.9</v>
      </c>
      <c r="P191" s="94">
        <v>16.5</v>
      </c>
      <c r="Q191" s="94">
        <v>39.299999999999997</v>
      </c>
    </row>
    <row r="192" spans="1:17" hidden="1">
      <c r="A192" s="95" t="str">
        <f t="shared" si="2"/>
        <v>RJ-Araras</v>
      </c>
      <c r="B192" s="84" t="s">
        <v>559</v>
      </c>
      <c r="C192" s="83" t="s">
        <v>556</v>
      </c>
      <c r="D192" s="85">
        <v>21.7</v>
      </c>
      <c r="E192" s="85">
        <v>21.9</v>
      </c>
      <c r="F192" s="85">
        <v>21.1</v>
      </c>
      <c r="G192" s="85">
        <v>18.899999999999999</v>
      </c>
      <c r="H192" s="85">
        <v>15.9</v>
      </c>
      <c r="I192" s="85">
        <v>14.8</v>
      </c>
      <c r="J192" s="85">
        <v>14</v>
      </c>
      <c r="K192" s="85">
        <v>15.5</v>
      </c>
      <c r="L192" s="85">
        <v>17.7</v>
      </c>
      <c r="M192" s="85">
        <v>19</v>
      </c>
      <c r="N192" s="85">
        <v>19.8</v>
      </c>
      <c r="O192" s="85">
        <v>21</v>
      </c>
      <c r="P192" s="94">
        <v>8.1999999999999993</v>
      </c>
      <c r="Q192" s="94">
        <v>35.1</v>
      </c>
    </row>
    <row r="193" spans="1:17" hidden="1">
      <c r="A193" s="95" t="str">
        <f t="shared" si="2"/>
        <v>RJ-Bangu</v>
      </c>
      <c r="B193" s="84" t="s">
        <v>560</v>
      </c>
      <c r="C193" s="83" t="s">
        <v>556</v>
      </c>
      <c r="D193" s="85">
        <v>27</v>
      </c>
      <c r="E193" s="85">
        <v>27.1</v>
      </c>
      <c r="F193" s="85">
        <v>26.4</v>
      </c>
      <c r="G193" s="85">
        <v>24.2</v>
      </c>
      <c r="H193" s="85">
        <v>22</v>
      </c>
      <c r="I193" s="85">
        <v>21.1</v>
      </c>
      <c r="J193" s="85">
        <v>20.5</v>
      </c>
      <c r="K193" s="85">
        <v>21.8</v>
      </c>
      <c r="L193" s="85">
        <v>22.5</v>
      </c>
      <c r="M193" s="85">
        <v>23.4</v>
      </c>
      <c r="N193" s="85">
        <v>24.3</v>
      </c>
      <c r="O193" s="85">
        <v>25.9</v>
      </c>
      <c r="P193" s="94">
        <v>16.399999999999999</v>
      </c>
      <c r="Q193" s="94">
        <v>43.1</v>
      </c>
    </row>
    <row r="194" spans="1:17" hidden="1">
      <c r="A194" s="95" t="str">
        <f t="shared" si="2"/>
        <v>RJ-Barreirinha</v>
      </c>
      <c r="B194" s="84" t="s">
        <v>561</v>
      </c>
      <c r="C194" s="83" t="s">
        <v>556</v>
      </c>
      <c r="D194" s="85">
        <v>21.8</v>
      </c>
      <c r="E194" s="85">
        <v>22</v>
      </c>
      <c r="F194" s="85">
        <v>21.3</v>
      </c>
      <c r="G194" s="85">
        <v>19.2</v>
      </c>
      <c r="H194" s="85">
        <v>17</v>
      </c>
      <c r="I194" s="85">
        <v>16.2</v>
      </c>
      <c r="J194" s="85">
        <v>15.5</v>
      </c>
      <c r="K194" s="85">
        <v>17.100000000000001</v>
      </c>
      <c r="L194" s="85">
        <v>18.3</v>
      </c>
      <c r="M194" s="85">
        <v>19</v>
      </c>
      <c r="N194" s="85">
        <v>20</v>
      </c>
      <c r="O194" s="85">
        <v>21</v>
      </c>
      <c r="P194" s="94">
        <v>11.1</v>
      </c>
      <c r="Q194" s="94">
        <v>36.200000000000003</v>
      </c>
    </row>
    <row r="195" spans="1:17" hidden="1">
      <c r="A195" s="95" t="str">
        <f t="shared" si="2"/>
        <v>RJ-Cabo Frio (Alcalis)</v>
      </c>
      <c r="B195" s="84" t="s">
        <v>562</v>
      </c>
      <c r="C195" s="83" t="s">
        <v>556</v>
      </c>
      <c r="D195" s="85">
        <v>25</v>
      </c>
      <c r="E195" s="85">
        <v>25.2</v>
      </c>
      <c r="F195" s="85">
        <v>25.3</v>
      </c>
      <c r="G195" s="85">
        <v>24.1</v>
      </c>
      <c r="H195" s="85">
        <v>22.6</v>
      </c>
      <c r="I195" s="85">
        <v>21.6</v>
      </c>
      <c r="J195" s="85">
        <v>21.1</v>
      </c>
      <c r="K195" s="85">
        <v>21</v>
      </c>
      <c r="L195" s="85">
        <v>21.2</v>
      </c>
      <c r="M195" s="85">
        <v>22</v>
      </c>
      <c r="N195" s="85">
        <v>23.3</v>
      </c>
      <c r="O195" s="85">
        <v>24.4</v>
      </c>
      <c r="P195" s="94">
        <v>18.600000000000001</v>
      </c>
      <c r="Q195" s="94">
        <v>37.4</v>
      </c>
    </row>
    <row r="196" spans="1:17" hidden="1">
      <c r="A196" s="95" t="str">
        <f t="shared" si="2"/>
        <v xml:space="preserve">RJ-Campos </v>
      </c>
      <c r="B196" s="84" t="s">
        <v>563</v>
      </c>
      <c r="C196" s="83" t="s">
        <v>556</v>
      </c>
      <c r="D196" s="85">
        <v>26.2</v>
      </c>
      <c r="E196" s="85">
        <v>26.6</v>
      </c>
      <c r="F196" s="85">
        <v>26.3</v>
      </c>
      <c r="G196" s="85">
        <v>24.3</v>
      </c>
      <c r="H196" s="85">
        <v>22.6</v>
      </c>
      <c r="I196" s="85">
        <v>21.4</v>
      </c>
      <c r="J196" s="85">
        <v>20.7</v>
      </c>
      <c r="K196" s="85">
        <v>21.6</v>
      </c>
      <c r="L196" s="85">
        <v>22.2</v>
      </c>
      <c r="M196" s="85">
        <v>23.2</v>
      </c>
      <c r="N196" s="85">
        <v>24.4</v>
      </c>
      <c r="O196" s="85">
        <v>25.3</v>
      </c>
      <c r="P196" s="94">
        <v>16.899999999999999</v>
      </c>
      <c r="Q196" s="94">
        <v>40.6</v>
      </c>
    </row>
    <row r="197" spans="1:17" hidden="1">
      <c r="A197" s="95" t="str">
        <f t="shared" si="2"/>
        <v>RJ-Carmo</v>
      </c>
      <c r="B197" s="84" t="s">
        <v>564</v>
      </c>
      <c r="C197" s="83" t="s">
        <v>556</v>
      </c>
      <c r="D197" s="85">
        <v>25.2</v>
      </c>
      <c r="E197" s="85">
        <v>25.5</v>
      </c>
      <c r="F197" s="85">
        <v>24.9</v>
      </c>
      <c r="G197" s="85">
        <v>22.6</v>
      </c>
      <c r="H197" s="85">
        <v>20.3</v>
      </c>
      <c r="I197" s="85">
        <v>19</v>
      </c>
      <c r="J197" s="85">
        <v>18.399999999999999</v>
      </c>
      <c r="K197" s="85">
        <v>19.8</v>
      </c>
      <c r="L197" s="85">
        <v>21.3</v>
      </c>
      <c r="M197" s="85">
        <v>22.1</v>
      </c>
      <c r="N197" s="85">
        <v>23.2</v>
      </c>
      <c r="O197" s="85">
        <v>24.2</v>
      </c>
      <c r="P197" s="94">
        <v>12.8</v>
      </c>
      <c r="Q197" s="94">
        <v>41</v>
      </c>
    </row>
    <row r="198" spans="1:17" hidden="1">
      <c r="A198" s="95" t="str">
        <f t="shared" si="2"/>
        <v>RJ-Cordeiro</v>
      </c>
      <c r="B198" s="84" t="s">
        <v>565</v>
      </c>
      <c r="C198" s="83" t="s">
        <v>556</v>
      </c>
      <c r="D198" s="85">
        <v>23.5</v>
      </c>
      <c r="E198" s="85">
        <v>23.9</v>
      </c>
      <c r="F198" s="85">
        <v>23.2</v>
      </c>
      <c r="G198" s="85">
        <v>20.8</v>
      </c>
      <c r="H198" s="85">
        <v>18.7</v>
      </c>
      <c r="I198" s="85">
        <v>17.3</v>
      </c>
      <c r="J198" s="85">
        <v>16.7</v>
      </c>
      <c r="K198" s="85">
        <v>18.100000000000001</v>
      </c>
      <c r="L198" s="85">
        <v>19.100000000000001</v>
      </c>
      <c r="M198" s="85">
        <v>20.7</v>
      </c>
      <c r="N198" s="85">
        <v>22</v>
      </c>
      <c r="O198" s="85">
        <v>22.8</v>
      </c>
      <c r="P198" s="94">
        <v>11.9</v>
      </c>
      <c r="Q198" s="94">
        <v>37.200000000000003</v>
      </c>
    </row>
    <row r="199" spans="1:17" hidden="1">
      <c r="A199" s="95" t="str">
        <f t="shared" si="2"/>
        <v>RJ-Ecologia Agrícola</v>
      </c>
      <c r="B199" s="84" t="s">
        <v>566</v>
      </c>
      <c r="C199" s="83" t="s">
        <v>556</v>
      </c>
      <c r="D199" s="85">
        <v>26.1</v>
      </c>
      <c r="E199" s="85">
        <v>26.4</v>
      </c>
      <c r="F199" s="85">
        <v>25.6</v>
      </c>
      <c r="G199" s="85">
        <v>23.4</v>
      </c>
      <c r="H199" s="85">
        <v>21.5</v>
      </c>
      <c r="I199" s="85">
        <v>20.6</v>
      </c>
      <c r="J199" s="85">
        <v>20.2</v>
      </c>
      <c r="K199" s="85">
        <v>21.1</v>
      </c>
      <c r="L199" s="85">
        <v>21.9</v>
      </c>
      <c r="M199" s="85">
        <v>22.6</v>
      </c>
      <c r="N199" s="85">
        <v>23.8</v>
      </c>
      <c r="O199" s="85">
        <v>25</v>
      </c>
      <c r="P199" s="94">
        <v>15.7</v>
      </c>
      <c r="Q199" s="94">
        <v>41</v>
      </c>
    </row>
    <row r="200" spans="1:17" hidden="1">
      <c r="A200" s="95" t="str">
        <f t="shared" ref="A200:A261" si="3">CONCATENATE(C200,"-",B200)</f>
        <v>RJ-Engenho de Dentro</v>
      </c>
      <c r="B200" s="84" t="s">
        <v>567</v>
      </c>
      <c r="C200" s="83" t="s">
        <v>556</v>
      </c>
      <c r="D200" s="85">
        <v>27</v>
      </c>
      <c r="E200" s="85">
        <v>27.2</v>
      </c>
      <c r="F200" s="85">
        <v>26.4</v>
      </c>
      <c r="G200" s="85">
        <v>24.3</v>
      </c>
      <c r="H200" s="85">
        <v>22.2</v>
      </c>
      <c r="I200" s="85">
        <v>21.3</v>
      </c>
      <c r="J200" s="85">
        <v>20.8</v>
      </c>
      <c r="K200" s="85">
        <v>22</v>
      </c>
      <c r="L200" s="85">
        <v>22.9</v>
      </c>
      <c r="M200" s="85">
        <v>23.5</v>
      </c>
      <c r="N200" s="85">
        <v>24.1</v>
      </c>
      <c r="O200" s="85">
        <v>25.9</v>
      </c>
      <c r="P200" s="94">
        <v>16.3</v>
      </c>
      <c r="Q200" s="94">
        <v>40</v>
      </c>
    </row>
    <row r="201" spans="1:17" hidden="1">
      <c r="A201" s="95" t="str">
        <f t="shared" si="3"/>
        <v>RJ-Ilha Guaíba</v>
      </c>
      <c r="B201" s="84" t="s">
        <v>568</v>
      </c>
      <c r="C201" s="83" t="s">
        <v>556</v>
      </c>
      <c r="D201" s="85">
        <v>25.8</v>
      </c>
      <c r="E201" s="85">
        <v>26.2</v>
      </c>
      <c r="F201" s="85">
        <v>25.7</v>
      </c>
      <c r="G201" s="85">
        <v>23.9</v>
      </c>
      <c r="H201" s="85">
        <v>22.5</v>
      </c>
      <c r="I201" s="85">
        <v>21.5</v>
      </c>
      <c r="J201" s="85">
        <v>21.2</v>
      </c>
      <c r="K201" s="85">
        <v>21.5</v>
      </c>
      <c r="L201" s="85">
        <v>21.5</v>
      </c>
      <c r="M201" s="85">
        <v>22.2</v>
      </c>
      <c r="N201" s="85">
        <v>23.8</v>
      </c>
      <c r="O201" s="85">
        <v>24.9</v>
      </c>
      <c r="P201" s="94">
        <v>18</v>
      </c>
      <c r="Q201" s="94">
        <v>39</v>
      </c>
    </row>
    <row r="202" spans="1:17" hidden="1">
      <c r="A202" s="95" t="str">
        <f t="shared" si="3"/>
        <v>RJ-Itaperuna</v>
      </c>
      <c r="B202" s="84" t="s">
        <v>569</v>
      </c>
      <c r="C202" s="83" t="s">
        <v>556</v>
      </c>
      <c r="D202" s="85">
        <v>26</v>
      </c>
      <c r="E202" s="85">
        <v>26.4</v>
      </c>
      <c r="F202" s="85">
        <v>25.8</v>
      </c>
      <c r="G202" s="85">
        <v>23.9</v>
      </c>
      <c r="H202" s="85">
        <v>21.8</v>
      </c>
      <c r="I202" s="85">
        <v>20.6</v>
      </c>
      <c r="J202" s="85">
        <v>20</v>
      </c>
      <c r="K202" s="85">
        <v>21.3</v>
      </c>
      <c r="L202" s="85">
        <v>22.2</v>
      </c>
      <c r="M202" s="85">
        <v>23.2</v>
      </c>
      <c r="N202" s="85">
        <v>24.1</v>
      </c>
      <c r="O202" s="85">
        <v>24.9</v>
      </c>
      <c r="P202" s="94">
        <v>15</v>
      </c>
      <c r="Q202" s="94">
        <v>39</v>
      </c>
    </row>
    <row r="203" spans="1:17" hidden="1">
      <c r="A203" s="95" t="str">
        <f t="shared" si="3"/>
        <v>RJ-Jacarepaguá</v>
      </c>
      <c r="B203" s="84" t="s">
        <v>570</v>
      </c>
      <c r="C203" s="83" t="s">
        <v>556</v>
      </c>
      <c r="D203" s="85">
        <v>26.6</v>
      </c>
      <c r="E203" s="85">
        <v>26.7</v>
      </c>
      <c r="F203" s="85">
        <v>26.2</v>
      </c>
      <c r="G203" s="85">
        <v>24</v>
      </c>
      <c r="H203" s="85">
        <v>21.8</v>
      </c>
      <c r="I203" s="85">
        <v>21</v>
      </c>
      <c r="J203" s="85">
        <v>20.3</v>
      </c>
      <c r="K203" s="85">
        <v>21.5</v>
      </c>
      <c r="L203" s="85">
        <v>22.3</v>
      </c>
      <c r="M203" s="85">
        <v>23.1</v>
      </c>
      <c r="N203" s="85">
        <v>24.1</v>
      </c>
      <c r="O203" s="85">
        <v>25.6</v>
      </c>
      <c r="P203" s="94">
        <v>15.6</v>
      </c>
      <c r="Q203" s="94">
        <v>40</v>
      </c>
    </row>
    <row r="204" spans="1:17" hidden="1">
      <c r="A204" s="95" t="str">
        <f t="shared" si="3"/>
        <v>RJ-Nova Friburgo</v>
      </c>
      <c r="B204" s="84" t="s">
        <v>571</v>
      </c>
      <c r="C204" s="83" t="s">
        <v>556</v>
      </c>
      <c r="D204" s="85">
        <v>21.2</v>
      </c>
      <c r="E204" s="85">
        <v>21.2</v>
      </c>
      <c r="F204" s="85">
        <v>20.8</v>
      </c>
      <c r="G204" s="85">
        <v>18.5</v>
      </c>
      <c r="H204" s="85">
        <v>16</v>
      </c>
      <c r="I204" s="85">
        <v>14.6</v>
      </c>
      <c r="J204" s="85">
        <v>14.1</v>
      </c>
      <c r="K204" s="85">
        <v>15.3</v>
      </c>
      <c r="L204" s="85">
        <v>16.600000000000001</v>
      </c>
      <c r="M204" s="85">
        <v>18.2</v>
      </c>
      <c r="N204" s="85">
        <v>19.3</v>
      </c>
      <c r="O204" s="85">
        <v>20.3</v>
      </c>
      <c r="P204" s="94">
        <v>9.5</v>
      </c>
      <c r="Q204" s="94">
        <v>37</v>
      </c>
    </row>
    <row r="205" spans="1:17" hidden="1">
      <c r="A205" s="95" t="str">
        <f t="shared" si="3"/>
        <v>RJ-Penha</v>
      </c>
      <c r="B205" s="84" t="s">
        <v>572</v>
      </c>
      <c r="C205" s="83" t="s">
        <v>556</v>
      </c>
      <c r="D205" s="85">
        <v>27.2</v>
      </c>
      <c r="E205" s="85">
        <v>27.5</v>
      </c>
      <c r="F205" s="85">
        <v>26.6</v>
      </c>
      <c r="G205" s="85">
        <v>24.7</v>
      </c>
      <c r="H205" s="85">
        <v>22.6</v>
      </c>
      <c r="I205" s="85">
        <v>21.4</v>
      </c>
      <c r="J205" s="85">
        <v>21</v>
      </c>
      <c r="K205" s="85">
        <v>22.1</v>
      </c>
      <c r="L205" s="85">
        <v>23</v>
      </c>
      <c r="M205" s="85">
        <v>23.6</v>
      </c>
      <c r="N205" s="85">
        <v>24.5</v>
      </c>
      <c r="O205" s="85">
        <v>26</v>
      </c>
      <c r="P205" s="94">
        <v>16.899999999999999</v>
      </c>
      <c r="Q205" s="94">
        <v>40</v>
      </c>
    </row>
    <row r="206" spans="1:17" hidden="1">
      <c r="A206" s="95" t="str">
        <f t="shared" si="3"/>
        <v>RJ-Pinheiral</v>
      </c>
      <c r="B206" s="84" t="s">
        <v>573</v>
      </c>
      <c r="C206" s="83" t="s">
        <v>556</v>
      </c>
      <c r="D206" s="85">
        <v>24.2</v>
      </c>
      <c r="E206" s="85">
        <v>24.1</v>
      </c>
      <c r="F206" s="85">
        <v>23.8</v>
      </c>
      <c r="G206" s="85">
        <v>21.4</v>
      </c>
      <c r="H206" s="85">
        <v>18.600000000000001</v>
      </c>
      <c r="I206" s="85">
        <v>17.399999999999999</v>
      </c>
      <c r="J206" s="85">
        <v>16.899999999999999</v>
      </c>
      <c r="K206" s="85">
        <v>18.5</v>
      </c>
      <c r="L206" s="85">
        <v>20.399999999999999</v>
      </c>
      <c r="M206" s="85">
        <v>21.2</v>
      </c>
      <c r="N206" s="85">
        <v>22.2</v>
      </c>
      <c r="O206" s="85">
        <v>23.1</v>
      </c>
      <c r="P206" s="94">
        <v>11.4</v>
      </c>
      <c r="Q206" s="94">
        <v>40</v>
      </c>
    </row>
    <row r="207" spans="1:17" hidden="1">
      <c r="A207" s="95" t="str">
        <f t="shared" si="3"/>
        <v>RJ-Piraí</v>
      </c>
      <c r="B207" s="84" t="s">
        <v>574</v>
      </c>
      <c r="C207" s="83" t="s">
        <v>556</v>
      </c>
      <c r="D207" s="85">
        <v>23.9</v>
      </c>
      <c r="E207" s="85">
        <v>24</v>
      </c>
      <c r="F207" s="85">
        <v>23.6</v>
      </c>
      <c r="G207" s="85">
        <v>21.5</v>
      </c>
      <c r="H207" s="85">
        <v>18.899999999999999</v>
      </c>
      <c r="I207" s="85">
        <v>17.5</v>
      </c>
      <c r="J207" s="85">
        <v>16.899999999999999</v>
      </c>
      <c r="K207" s="85">
        <v>18.2</v>
      </c>
      <c r="L207" s="85">
        <v>19.7</v>
      </c>
      <c r="M207" s="85">
        <v>20.9</v>
      </c>
      <c r="N207" s="85">
        <v>22.1</v>
      </c>
      <c r="O207" s="85">
        <v>23.2</v>
      </c>
      <c r="P207" s="94">
        <v>11.5</v>
      </c>
      <c r="Q207" s="94">
        <v>40.299999999999997</v>
      </c>
    </row>
    <row r="208" spans="1:17" hidden="1">
      <c r="A208" s="95" t="str">
        <f t="shared" si="3"/>
        <v>RJ-Resende</v>
      </c>
      <c r="B208" s="84" t="s">
        <v>575</v>
      </c>
      <c r="C208" s="83" t="s">
        <v>556</v>
      </c>
      <c r="D208" s="85">
        <v>23.8</v>
      </c>
      <c r="E208" s="85">
        <v>24.2</v>
      </c>
      <c r="F208" s="85">
        <v>23.6</v>
      </c>
      <c r="G208" s="85">
        <v>21.5</v>
      </c>
      <c r="H208" s="85">
        <v>19.2</v>
      </c>
      <c r="I208" s="85">
        <v>17.7</v>
      </c>
      <c r="J208" s="85">
        <v>17.399999999999999</v>
      </c>
      <c r="K208" s="85">
        <v>18.899999999999999</v>
      </c>
      <c r="L208" s="85">
        <v>20.399999999999999</v>
      </c>
      <c r="M208" s="85">
        <v>21.4</v>
      </c>
      <c r="N208" s="85">
        <v>22.4</v>
      </c>
      <c r="O208" s="85">
        <v>23.1</v>
      </c>
      <c r="P208" s="94">
        <v>12</v>
      </c>
      <c r="Q208" s="94">
        <v>39.200000000000003</v>
      </c>
    </row>
    <row r="209" spans="1:17" hidden="1">
      <c r="A209" s="95" t="str">
        <f t="shared" si="3"/>
        <v>RJ-Rio de Janeiro</v>
      </c>
      <c r="B209" s="84" t="s">
        <v>576</v>
      </c>
      <c r="C209" s="83" t="s">
        <v>556</v>
      </c>
      <c r="D209" s="85">
        <v>26.3</v>
      </c>
      <c r="E209" s="85">
        <v>26.6</v>
      </c>
      <c r="F209" s="85">
        <v>26</v>
      </c>
      <c r="G209" s="85">
        <v>24.4</v>
      </c>
      <c r="H209" s="85">
        <v>22.8</v>
      </c>
      <c r="I209" s="85">
        <v>21.8</v>
      </c>
      <c r="J209" s="85">
        <v>21.3</v>
      </c>
      <c r="K209" s="85">
        <v>21.8</v>
      </c>
      <c r="L209" s="85">
        <v>22.2</v>
      </c>
      <c r="M209" s="85">
        <v>22.9</v>
      </c>
      <c r="N209" s="85">
        <v>24</v>
      </c>
      <c r="O209" s="85">
        <v>25.3</v>
      </c>
      <c r="P209" s="94">
        <v>18.399999999999999</v>
      </c>
      <c r="Q209" s="94">
        <v>39</v>
      </c>
    </row>
    <row r="210" spans="1:17" hidden="1">
      <c r="A210" s="95" t="str">
        <f t="shared" si="3"/>
        <v>RJ-Santa Teresa</v>
      </c>
      <c r="B210" s="84" t="s">
        <v>577</v>
      </c>
      <c r="C210" s="83" t="s">
        <v>556</v>
      </c>
      <c r="D210" s="85">
        <v>25.5</v>
      </c>
      <c r="E210" s="85">
        <v>25.5</v>
      </c>
      <c r="F210" s="85">
        <v>24.9</v>
      </c>
      <c r="G210" s="85">
        <v>23</v>
      </c>
      <c r="H210" s="85">
        <v>21.2</v>
      </c>
      <c r="I210" s="85">
        <v>20.3</v>
      </c>
      <c r="J210" s="85">
        <v>19.600000000000001</v>
      </c>
      <c r="K210" s="85">
        <v>20.399999999999999</v>
      </c>
      <c r="L210" s="85">
        <v>21.4</v>
      </c>
      <c r="M210" s="85">
        <v>21.7</v>
      </c>
      <c r="N210" s="85">
        <v>22.8</v>
      </c>
      <c r="O210" s="85">
        <v>24.2</v>
      </c>
      <c r="P210" s="94">
        <v>15.7</v>
      </c>
      <c r="Q210" s="94">
        <v>38.700000000000003</v>
      </c>
    </row>
    <row r="211" spans="1:17" hidden="1">
      <c r="A211" s="95" t="str">
        <f t="shared" si="3"/>
        <v>RJ-Santo Antônio de Pádua</v>
      </c>
      <c r="B211" s="84" t="s">
        <v>578</v>
      </c>
      <c r="C211" s="83" t="s">
        <v>556</v>
      </c>
      <c r="D211" s="85">
        <v>26.8</v>
      </c>
      <c r="E211" s="85">
        <v>26.9</v>
      </c>
      <c r="F211" s="85">
        <v>26.3</v>
      </c>
      <c r="G211" s="85">
        <v>24.1</v>
      </c>
      <c r="H211" s="85">
        <v>21.5</v>
      </c>
      <c r="I211" s="85">
        <v>19.899999999999999</v>
      </c>
      <c r="J211" s="85">
        <v>19.600000000000001</v>
      </c>
      <c r="K211" s="85">
        <v>21.1</v>
      </c>
      <c r="L211" s="85">
        <v>23</v>
      </c>
      <c r="M211" s="85">
        <v>23.8</v>
      </c>
      <c r="N211" s="85">
        <v>25.2</v>
      </c>
      <c r="O211" s="85">
        <v>25.8</v>
      </c>
      <c r="P211" s="94">
        <v>14.3</v>
      </c>
      <c r="Q211" s="94">
        <v>41</v>
      </c>
    </row>
    <row r="212" spans="1:17" hidden="1">
      <c r="A212" s="95" t="str">
        <f t="shared" si="3"/>
        <v>RJ-São Bento (Duque de Caxias)</v>
      </c>
      <c r="B212" s="84" t="s">
        <v>579</v>
      </c>
      <c r="C212" s="83" t="s">
        <v>556</v>
      </c>
      <c r="D212" s="85">
        <v>26.2</v>
      </c>
      <c r="E212" s="85">
        <v>26.4</v>
      </c>
      <c r="F212" s="85">
        <v>25.7</v>
      </c>
      <c r="G212" s="85">
        <v>23.4</v>
      </c>
      <c r="H212" s="85">
        <v>21.2</v>
      </c>
      <c r="I212" s="85">
        <v>20</v>
      </c>
      <c r="J212" s="85">
        <v>19.5</v>
      </c>
      <c r="K212" s="85">
        <v>20.7</v>
      </c>
      <c r="L212" s="85">
        <v>21.8</v>
      </c>
      <c r="M212" s="85">
        <v>22.9</v>
      </c>
      <c r="N212" s="85">
        <v>23.9</v>
      </c>
      <c r="O212" s="85">
        <v>25.3</v>
      </c>
      <c r="P212" s="94">
        <v>14.8</v>
      </c>
      <c r="Q212" s="94">
        <v>40</v>
      </c>
    </row>
    <row r="213" spans="1:17" hidden="1">
      <c r="A213" s="95" t="str">
        <f t="shared" si="3"/>
        <v>RJ-Teresópolis</v>
      </c>
      <c r="B213" s="84" t="s">
        <v>580</v>
      </c>
      <c r="C213" s="83" t="s">
        <v>556</v>
      </c>
      <c r="D213" s="85">
        <v>20.7</v>
      </c>
      <c r="E213" s="85">
        <v>20.8</v>
      </c>
      <c r="F213" s="85">
        <v>20.2</v>
      </c>
      <c r="G213" s="85">
        <v>17.899999999999999</v>
      </c>
      <c r="H213" s="85">
        <v>15.8</v>
      </c>
      <c r="I213" s="85">
        <v>14.9</v>
      </c>
      <c r="J213" s="85">
        <v>14.3</v>
      </c>
      <c r="K213" s="85">
        <v>15.6</v>
      </c>
      <c r="L213" s="85">
        <v>16.7</v>
      </c>
      <c r="M213" s="85">
        <v>17.5</v>
      </c>
      <c r="N213" s="85">
        <v>18.3</v>
      </c>
      <c r="O213" s="85">
        <v>19.7</v>
      </c>
      <c r="P213" s="94">
        <v>9.6999999999999993</v>
      </c>
      <c r="Q213" s="94">
        <v>33.5</v>
      </c>
    </row>
    <row r="214" spans="1:17" hidden="1">
      <c r="A214" s="95" t="str">
        <f t="shared" si="3"/>
        <v>RJ-Tinguá</v>
      </c>
      <c r="B214" s="84" t="s">
        <v>581</v>
      </c>
      <c r="C214" s="83" t="s">
        <v>556</v>
      </c>
      <c r="D214" s="85">
        <v>25</v>
      </c>
      <c r="E214" s="85">
        <v>25.4</v>
      </c>
      <c r="F214" s="85">
        <v>24.5</v>
      </c>
      <c r="G214" s="85">
        <v>22.4</v>
      </c>
      <c r="H214" s="85">
        <v>20.5</v>
      </c>
      <c r="I214" s="85">
        <v>19.399999999999999</v>
      </c>
      <c r="J214" s="85">
        <v>19</v>
      </c>
      <c r="K214" s="85">
        <v>20.2</v>
      </c>
      <c r="L214" s="85">
        <v>21</v>
      </c>
      <c r="M214" s="85">
        <v>21.9</v>
      </c>
      <c r="N214" s="85">
        <v>23.1</v>
      </c>
      <c r="O214" s="85">
        <v>24.3</v>
      </c>
      <c r="P214" s="94">
        <v>14.1</v>
      </c>
      <c r="Q214" s="94">
        <v>40</v>
      </c>
    </row>
    <row r="215" spans="1:17" hidden="1">
      <c r="A215" s="95" t="str">
        <f t="shared" si="3"/>
        <v>RJ-Vassouras</v>
      </c>
      <c r="B215" s="84" t="s">
        <v>582</v>
      </c>
      <c r="C215" s="83" t="s">
        <v>556</v>
      </c>
      <c r="D215" s="85">
        <v>23.6</v>
      </c>
      <c r="E215" s="85">
        <v>24</v>
      </c>
      <c r="F215" s="85">
        <v>23.2</v>
      </c>
      <c r="G215" s="85">
        <v>21.3</v>
      </c>
      <c r="H215" s="85">
        <v>19</v>
      </c>
      <c r="I215" s="85">
        <v>17.600000000000001</v>
      </c>
      <c r="J215" s="85">
        <v>17.2</v>
      </c>
      <c r="K215" s="85">
        <v>18.600000000000001</v>
      </c>
      <c r="L215" s="85">
        <v>19.7</v>
      </c>
      <c r="M215" s="85">
        <v>20.9</v>
      </c>
      <c r="N215" s="85">
        <v>21.9</v>
      </c>
      <c r="O215" s="85">
        <v>22.9</v>
      </c>
      <c r="P215" s="94">
        <v>12.5</v>
      </c>
      <c r="Q215" s="94">
        <v>39.799999999999997</v>
      </c>
    </row>
    <row r="216" spans="1:17" hidden="1">
      <c r="A216" s="95" t="str">
        <f t="shared" si="3"/>
        <v>RN-Apodí</v>
      </c>
      <c r="B216" s="84" t="s">
        <v>583</v>
      </c>
      <c r="C216" s="83" t="s">
        <v>584</v>
      </c>
      <c r="D216" s="85">
        <v>28.1</v>
      </c>
      <c r="E216" s="85">
        <v>27.3</v>
      </c>
      <c r="F216" s="85">
        <v>26.4</v>
      </c>
      <c r="G216" s="85">
        <v>26.8</v>
      </c>
      <c r="H216" s="85">
        <v>26.3</v>
      </c>
      <c r="I216" s="85">
        <v>26.2</v>
      </c>
      <c r="J216" s="85">
        <v>26</v>
      </c>
      <c r="K216" s="85">
        <v>26.7</v>
      </c>
      <c r="L216" s="85">
        <v>27.3</v>
      </c>
      <c r="M216" s="85">
        <v>27.9</v>
      </c>
      <c r="N216" s="85">
        <v>28</v>
      </c>
      <c r="O216" s="85">
        <v>27.9</v>
      </c>
      <c r="P216" s="94">
        <v>21.5</v>
      </c>
      <c r="Q216" s="94">
        <v>40</v>
      </c>
    </row>
    <row r="217" spans="1:17" hidden="1">
      <c r="A217" s="95" t="str">
        <f t="shared" si="3"/>
        <v>RN-Ceará Mirim</v>
      </c>
      <c r="B217" s="84" t="s">
        <v>585</v>
      </c>
      <c r="C217" s="83" t="s">
        <v>584</v>
      </c>
      <c r="D217" s="85">
        <v>26.4</v>
      </c>
      <c r="E217" s="85">
        <v>26.3</v>
      </c>
      <c r="F217" s="85">
        <v>26.1</v>
      </c>
      <c r="G217" s="85">
        <v>25.9</v>
      </c>
      <c r="H217" s="85">
        <v>25.3</v>
      </c>
      <c r="I217" s="85">
        <v>24.5</v>
      </c>
      <c r="J217" s="85">
        <v>23.8</v>
      </c>
      <c r="K217" s="85">
        <v>23.8</v>
      </c>
      <c r="L217" s="85">
        <v>24.3</v>
      </c>
      <c r="M217" s="85">
        <v>25</v>
      </c>
      <c r="N217" s="85">
        <v>25.6</v>
      </c>
      <c r="O217" s="85">
        <v>25.8</v>
      </c>
      <c r="P217" s="94">
        <v>20.5</v>
      </c>
      <c r="Q217" s="94">
        <v>33.700000000000003</v>
      </c>
    </row>
    <row r="218" spans="1:17" hidden="1">
      <c r="A218" s="95" t="str">
        <f t="shared" si="3"/>
        <v>RN-Cruzeta</v>
      </c>
      <c r="B218" s="84" t="s">
        <v>586</v>
      </c>
      <c r="C218" s="83" t="s">
        <v>584</v>
      </c>
      <c r="D218" s="85">
        <v>28.2</v>
      </c>
      <c r="E218" s="85">
        <v>27.5</v>
      </c>
      <c r="F218" s="85">
        <v>27.1</v>
      </c>
      <c r="G218" s="85">
        <v>26.4</v>
      </c>
      <c r="H218" s="85">
        <v>26</v>
      </c>
      <c r="I218" s="85">
        <v>25.6</v>
      </c>
      <c r="J218" s="85">
        <v>25.4</v>
      </c>
      <c r="K218" s="85">
        <v>25.9</v>
      </c>
      <c r="L218" s="85">
        <v>26.9</v>
      </c>
      <c r="M218" s="85">
        <v>27.7</v>
      </c>
      <c r="N218" s="85">
        <v>27.9</v>
      </c>
      <c r="O218" s="85">
        <v>28.2</v>
      </c>
      <c r="P218" s="94">
        <v>20.5</v>
      </c>
      <c r="Q218" s="94">
        <v>39.700000000000003</v>
      </c>
    </row>
    <row r="219" spans="1:17" hidden="1">
      <c r="A219" s="95" t="str">
        <f t="shared" si="3"/>
        <v>RN-Florânia</v>
      </c>
      <c r="B219" s="84" t="s">
        <v>587</v>
      </c>
      <c r="C219" s="83" t="s">
        <v>584</v>
      </c>
      <c r="D219" s="85">
        <v>27.1</v>
      </c>
      <c r="E219" s="85">
        <v>26.4</v>
      </c>
      <c r="F219" s="85">
        <v>25.8</v>
      </c>
      <c r="G219" s="85">
        <v>25.6</v>
      </c>
      <c r="H219" s="85">
        <v>25.2</v>
      </c>
      <c r="I219" s="85">
        <v>24.6</v>
      </c>
      <c r="J219" s="85">
        <v>24.3</v>
      </c>
      <c r="K219" s="85">
        <v>24.9</v>
      </c>
      <c r="L219" s="85">
        <v>25.9</v>
      </c>
      <c r="M219" s="85">
        <v>26.8</v>
      </c>
      <c r="N219" s="85">
        <v>26.8</v>
      </c>
      <c r="O219" s="85">
        <v>27.2</v>
      </c>
      <c r="P219" s="94">
        <v>19.7</v>
      </c>
      <c r="Q219" s="94">
        <v>38.1</v>
      </c>
    </row>
    <row r="220" spans="1:17" hidden="1">
      <c r="A220" s="95" t="str">
        <f t="shared" si="3"/>
        <v>RN-Macau</v>
      </c>
      <c r="B220" s="84" t="s">
        <v>588</v>
      </c>
      <c r="C220" s="83" t="s">
        <v>584</v>
      </c>
      <c r="D220" s="85">
        <v>27.4</v>
      </c>
      <c r="E220" s="85">
        <v>27.3</v>
      </c>
      <c r="F220" s="85">
        <v>27</v>
      </c>
      <c r="G220" s="85">
        <v>27.1</v>
      </c>
      <c r="H220" s="85">
        <v>27</v>
      </c>
      <c r="I220" s="85">
        <v>26.3</v>
      </c>
      <c r="J220" s="85">
        <v>25.9</v>
      </c>
      <c r="K220" s="85">
        <v>26.2</v>
      </c>
      <c r="L220" s="85">
        <v>26.6</v>
      </c>
      <c r="M220" s="85">
        <v>26.5</v>
      </c>
      <c r="N220" s="85">
        <v>26.9</v>
      </c>
      <c r="O220" s="85">
        <v>27.2</v>
      </c>
      <c r="P220" s="94">
        <v>20.8</v>
      </c>
      <c r="Q220" s="94">
        <v>39.4</v>
      </c>
    </row>
    <row r="221" spans="1:17" hidden="1">
      <c r="A221" s="95" t="str">
        <f t="shared" si="3"/>
        <v>RN-Natal</v>
      </c>
      <c r="B221" s="84" t="s">
        <v>589</v>
      </c>
      <c r="C221" s="83" t="s">
        <v>584</v>
      </c>
      <c r="D221" s="85">
        <v>27</v>
      </c>
      <c r="E221" s="85">
        <v>27.2</v>
      </c>
      <c r="F221" s="85">
        <v>27</v>
      </c>
      <c r="G221" s="85">
        <v>26.6</v>
      </c>
      <c r="H221" s="85">
        <v>26</v>
      </c>
      <c r="I221" s="85">
        <v>24.9</v>
      </c>
      <c r="J221" s="85">
        <v>24.3</v>
      </c>
      <c r="K221" s="85">
        <v>24.3</v>
      </c>
      <c r="L221" s="85">
        <v>25.1</v>
      </c>
      <c r="M221" s="85">
        <v>26</v>
      </c>
      <c r="N221" s="85">
        <v>26.4</v>
      </c>
      <c r="O221" s="85">
        <v>26.7</v>
      </c>
      <c r="P221" s="94">
        <v>20.7</v>
      </c>
      <c r="Q221" s="94">
        <v>33.799999999999997</v>
      </c>
    </row>
    <row r="222" spans="1:17" hidden="1">
      <c r="A222" s="95" t="str">
        <f t="shared" si="3"/>
        <v>RO-Porto Velho</v>
      </c>
      <c r="B222" s="84" t="s">
        <v>590</v>
      </c>
      <c r="C222" s="83" t="s">
        <v>591</v>
      </c>
      <c r="D222" s="85">
        <v>25.5</v>
      </c>
      <c r="E222" s="85">
        <v>25.5</v>
      </c>
      <c r="F222" s="85">
        <v>25.6</v>
      </c>
      <c r="G222" s="85">
        <v>25.7</v>
      </c>
      <c r="H222" s="85">
        <v>25.3</v>
      </c>
      <c r="I222" s="85">
        <v>24.7</v>
      </c>
      <c r="J222" s="85">
        <v>24.6</v>
      </c>
      <c r="K222" s="85">
        <v>25.9</v>
      </c>
      <c r="L222" s="85">
        <v>26.2</v>
      </c>
      <c r="M222" s="85">
        <v>26.1</v>
      </c>
      <c r="N222" s="85">
        <v>26</v>
      </c>
      <c r="O222" s="85">
        <v>25.5</v>
      </c>
      <c r="P222" s="94">
        <v>18.3</v>
      </c>
      <c r="Q222" s="94">
        <v>40.9</v>
      </c>
    </row>
    <row r="223" spans="1:17" hidden="1">
      <c r="A223" s="95" t="str">
        <f t="shared" si="3"/>
        <v>RR-Boa Vista</v>
      </c>
      <c r="B223" s="84" t="s">
        <v>592</v>
      </c>
      <c r="C223" s="83" t="s">
        <v>593</v>
      </c>
      <c r="D223" s="85">
        <v>27.5</v>
      </c>
      <c r="E223" s="85">
        <v>28</v>
      </c>
      <c r="F223" s="85">
        <v>28.4</v>
      </c>
      <c r="G223" s="85">
        <v>28</v>
      </c>
      <c r="H223" s="85">
        <v>26.9</v>
      </c>
      <c r="I223" s="85">
        <v>25.9</v>
      </c>
      <c r="J223" s="85">
        <v>25.8</v>
      </c>
      <c r="K223" s="85">
        <v>26.6</v>
      </c>
      <c r="L223" s="85">
        <v>27.7</v>
      </c>
      <c r="M223" s="85">
        <v>28.2</v>
      </c>
      <c r="N223" s="85">
        <v>28</v>
      </c>
      <c r="O223" s="85">
        <v>27.6</v>
      </c>
      <c r="P223" s="94">
        <v>22.3</v>
      </c>
      <c r="Q223" s="94">
        <v>39.5</v>
      </c>
    </row>
    <row r="224" spans="1:17" hidden="1">
      <c r="A224" s="95" t="str">
        <f t="shared" si="3"/>
        <v>RS-Alegrete</v>
      </c>
      <c r="B224" s="84" t="s">
        <v>594</v>
      </c>
      <c r="C224" s="83" t="s">
        <v>29</v>
      </c>
      <c r="D224" s="85">
        <v>24.7</v>
      </c>
      <c r="E224" s="85">
        <v>24.4</v>
      </c>
      <c r="F224" s="85">
        <v>22.3</v>
      </c>
      <c r="G224" s="85">
        <v>18.7</v>
      </c>
      <c r="H224" s="85">
        <v>15.8</v>
      </c>
      <c r="I224" s="85">
        <v>13.7</v>
      </c>
      <c r="J224" s="85">
        <v>13.7</v>
      </c>
      <c r="K224" s="85">
        <v>14.6</v>
      </c>
      <c r="L224" s="85">
        <v>16.5</v>
      </c>
      <c r="M224" s="85">
        <v>18.899999999999999</v>
      </c>
      <c r="N224" s="85">
        <v>21.5</v>
      </c>
      <c r="O224" s="85">
        <v>24</v>
      </c>
      <c r="P224" s="94">
        <v>9</v>
      </c>
      <c r="Q224" s="94">
        <v>39.799999999999997</v>
      </c>
    </row>
    <row r="225" spans="1:17" hidden="1">
      <c r="A225" s="95" t="str">
        <f t="shared" si="3"/>
        <v>RS-Bagé</v>
      </c>
      <c r="B225" s="84" t="s">
        <v>595</v>
      </c>
      <c r="C225" s="83" t="s">
        <v>29</v>
      </c>
      <c r="D225" s="85">
        <v>23.9</v>
      </c>
      <c r="E225" s="85">
        <v>23.3</v>
      </c>
      <c r="F225" s="85">
        <v>21.4</v>
      </c>
      <c r="G225" s="85">
        <v>17.8</v>
      </c>
      <c r="H225" s="85">
        <v>15</v>
      </c>
      <c r="I225" s="85">
        <v>12.4</v>
      </c>
      <c r="J225" s="85">
        <v>12.5</v>
      </c>
      <c r="K225" s="85">
        <v>13.1</v>
      </c>
      <c r="L225" s="85">
        <v>15.1</v>
      </c>
      <c r="M225" s="85">
        <v>17.5</v>
      </c>
      <c r="N225" s="85">
        <v>20</v>
      </c>
      <c r="O225" s="85">
        <v>22.8</v>
      </c>
      <c r="P225" s="94">
        <v>8.6999999999999993</v>
      </c>
      <c r="Q225" s="94">
        <v>39.200000000000003</v>
      </c>
    </row>
    <row r="226" spans="1:17" hidden="1">
      <c r="A226" s="95" t="str">
        <f t="shared" si="3"/>
        <v>RS-Bento Gonçalves</v>
      </c>
      <c r="B226" s="84" t="s">
        <v>596</v>
      </c>
      <c r="C226" s="83" t="s">
        <v>29</v>
      </c>
      <c r="D226" s="85">
        <v>21.7</v>
      </c>
      <c r="E226" s="85">
        <v>21.8</v>
      </c>
      <c r="F226" s="85">
        <v>20.2</v>
      </c>
      <c r="G226" s="85">
        <v>17.3</v>
      </c>
      <c r="H226" s="85">
        <v>14.9</v>
      </c>
      <c r="I226" s="85">
        <v>13</v>
      </c>
      <c r="J226" s="85">
        <v>13.1</v>
      </c>
      <c r="K226" s="85">
        <v>13.5</v>
      </c>
      <c r="L226" s="85">
        <v>15.3</v>
      </c>
      <c r="M226" s="85">
        <v>17</v>
      </c>
      <c r="N226" s="85">
        <v>18.8</v>
      </c>
      <c r="O226" s="85">
        <v>20.8</v>
      </c>
      <c r="P226" s="94">
        <v>8.8000000000000007</v>
      </c>
      <c r="Q226" s="94">
        <v>36</v>
      </c>
    </row>
    <row r="227" spans="1:17" hidden="1">
      <c r="A227" s="95" t="str">
        <f t="shared" si="3"/>
        <v>RS-Bom Jesus</v>
      </c>
      <c r="B227" s="84" t="s">
        <v>597</v>
      </c>
      <c r="C227" s="83" t="s">
        <v>29</v>
      </c>
      <c r="D227" s="85">
        <v>18.600000000000001</v>
      </c>
      <c r="E227" s="85">
        <v>19</v>
      </c>
      <c r="F227" s="85">
        <v>17.7</v>
      </c>
      <c r="G227" s="85">
        <v>14.8</v>
      </c>
      <c r="H227" s="85">
        <v>12.6</v>
      </c>
      <c r="I227" s="85">
        <v>11</v>
      </c>
      <c r="J227" s="85">
        <v>11.3</v>
      </c>
      <c r="K227" s="85">
        <v>11.6</v>
      </c>
      <c r="L227" s="85">
        <v>13.2</v>
      </c>
      <c r="M227" s="85">
        <v>14.2</v>
      </c>
      <c r="N227" s="85">
        <v>15.6</v>
      </c>
      <c r="O227" s="85">
        <v>17.8</v>
      </c>
      <c r="P227" s="94">
        <v>7.6</v>
      </c>
      <c r="Q227" s="94">
        <v>32.5</v>
      </c>
    </row>
    <row r="228" spans="1:17" hidden="1">
      <c r="A228" s="95" t="str">
        <f t="shared" si="3"/>
        <v>RS-Caçapava do Sul</v>
      </c>
      <c r="B228" s="84" t="s">
        <v>598</v>
      </c>
      <c r="C228" s="83" t="s">
        <v>29</v>
      </c>
      <c r="D228" s="85">
        <v>22.1</v>
      </c>
      <c r="E228" s="85">
        <v>22</v>
      </c>
      <c r="F228" s="85">
        <v>20.100000000000001</v>
      </c>
      <c r="G228" s="85">
        <v>17.100000000000001</v>
      </c>
      <c r="H228" s="85">
        <v>14.7</v>
      </c>
      <c r="I228" s="85">
        <v>12.2</v>
      </c>
      <c r="J228" s="85">
        <v>12.1</v>
      </c>
      <c r="K228" s="85">
        <v>12.5</v>
      </c>
      <c r="L228" s="85">
        <v>14.6</v>
      </c>
      <c r="M228" s="85">
        <v>16.2</v>
      </c>
      <c r="N228" s="85">
        <v>18.600000000000001</v>
      </c>
      <c r="O228" s="85">
        <v>21.2</v>
      </c>
      <c r="P228" s="94">
        <v>8.6</v>
      </c>
      <c r="Q228" s="94">
        <v>39.5</v>
      </c>
    </row>
    <row r="229" spans="1:17" hidden="1">
      <c r="A229" s="95" t="str">
        <f t="shared" si="3"/>
        <v>RS-Cachoeira do Sul</v>
      </c>
      <c r="B229" s="84" t="s">
        <v>599</v>
      </c>
      <c r="C229" s="83" t="s">
        <v>29</v>
      </c>
      <c r="D229" s="85">
        <v>24.5</v>
      </c>
      <c r="E229" s="85">
        <v>24.3</v>
      </c>
      <c r="F229" s="85">
        <v>22.3</v>
      </c>
      <c r="G229" s="85">
        <v>19</v>
      </c>
      <c r="H229" s="85">
        <v>16.100000000000001</v>
      </c>
      <c r="I229" s="85">
        <v>13.5</v>
      </c>
      <c r="J229" s="85">
        <v>13.7</v>
      </c>
      <c r="K229" s="85">
        <v>14.4</v>
      </c>
      <c r="L229" s="85">
        <v>16.8</v>
      </c>
      <c r="M229" s="85">
        <v>19</v>
      </c>
      <c r="N229" s="85">
        <v>21.4</v>
      </c>
      <c r="O229" s="85">
        <v>23.7</v>
      </c>
      <c r="P229" s="94">
        <v>9.4</v>
      </c>
      <c r="Q229" s="94">
        <v>40</v>
      </c>
    </row>
    <row r="230" spans="1:17" hidden="1">
      <c r="A230" s="95" t="str">
        <f t="shared" si="3"/>
        <v>RS-Caxias do Sul</v>
      </c>
      <c r="B230" s="84" t="s">
        <v>600</v>
      </c>
      <c r="C230" s="83" t="s">
        <v>29</v>
      </c>
      <c r="D230" s="85">
        <v>20.6</v>
      </c>
      <c r="E230" s="85">
        <v>20.6</v>
      </c>
      <c r="F230" s="85">
        <v>19.100000000000001</v>
      </c>
      <c r="G230" s="85">
        <v>16.2</v>
      </c>
      <c r="H230" s="85">
        <v>14.3</v>
      </c>
      <c r="I230" s="85">
        <v>12.1</v>
      </c>
      <c r="J230" s="85">
        <v>12.3</v>
      </c>
      <c r="K230" s="85">
        <v>12.7</v>
      </c>
      <c r="L230" s="85">
        <v>14.4</v>
      </c>
      <c r="M230" s="85">
        <v>15.8</v>
      </c>
      <c r="N230" s="85">
        <v>17.8</v>
      </c>
      <c r="O230" s="85">
        <v>19.600000000000001</v>
      </c>
      <c r="P230" s="94">
        <v>8.6999999999999993</v>
      </c>
      <c r="Q230" s="94">
        <v>34.6</v>
      </c>
    </row>
    <row r="231" spans="1:17">
      <c r="A231" s="95" t="str">
        <f t="shared" si="3"/>
        <v>RS-Cruz Alta</v>
      </c>
      <c r="B231" s="84" t="s">
        <v>601</v>
      </c>
      <c r="C231" s="83" t="s">
        <v>29</v>
      </c>
      <c r="D231" s="85">
        <v>23.3</v>
      </c>
      <c r="E231" s="85">
        <v>23</v>
      </c>
      <c r="F231" s="85">
        <v>21.4</v>
      </c>
      <c r="G231" s="85">
        <v>18.5</v>
      </c>
      <c r="H231" s="85">
        <v>16</v>
      </c>
      <c r="I231" s="85">
        <v>13.5</v>
      </c>
      <c r="J231" s="85">
        <v>13.6</v>
      </c>
      <c r="K231" s="85">
        <v>14.7</v>
      </c>
      <c r="L231" s="85">
        <v>16.3</v>
      </c>
      <c r="M231" s="85">
        <v>18.399999999999999</v>
      </c>
      <c r="N231" s="85">
        <v>20.8</v>
      </c>
      <c r="O231" s="85">
        <v>22.6</v>
      </c>
      <c r="P231" s="94">
        <v>9.1999999999999993</v>
      </c>
      <c r="Q231" s="94">
        <v>38</v>
      </c>
    </row>
    <row r="232" spans="1:17" hidden="1">
      <c r="A232" s="95" t="str">
        <f t="shared" si="3"/>
        <v>RS-Encruzilhada do Sul</v>
      </c>
      <c r="B232" s="84" t="s">
        <v>602</v>
      </c>
      <c r="C232" s="83" t="s">
        <v>29</v>
      </c>
      <c r="D232" s="85">
        <v>22</v>
      </c>
      <c r="E232" s="85">
        <v>21.8</v>
      </c>
      <c r="F232" s="85">
        <v>20.2</v>
      </c>
      <c r="G232" s="85">
        <v>17.3</v>
      </c>
      <c r="H232" s="85">
        <v>14.8</v>
      </c>
      <c r="I232" s="85">
        <v>12.3</v>
      </c>
      <c r="J232" s="85">
        <v>12.4</v>
      </c>
      <c r="K232" s="85">
        <v>12.8</v>
      </c>
      <c r="L232" s="85">
        <v>14.5</v>
      </c>
      <c r="M232" s="85">
        <v>16.399999999999999</v>
      </c>
      <c r="N232" s="85">
        <v>18.5</v>
      </c>
      <c r="O232" s="85">
        <v>21</v>
      </c>
      <c r="P232" s="94">
        <v>8.9</v>
      </c>
      <c r="Q232" s="94">
        <v>36.700000000000003</v>
      </c>
    </row>
    <row r="233" spans="1:17" hidden="1">
      <c r="A233" s="95" t="str">
        <f t="shared" si="3"/>
        <v>RS-Guaporé</v>
      </c>
      <c r="B233" s="84" t="s">
        <v>603</v>
      </c>
      <c r="C233" s="83" t="s">
        <v>29</v>
      </c>
      <c r="D233" s="85">
        <v>22.7</v>
      </c>
      <c r="E233" s="85">
        <v>22.7</v>
      </c>
      <c r="F233" s="85">
        <v>21</v>
      </c>
      <c r="G233" s="85">
        <v>17.600000000000001</v>
      </c>
      <c r="H233" s="85">
        <v>14.9</v>
      </c>
      <c r="I233" s="85">
        <v>13.1</v>
      </c>
      <c r="J233" s="85">
        <v>13.1</v>
      </c>
      <c r="K233" s="85">
        <v>13.8</v>
      </c>
      <c r="L233" s="85">
        <v>15.9</v>
      </c>
      <c r="M233" s="85">
        <v>17.899999999999999</v>
      </c>
      <c r="N233" s="85">
        <v>20.100000000000001</v>
      </c>
      <c r="O233" s="85">
        <v>21.9</v>
      </c>
      <c r="P233" s="94">
        <v>8.1999999999999993</v>
      </c>
      <c r="Q233" s="94">
        <v>37.700000000000003</v>
      </c>
    </row>
    <row r="234" spans="1:17" hidden="1">
      <c r="A234" s="95" t="str">
        <f t="shared" si="3"/>
        <v>RS-Iraí</v>
      </c>
      <c r="B234" s="84" t="s">
        <v>604</v>
      </c>
      <c r="C234" s="83" t="s">
        <v>29</v>
      </c>
      <c r="D234" s="85">
        <v>24.6</v>
      </c>
      <c r="E234" s="85">
        <v>24.5</v>
      </c>
      <c r="F234" s="85">
        <v>22.9</v>
      </c>
      <c r="G234" s="85">
        <v>19</v>
      </c>
      <c r="H234" s="85">
        <v>16.100000000000001</v>
      </c>
      <c r="I234" s="85">
        <v>14</v>
      </c>
      <c r="J234" s="85">
        <v>14.2</v>
      </c>
      <c r="K234" s="85">
        <v>15.5</v>
      </c>
      <c r="L234" s="85">
        <v>17.600000000000001</v>
      </c>
      <c r="M234" s="85">
        <v>19.8</v>
      </c>
      <c r="N234" s="85">
        <v>22</v>
      </c>
      <c r="O234" s="85">
        <v>23.7</v>
      </c>
      <c r="P234" s="94">
        <v>9.1</v>
      </c>
      <c r="Q234" s="94">
        <v>42.2</v>
      </c>
    </row>
    <row r="235" spans="1:17" hidden="1">
      <c r="A235" s="95" t="str">
        <f t="shared" si="3"/>
        <v>RS-Itaqui</v>
      </c>
      <c r="B235" s="84" t="s">
        <v>605</v>
      </c>
      <c r="C235" s="83" t="s">
        <v>29</v>
      </c>
      <c r="D235" s="85">
        <v>26.1</v>
      </c>
      <c r="E235" s="85">
        <v>25.6</v>
      </c>
      <c r="F235" s="85">
        <v>23.8</v>
      </c>
      <c r="G235" s="85">
        <v>20.3</v>
      </c>
      <c r="H235" s="85">
        <v>17.399999999999999</v>
      </c>
      <c r="I235" s="85">
        <v>14.6</v>
      </c>
      <c r="J235" s="85">
        <v>14.8</v>
      </c>
      <c r="K235" s="85">
        <v>15.6</v>
      </c>
      <c r="L235" s="85">
        <v>17.899999999999999</v>
      </c>
      <c r="M235" s="85">
        <v>20.7</v>
      </c>
      <c r="N235" s="85">
        <v>22.8</v>
      </c>
      <c r="O235" s="85">
        <v>25.6</v>
      </c>
      <c r="P235" s="94">
        <v>9.9</v>
      </c>
      <c r="Q235" s="94">
        <v>39.9</v>
      </c>
    </row>
    <row r="236" spans="1:17" hidden="1">
      <c r="A236" s="95" t="str">
        <f t="shared" si="3"/>
        <v>RS-Lagoa Vermelha</v>
      </c>
      <c r="B236" s="84" t="s">
        <v>606</v>
      </c>
      <c r="C236" s="83" t="s">
        <v>29</v>
      </c>
      <c r="D236" s="85">
        <v>21.2</v>
      </c>
      <c r="E236" s="85">
        <v>21.3</v>
      </c>
      <c r="F236" s="85">
        <v>19.8</v>
      </c>
      <c r="G236" s="85">
        <v>16.899999999999999</v>
      </c>
      <c r="H236" s="85">
        <v>14.4</v>
      </c>
      <c r="I236" s="85">
        <v>12.4</v>
      </c>
      <c r="J236" s="85">
        <v>12.5</v>
      </c>
      <c r="K236" s="85">
        <v>13.2</v>
      </c>
      <c r="L236" s="85">
        <v>14.9</v>
      </c>
      <c r="M236" s="85">
        <v>16.7</v>
      </c>
      <c r="N236" s="85">
        <v>18.600000000000001</v>
      </c>
      <c r="O236" s="85">
        <v>20.2</v>
      </c>
      <c r="P236" s="94">
        <v>8.1</v>
      </c>
      <c r="Q236" s="94">
        <v>35.799999999999997</v>
      </c>
    </row>
    <row r="237" spans="1:17" hidden="1">
      <c r="A237" s="95" t="str">
        <f t="shared" si="3"/>
        <v>RS-Marcelino Ramos</v>
      </c>
      <c r="B237" s="84" t="s">
        <v>607</v>
      </c>
      <c r="C237" s="83" t="s">
        <v>29</v>
      </c>
      <c r="D237" s="85">
        <v>23.3</v>
      </c>
      <c r="E237" s="85">
        <v>23.1</v>
      </c>
      <c r="F237" s="85">
        <v>21.7</v>
      </c>
      <c r="G237" s="85">
        <v>18.100000000000001</v>
      </c>
      <c r="H237" s="85">
        <v>15.1</v>
      </c>
      <c r="I237" s="85">
        <v>13.2</v>
      </c>
      <c r="J237" s="85">
        <v>13.2</v>
      </c>
      <c r="K237" s="85">
        <v>14.5</v>
      </c>
      <c r="L237" s="85">
        <v>16.8</v>
      </c>
      <c r="M237" s="85">
        <v>18.8</v>
      </c>
      <c r="N237" s="85">
        <v>21.1</v>
      </c>
      <c r="O237" s="85">
        <v>22.6</v>
      </c>
      <c r="P237" s="94">
        <v>8</v>
      </c>
      <c r="Q237" s="94">
        <v>39</v>
      </c>
    </row>
    <row r="238" spans="1:17" hidden="1">
      <c r="A238" s="95" t="str">
        <f t="shared" si="3"/>
        <v>RS-Passo Fundo</v>
      </c>
      <c r="B238" s="84" t="s">
        <v>608</v>
      </c>
      <c r="C238" s="83" t="s">
        <v>29</v>
      </c>
      <c r="D238" s="85">
        <v>22.1</v>
      </c>
      <c r="E238" s="85">
        <v>22</v>
      </c>
      <c r="F238" s="85">
        <v>20.5</v>
      </c>
      <c r="G238" s="85">
        <v>17.600000000000001</v>
      </c>
      <c r="H238" s="85">
        <v>15.2</v>
      </c>
      <c r="I238" s="85">
        <v>12.9</v>
      </c>
      <c r="J238" s="85">
        <v>13.3</v>
      </c>
      <c r="K238" s="85">
        <v>13.9</v>
      </c>
      <c r="L238" s="85">
        <v>15.7</v>
      </c>
      <c r="M238" s="85">
        <v>17.600000000000001</v>
      </c>
      <c r="N238" s="85">
        <v>19.600000000000001</v>
      </c>
      <c r="O238" s="85">
        <v>21.4</v>
      </c>
      <c r="P238" s="94">
        <v>8.9</v>
      </c>
      <c r="Q238" s="94">
        <v>35.6</v>
      </c>
    </row>
    <row r="239" spans="1:17" hidden="1">
      <c r="A239" s="95" t="str">
        <f t="shared" si="3"/>
        <v>RS-Pelotas</v>
      </c>
      <c r="B239" s="84" t="s">
        <v>609</v>
      </c>
      <c r="C239" s="83" t="s">
        <v>29</v>
      </c>
      <c r="D239" s="85">
        <v>23.1</v>
      </c>
      <c r="E239" s="85">
        <v>23.4</v>
      </c>
      <c r="F239" s="85">
        <v>21.3</v>
      </c>
      <c r="G239" s="85">
        <v>18.2</v>
      </c>
      <c r="H239" s="85">
        <v>14.8</v>
      </c>
      <c r="I239" s="85">
        <v>12.6</v>
      </c>
      <c r="J239" s="85">
        <v>12.8</v>
      </c>
      <c r="K239" s="85">
        <v>13.1</v>
      </c>
      <c r="L239" s="85">
        <v>15.2</v>
      </c>
      <c r="M239" s="85">
        <v>17.399999999999999</v>
      </c>
      <c r="N239" s="85">
        <v>19.600000000000001</v>
      </c>
      <c r="O239" s="85">
        <v>21.7</v>
      </c>
      <c r="P239" s="94">
        <v>7.6</v>
      </c>
      <c r="Q239" s="94">
        <v>38.799999999999997</v>
      </c>
    </row>
    <row r="240" spans="1:17" hidden="1">
      <c r="A240" s="95" t="str">
        <f t="shared" si="3"/>
        <v>RS-Porto Alegre</v>
      </c>
      <c r="B240" s="84" t="s">
        <v>610</v>
      </c>
      <c r="C240" s="83" t="s">
        <v>29</v>
      </c>
      <c r="D240" s="85">
        <v>24.6</v>
      </c>
      <c r="E240" s="85">
        <v>24.6</v>
      </c>
      <c r="F240" s="85">
        <v>23.1</v>
      </c>
      <c r="G240" s="85">
        <v>19.899999999999999</v>
      </c>
      <c r="H240" s="85">
        <v>16.899999999999999</v>
      </c>
      <c r="I240" s="85">
        <v>14.3</v>
      </c>
      <c r="J240" s="85">
        <v>14.4</v>
      </c>
      <c r="K240" s="85">
        <v>15.2</v>
      </c>
      <c r="L240" s="85">
        <v>16.8</v>
      </c>
      <c r="M240" s="85">
        <v>19.100000000000001</v>
      </c>
      <c r="N240" s="85">
        <v>21.2</v>
      </c>
      <c r="O240" s="85">
        <v>23.3</v>
      </c>
      <c r="P240" s="94">
        <v>10.7</v>
      </c>
      <c r="Q240" s="94">
        <v>39.200000000000003</v>
      </c>
    </row>
    <row r="241" spans="1:17" hidden="1">
      <c r="A241" s="95" t="str">
        <f t="shared" si="3"/>
        <v>RS-Rio Grande</v>
      </c>
      <c r="B241" s="84" t="s">
        <v>611</v>
      </c>
      <c r="C241" s="83" t="s">
        <v>29</v>
      </c>
      <c r="D241" s="85">
        <v>23.3</v>
      </c>
      <c r="E241" s="85">
        <v>23.5</v>
      </c>
      <c r="F241" s="85">
        <v>22.2</v>
      </c>
      <c r="G241" s="85">
        <v>19.3</v>
      </c>
      <c r="H241" s="85">
        <v>16.399999999999999</v>
      </c>
      <c r="I241" s="85">
        <v>13.3</v>
      </c>
      <c r="J241" s="85">
        <v>13</v>
      </c>
      <c r="K241" s="85">
        <v>13.8</v>
      </c>
      <c r="L241" s="85">
        <v>15.3</v>
      </c>
      <c r="M241" s="85">
        <v>17.5</v>
      </c>
      <c r="N241" s="85">
        <v>19.5</v>
      </c>
      <c r="O241" s="85">
        <v>21.8</v>
      </c>
      <c r="P241" s="94">
        <v>10.6</v>
      </c>
      <c r="Q241" s="94">
        <v>36.4</v>
      </c>
    </row>
    <row r="242" spans="1:17" hidden="1">
      <c r="A242" s="95" t="str">
        <f t="shared" si="3"/>
        <v>RS-Santa Maria</v>
      </c>
      <c r="B242" s="84" t="s">
        <v>612</v>
      </c>
      <c r="C242" s="83" t="s">
        <v>29</v>
      </c>
      <c r="D242" s="85">
        <v>24.2</v>
      </c>
      <c r="E242" s="85">
        <v>23.9</v>
      </c>
      <c r="F242" s="85">
        <v>21.9</v>
      </c>
      <c r="G242" s="85">
        <v>18.399999999999999</v>
      </c>
      <c r="H242" s="85">
        <v>15.9</v>
      </c>
      <c r="I242" s="85">
        <v>13.9</v>
      </c>
      <c r="J242" s="85">
        <v>14.1</v>
      </c>
      <c r="K242" s="85">
        <v>14.2</v>
      </c>
      <c r="L242" s="85">
        <v>16.5</v>
      </c>
      <c r="M242" s="85">
        <v>18.600000000000001</v>
      </c>
      <c r="N242" s="85">
        <v>21</v>
      </c>
      <c r="O242" s="85">
        <v>23.3</v>
      </c>
      <c r="P242" s="94">
        <v>9.3000000000000007</v>
      </c>
      <c r="Q242" s="94">
        <v>40</v>
      </c>
    </row>
    <row r="243" spans="1:17" hidden="1">
      <c r="A243" s="95" t="str">
        <f t="shared" si="3"/>
        <v>RS-Santa Vitória do Palmar</v>
      </c>
      <c r="B243" s="84" t="s">
        <v>613</v>
      </c>
      <c r="C243" s="83" t="s">
        <v>29</v>
      </c>
      <c r="D243" s="85">
        <v>22.2</v>
      </c>
      <c r="E243" s="85">
        <v>22</v>
      </c>
      <c r="F243" s="85">
        <v>20.3</v>
      </c>
      <c r="G243" s="85">
        <v>17.2</v>
      </c>
      <c r="H243" s="85">
        <v>14.3</v>
      </c>
      <c r="I243" s="85">
        <v>11.7</v>
      </c>
      <c r="J243" s="85">
        <v>11.5</v>
      </c>
      <c r="K243" s="85">
        <v>11.9</v>
      </c>
      <c r="L243" s="85">
        <v>13.7</v>
      </c>
      <c r="M243" s="85">
        <v>15.8</v>
      </c>
      <c r="N243" s="85">
        <v>18</v>
      </c>
      <c r="O243" s="85">
        <v>20.5</v>
      </c>
      <c r="P243" s="94">
        <v>8.1999999999999993</v>
      </c>
      <c r="Q243" s="94">
        <v>39.200000000000003</v>
      </c>
    </row>
    <row r="244" spans="1:17" hidden="1">
      <c r="A244" s="95" t="str">
        <f t="shared" si="3"/>
        <v>RS-Santana do Livramento</v>
      </c>
      <c r="B244" s="84" t="s">
        <v>614</v>
      </c>
      <c r="C244" s="83" t="s">
        <v>29</v>
      </c>
      <c r="D244" s="85">
        <v>23.8</v>
      </c>
      <c r="E244" s="85">
        <v>23</v>
      </c>
      <c r="F244" s="85">
        <v>20.9</v>
      </c>
      <c r="G244" s="85">
        <v>17.3</v>
      </c>
      <c r="H244" s="85">
        <v>15</v>
      </c>
      <c r="I244" s="85">
        <v>12.4</v>
      </c>
      <c r="J244" s="85">
        <v>12.5</v>
      </c>
      <c r="K244" s="85">
        <v>13.5</v>
      </c>
      <c r="L244" s="85">
        <v>15</v>
      </c>
      <c r="M244" s="85">
        <v>17.600000000000001</v>
      </c>
      <c r="N244" s="85">
        <v>20</v>
      </c>
      <c r="O244" s="85">
        <v>22.4</v>
      </c>
      <c r="P244" s="94">
        <v>7.8</v>
      </c>
      <c r="Q244" s="94">
        <v>40.5</v>
      </c>
    </row>
    <row r="245" spans="1:17">
      <c r="A245" s="95" t="str">
        <f t="shared" si="3"/>
        <v>RS-Santo Ângelo</v>
      </c>
      <c r="B245" s="84" t="s">
        <v>78</v>
      </c>
      <c r="C245" s="83" t="s">
        <v>29</v>
      </c>
      <c r="D245" s="85">
        <v>24.9</v>
      </c>
      <c r="E245" s="85">
        <v>24.4</v>
      </c>
      <c r="F245" s="85">
        <v>22.6</v>
      </c>
      <c r="G245" s="85">
        <v>19.399999999999999</v>
      </c>
      <c r="H245" s="85">
        <v>16.5</v>
      </c>
      <c r="I245" s="85">
        <v>14.2</v>
      </c>
      <c r="J245" s="85">
        <v>14.6</v>
      </c>
      <c r="K245" s="85">
        <v>16.2</v>
      </c>
      <c r="L245" s="85">
        <v>17.399999999999999</v>
      </c>
      <c r="M245" s="85">
        <v>19.899999999999999</v>
      </c>
      <c r="N245" s="85">
        <v>22.5</v>
      </c>
      <c r="O245" s="85">
        <v>24.2</v>
      </c>
      <c r="P245" s="94">
        <v>9</v>
      </c>
      <c r="Q245" s="94">
        <v>40</v>
      </c>
    </row>
    <row r="246" spans="1:17" hidden="1">
      <c r="A246" s="95" t="str">
        <f t="shared" si="3"/>
        <v>RS-São Gabriel</v>
      </c>
      <c r="B246" s="84" t="s">
        <v>615</v>
      </c>
      <c r="C246" s="83" t="s">
        <v>29</v>
      </c>
      <c r="D246" s="85">
        <v>24</v>
      </c>
      <c r="E246" s="85">
        <v>23.7</v>
      </c>
      <c r="F246" s="85">
        <v>21.7</v>
      </c>
      <c r="G246" s="85">
        <v>18.2</v>
      </c>
      <c r="H246" s="85">
        <v>15.4</v>
      </c>
      <c r="I246" s="85">
        <v>12.5</v>
      </c>
      <c r="J246" s="85">
        <v>12.6</v>
      </c>
      <c r="K246" s="85">
        <v>13.5</v>
      </c>
      <c r="L246" s="85">
        <v>15.7</v>
      </c>
      <c r="M246" s="85">
        <v>17.8</v>
      </c>
      <c r="N246" s="85">
        <v>20.5</v>
      </c>
      <c r="O246" s="85">
        <v>23</v>
      </c>
      <c r="P246" s="94">
        <v>7.5</v>
      </c>
      <c r="Q246" s="94">
        <v>39.5</v>
      </c>
    </row>
    <row r="247" spans="1:17" hidden="1">
      <c r="A247" s="95" t="str">
        <f t="shared" si="3"/>
        <v>RS-São Luiz Gonzaga</v>
      </c>
      <c r="B247" s="84" t="s">
        <v>616</v>
      </c>
      <c r="C247" s="83" t="s">
        <v>29</v>
      </c>
      <c r="D247" s="85">
        <v>24.9</v>
      </c>
      <c r="E247" s="85">
        <v>24.5</v>
      </c>
      <c r="F247" s="85">
        <v>22.8</v>
      </c>
      <c r="G247" s="85">
        <v>19.399999999999999</v>
      </c>
      <c r="H247" s="85">
        <v>16.899999999999999</v>
      </c>
      <c r="I247" s="85">
        <v>14.6</v>
      </c>
      <c r="J247" s="85">
        <v>14.9</v>
      </c>
      <c r="K247" s="85">
        <v>15.5</v>
      </c>
      <c r="L247" s="85">
        <v>17.600000000000001</v>
      </c>
      <c r="M247" s="85">
        <v>19.8</v>
      </c>
      <c r="N247" s="85">
        <v>22</v>
      </c>
      <c r="O247" s="85">
        <v>24.2</v>
      </c>
      <c r="P247" s="94">
        <v>10.8</v>
      </c>
      <c r="Q247" s="94">
        <v>39.4</v>
      </c>
    </row>
    <row r="248" spans="1:17" hidden="1">
      <c r="A248" s="95" t="str">
        <f t="shared" si="3"/>
        <v>RS-Tapes</v>
      </c>
      <c r="B248" s="84" t="s">
        <v>617</v>
      </c>
      <c r="C248" s="83" t="s">
        <v>29</v>
      </c>
      <c r="D248" s="85">
        <v>24.4</v>
      </c>
      <c r="E248" s="85">
        <v>24.5</v>
      </c>
      <c r="F248" s="85">
        <v>22.8</v>
      </c>
      <c r="G248" s="85">
        <v>19.600000000000001</v>
      </c>
      <c r="H248" s="85">
        <v>16.600000000000001</v>
      </c>
      <c r="I248" s="85">
        <v>14</v>
      </c>
      <c r="J248" s="85">
        <v>13.6</v>
      </c>
      <c r="K248" s="85">
        <v>14.3</v>
      </c>
      <c r="L248" s="85">
        <v>16.3</v>
      </c>
      <c r="M248" s="85">
        <v>18.600000000000001</v>
      </c>
      <c r="N248" s="85">
        <v>20.9</v>
      </c>
      <c r="O248" s="85">
        <v>23</v>
      </c>
      <c r="P248" s="94">
        <v>10</v>
      </c>
      <c r="Q248" s="94">
        <v>40</v>
      </c>
    </row>
    <row r="249" spans="1:17" hidden="1">
      <c r="A249" s="95" t="str">
        <f t="shared" si="3"/>
        <v>RS-Torres</v>
      </c>
      <c r="B249" s="84" t="s">
        <v>618</v>
      </c>
      <c r="C249" s="83" t="s">
        <v>29</v>
      </c>
      <c r="D249" s="85">
        <v>22.8</v>
      </c>
      <c r="E249" s="85">
        <v>23.3</v>
      </c>
      <c r="F249" s="85">
        <v>22.4</v>
      </c>
      <c r="G249" s="85">
        <v>20.100000000000001</v>
      </c>
      <c r="H249" s="85">
        <v>17.5</v>
      </c>
      <c r="I249" s="85">
        <v>15.1</v>
      </c>
      <c r="J249" s="85">
        <v>14.8</v>
      </c>
      <c r="K249" s="85">
        <v>15.3</v>
      </c>
      <c r="L249" s="85">
        <v>16.3</v>
      </c>
      <c r="M249" s="85">
        <v>18.2</v>
      </c>
      <c r="N249" s="85">
        <v>19.899999999999999</v>
      </c>
      <c r="O249" s="85">
        <v>21.7</v>
      </c>
      <c r="P249" s="94">
        <v>11.3</v>
      </c>
      <c r="Q249" s="94">
        <v>39.200000000000003</v>
      </c>
    </row>
    <row r="250" spans="1:17" hidden="1">
      <c r="A250" s="95" t="str">
        <f t="shared" si="3"/>
        <v>RS-Uruguaiana</v>
      </c>
      <c r="B250" s="84" t="s">
        <v>619</v>
      </c>
      <c r="C250" s="83" t="s">
        <v>29</v>
      </c>
      <c r="D250" s="85">
        <v>25.9</v>
      </c>
      <c r="E250" s="85">
        <v>25.1</v>
      </c>
      <c r="F250" s="85">
        <v>23.1</v>
      </c>
      <c r="G250" s="85">
        <v>19.8</v>
      </c>
      <c r="H250" s="85">
        <v>16.8</v>
      </c>
      <c r="I250" s="85">
        <v>13.8</v>
      </c>
      <c r="J250" s="85">
        <v>14.2</v>
      </c>
      <c r="K250" s="85">
        <v>14.6</v>
      </c>
      <c r="L250" s="85">
        <v>17.100000000000001</v>
      </c>
      <c r="M250" s="85">
        <v>19.600000000000001</v>
      </c>
      <c r="N250" s="85">
        <v>22.3</v>
      </c>
      <c r="O250" s="85">
        <v>24.7</v>
      </c>
      <c r="P250" s="94">
        <v>9.6</v>
      </c>
      <c r="Q250" s="94">
        <v>40.799999999999997</v>
      </c>
    </row>
    <row r="251" spans="1:17" hidden="1">
      <c r="A251" s="95" t="str">
        <f t="shared" si="3"/>
        <v>RS-Vacaria</v>
      </c>
      <c r="B251" s="84" t="s">
        <v>620</v>
      </c>
      <c r="C251" s="83" t="s">
        <v>29</v>
      </c>
      <c r="D251" s="85">
        <v>19.399999999999999</v>
      </c>
      <c r="E251" s="85">
        <v>19.7</v>
      </c>
      <c r="F251" s="85">
        <v>18</v>
      </c>
      <c r="G251" s="85">
        <v>14.9</v>
      </c>
      <c r="H251" s="85">
        <v>12.5</v>
      </c>
      <c r="I251" s="85">
        <v>10.8</v>
      </c>
      <c r="J251" s="85">
        <v>10.9</v>
      </c>
      <c r="K251" s="85">
        <v>11.7</v>
      </c>
      <c r="L251" s="85">
        <v>13.2</v>
      </c>
      <c r="M251" s="85">
        <v>15.4</v>
      </c>
      <c r="N251" s="85">
        <v>17.100000000000001</v>
      </c>
      <c r="O251" s="85">
        <v>18.600000000000001</v>
      </c>
      <c r="P251" s="94">
        <v>6.3</v>
      </c>
      <c r="Q251" s="94">
        <v>35.5</v>
      </c>
    </row>
    <row r="252" spans="1:17" hidden="1">
      <c r="A252" s="95" t="str">
        <f t="shared" si="3"/>
        <v xml:space="preserve">SC- Araranguá </v>
      </c>
      <c r="B252" s="84" t="s">
        <v>621</v>
      </c>
      <c r="C252" s="83" t="s">
        <v>622</v>
      </c>
      <c r="D252" s="85">
        <v>24</v>
      </c>
      <c r="E252" s="85">
        <v>24.1</v>
      </c>
      <c r="F252" s="85">
        <v>22.8</v>
      </c>
      <c r="G252" s="85">
        <v>20.2</v>
      </c>
      <c r="H252" s="85">
        <v>17.8</v>
      </c>
      <c r="I252" s="85">
        <v>15.6</v>
      </c>
      <c r="J252" s="85">
        <v>15.2</v>
      </c>
      <c r="K252" s="85">
        <v>16</v>
      </c>
      <c r="L252" s="85">
        <v>17.399999999999999</v>
      </c>
      <c r="M252" s="85">
        <v>19.100000000000001</v>
      </c>
      <c r="N252" s="85">
        <v>21.1</v>
      </c>
      <c r="O252" s="85">
        <v>22.9</v>
      </c>
      <c r="P252" s="94">
        <v>9.6999999999999993</v>
      </c>
      <c r="Q252" s="94">
        <v>39.299999999999997</v>
      </c>
    </row>
    <row r="253" spans="1:17" hidden="1">
      <c r="A253" s="95" t="str">
        <f t="shared" si="3"/>
        <v>SC-Camboriú</v>
      </c>
      <c r="B253" s="84" t="s">
        <v>623</v>
      </c>
      <c r="C253" s="83" t="s">
        <v>622</v>
      </c>
      <c r="D253" s="85">
        <v>23.9</v>
      </c>
      <c r="E253" s="85">
        <v>24</v>
      </c>
      <c r="F253" s="85">
        <v>23.1</v>
      </c>
      <c r="G253" s="85">
        <v>20.100000000000001</v>
      </c>
      <c r="H253" s="85">
        <v>17.5</v>
      </c>
      <c r="I253" s="85">
        <v>15.6</v>
      </c>
      <c r="J253" s="85">
        <v>15</v>
      </c>
      <c r="K253" s="85">
        <v>16</v>
      </c>
      <c r="L253" s="85">
        <v>17.5</v>
      </c>
      <c r="M253" s="85">
        <v>19.3</v>
      </c>
      <c r="N253" s="85">
        <v>21</v>
      </c>
      <c r="O253" s="85">
        <v>22.7</v>
      </c>
      <c r="P253" s="94">
        <v>10.6</v>
      </c>
      <c r="Q253" s="94">
        <v>39.200000000000003</v>
      </c>
    </row>
    <row r="254" spans="1:17" hidden="1">
      <c r="A254" s="95" t="str">
        <f t="shared" si="3"/>
        <v>SC-Campos Novos</v>
      </c>
      <c r="B254" s="84" t="s">
        <v>624</v>
      </c>
      <c r="C254" s="83" t="s">
        <v>622</v>
      </c>
      <c r="D254" s="85">
        <v>20.7</v>
      </c>
      <c r="E254" s="85">
        <v>20.7</v>
      </c>
      <c r="F254" s="85">
        <v>19.5</v>
      </c>
      <c r="G254" s="85">
        <v>16.5</v>
      </c>
      <c r="H254" s="85">
        <v>14.2</v>
      </c>
      <c r="I254" s="85">
        <v>12.5</v>
      </c>
      <c r="J254" s="85">
        <v>12.9</v>
      </c>
      <c r="K254" s="85">
        <v>13.3</v>
      </c>
      <c r="L254" s="85">
        <v>14.7</v>
      </c>
      <c r="M254" s="85">
        <v>16.399999999999999</v>
      </c>
      <c r="N254" s="85">
        <v>18.2</v>
      </c>
      <c r="O254" s="85">
        <v>19.899999999999999</v>
      </c>
      <c r="P254" s="94">
        <v>8.6</v>
      </c>
      <c r="Q254" s="94">
        <v>35.6</v>
      </c>
    </row>
    <row r="255" spans="1:17" hidden="1">
      <c r="A255" s="95" t="str">
        <f t="shared" si="3"/>
        <v>SC-Chapecó</v>
      </c>
      <c r="B255" s="84" t="s">
        <v>625</v>
      </c>
      <c r="C255" s="83" t="s">
        <v>622</v>
      </c>
      <c r="D255" s="85">
        <v>22.8</v>
      </c>
      <c r="E255" s="85">
        <v>22.9</v>
      </c>
      <c r="F255" s="85">
        <v>21.5</v>
      </c>
      <c r="G255" s="85">
        <v>18.5</v>
      </c>
      <c r="H255" s="85">
        <v>16</v>
      </c>
      <c r="I255" s="85">
        <v>14.1</v>
      </c>
      <c r="J255" s="85">
        <v>15</v>
      </c>
      <c r="K255" s="85">
        <v>15.6</v>
      </c>
      <c r="L255" s="85">
        <v>16.399999999999999</v>
      </c>
      <c r="M255" s="85">
        <v>19.100000000000001</v>
      </c>
      <c r="N255" s="85">
        <v>20.6</v>
      </c>
      <c r="O255" s="85">
        <v>22.2</v>
      </c>
      <c r="P255" s="94">
        <v>10.199999999999999</v>
      </c>
      <c r="Q255" s="94">
        <v>37.200000000000003</v>
      </c>
    </row>
    <row r="256" spans="1:17" hidden="1">
      <c r="A256" s="95" t="str">
        <f t="shared" si="3"/>
        <v>SC-Florianópolis</v>
      </c>
      <c r="B256" s="84" t="s">
        <v>626</v>
      </c>
      <c r="C256" s="83" t="s">
        <v>622</v>
      </c>
      <c r="D256" s="85">
        <v>24.2</v>
      </c>
      <c r="E256" s="85">
        <v>24.6</v>
      </c>
      <c r="F256" s="85">
        <v>23.6</v>
      </c>
      <c r="G256" s="85">
        <v>21.1</v>
      </c>
      <c r="H256" s="85">
        <v>18.899999999999999</v>
      </c>
      <c r="I256" s="85">
        <v>16.7</v>
      </c>
      <c r="J256" s="85">
        <v>16.5</v>
      </c>
      <c r="K256" s="85">
        <v>16.899999999999999</v>
      </c>
      <c r="L256" s="85">
        <v>17.899999999999999</v>
      </c>
      <c r="M256" s="85">
        <v>19.600000000000001</v>
      </c>
      <c r="N256" s="85">
        <v>21.3</v>
      </c>
      <c r="O256" s="85">
        <v>23</v>
      </c>
      <c r="P256" s="94">
        <v>13.3</v>
      </c>
      <c r="Q256" s="94">
        <v>38.799999999999997</v>
      </c>
    </row>
    <row r="257" spans="1:17" hidden="1">
      <c r="A257" s="95" t="str">
        <f t="shared" si="3"/>
        <v xml:space="preserve">SC-Irineópolis </v>
      </c>
      <c r="B257" s="84" t="s">
        <v>627</v>
      </c>
      <c r="C257" s="83" t="s">
        <v>622</v>
      </c>
      <c r="D257" s="85">
        <v>20.7</v>
      </c>
      <c r="E257" s="85">
        <v>20.8</v>
      </c>
      <c r="F257" s="85">
        <v>19.5</v>
      </c>
      <c r="G257" s="85">
        <v>16.100000000000001</v>
      </c>
      <c r="H257" s="85">
        <v>12.9</v>
      </c>
      <c r="I257" s="85">
        <v>11.4</v>
      </c>
      <c r="J257" s="85">
        <v>11.4</v>
      </c>
      <c r="K257" s="85">
        <v>12.6</v>
      </c>
      <c r="L257" s="85">
        <v>14.8</v>
      </c>
      <c r="M257" s="85">
        <v>16.899999999999999</v>
      </c>
      <c r="N257" s="85">
        <v>18.5</v>
      </c>
      <c r="O257" s="85">
        <v>19.899999999999999</v>
      </c>
      <c r="P257" s="94">
        <v>5.9</v>
      </c>
      <c r="Q257" s="94">
        <v>36.5</v>
      </c>
    </row>
    <row r="258" spans="1:17" hidden="1">
      <c r="A258" s="95" t="str">
        <f t="shared" si="3"/>
        <v>SC-Lages</v>
      </c>
      <c r="B258" s="84" t="s">
        <v>628</v>
      </c>
      <c r="C258" s="83" t="s">
        <v>622</v>
      </c>
      <c r="D258" s="85">
        <v>20.2</v>
      </c>
      <c r="E258" s="85">
        <v>20.3</v>
      </c>
      <c r="F258" s="85">
        <v>18.8</v>
      </c>
      <c r="G258" s="85">
        <v>15.6</v>
      </c>
      <c r="H258" s="85">
        <v>12.9</v>
      </c>
      <c r="I258" s="85">
        <v>11.1</v>
      </c>
      <c r="J258" s="85">
        <v>11.1</v>
      </c>
      <c r="K258" s="85">
        <v>11.9</v>
      </c>
      <c r="L258" s="85">
        <v>14</v>
      </c>
      <c r="M258" s="85">
        <v>15.4</v>
      </c>
      <c r="N258" s="85">
        <v>17.3</v>
      </c>
      <c r="O258" s="85">
        <v>19</v>
      </c>
      <c r="P258" s="94">
        <v>7.1</v>
      </c>
      <c r="Q258" s="94">
        <v>33.9</v>
      </c>
    </row>
    <row r="259" spans="1:17" hidden="1">
      <c r="A259" s="95" t="str">
        <f t="shared" si="3"/>
        <v>SC-Laguna</v>
      </c>
      <c r="B259" s="84" t="s">
        <v>629</v>
      </c>
      <c r="C259" s="83" t="s">
        <v>622</v>
      </c>
      <c r="D259" s="85">
        <v>23.8</v>
      </c>
      <c r="E259" s="85">
        <v>24</v>
      </c>
      <c r="F259" s="85">
        <v>23.1</v>
      </c>
      <c r="G259" s="85">
        <v>20.9</v>
      </c>
      <c r="H259" s="85">
        <v>18.7</v>
      </c>
      <c r="I259" s="85">
        <v>16.399999999999999</v>
      </c>
      <c r="J259" s="85">
        <v>16.100000000000001</v>
      </c>
      <c r="K259" s="85">
        <v>16.399999999999999</v>
      </c>
      <c r="L259" s="85">
        <v>17.3</v>
      </c>
      <c r="M259" s="85">
        <v>18.899999999999999</v>
      </c>
      <c r="N259" s="85">
        <v>20.7</v>
      </c>
      <c r="O259" s="85">
        <v>22.4</v>
      </c>
      <c r="P259" s="94">
        <v>12.7</v>
      </c>
      <c r="Q259" s="94">
        <v>36</v>
      </c>
    </row>
    <row r="260" spans="1:17" hidden="1">
      <c r="A260" s="95" t="str">
        <f t="shared" si="3"/>
        <v>SC-Orleans</v>
      </c>
      <c r="B260" s="84" t="s">
        <v>630</v>
      </c>
      <c r="C260" s="83" t="s">
        <v>622</v>
      </c>
      <c r="D260" s="85">
        <v>23.2</v>
      </c>
      <c r="E260" s="85">
        <v>23.1</v>
      </c>
      <c r="F260" s="85">
        <v>21.9</v>
      </c>
      <c r="G260" s="85">
        <v>19</v>
      </c>
      <c r="H260" s="85">
        <v>16.100000000000001</v>
      </c>
      <c r="I260" s="85">
        <v>14.1</v>
      </c>
      <c r="J260" s="85">
        <v>14.1</v>
      </c>
      <c r="K260" s="85">
        <v>15</v>
      </c>
      <c r="L260" s="85">
        <v>16.399999999999999</v>
      </c>
      <c r="M260" s="85">
        <v>18.7</v>
      </c>
      <c r="N260" s="85">
        <v>20.7</v>
      </c>
      <c r="O260" s="85">
        <v>22.3</v>
      </c>
      <c r="P260" s="94">
        <v>8.5</v>
      </c>
      <c r="Q260" s="94">
        <v>44.6</v>
      </c>
    </row>
    <row r="261" spans="1:17" hidden="1">
      <c r="A261" s="95" t="str">
        <f t="shared" si="3"/>
        <v>SC-Porto União</v>
      </c>
      <c r="B261" s="84" t="s">
        <v>631</v>
      </c>
      <c r="C261" s="83" t="s">
        <v>622</v>
      </c>
      <c r="D261" s="85">
        <v>21.8</v>
      </c>
      <c r="E261" s="85">
        <v>21.8</v>
      </c>
      <c r="F261" s="85">
        <v>20.5</v>
      </c>
      <c r="G261" s="85">
        <v>17.100000000000001</v>
      </c>
      <c r="H261" s="85">
        <v>14.4</v>
      </c>
      <c r="I261" s="85">
        <v>12.3</v>
      </c>
      <c r="J261" s="85">
        <v>12.6</v>
      </c>
      <c r="K261" s="85">
        <v>13.6</v>
      </c>
      <c r="L261" s="85">
        <v>15.6</v>
      </c>
      <c r="M261" s="85">
        <v>17.7</v>
      </c>
      <c r="N261" s="85">
        <v>19.5</v>
      </c>
      <c r="O261" s="85">
        <v>21.1</v>
      </c>
      <c r="P261" s="94">
        <v>7.8</v>
      </c>
      <c r="Q261" s="94">
        <v>36.1</v>
      </c>
    </row>
    <row r="262" spans="1:17" hidden="1">
      <c r="A262" s="95" t="str">
        <f t="shared" ref="A262:A298" si="4">CONCATENATE(C262,"-",B262)</f>
        <v>SC-São Francisco do Sul</v>
      </c>
      <c r="B262" s="84" t="s">
        <v>632</v>
      </c>
      <c r="C262" s="83" t="s">
        <v>622</v>
      </c>
      <c r="D262" s="85">
        <v>24.3</v>
      </c>
      <c r="E262" s="85">
        <v>24.4</v>
      </c>
      <c r="F262" s="85">
        <v>23.6</v>
      </c>
      <c r="G262" s="85">
        <v>21.3</v>
      </c>
      <c r="H262" s="85">
        <v>19.3</v>
      </c>
      <c r="I262" s="85">
        <v>16.8</v>
      </c>
      <c r="J262" s="85">
        <v>16.600000000000001</v>
      </c>
      <c r="K262" s="85">
        <v>17.100000000000001</v>
      </c>
      <c r="L262" s="85">
        <v>17.7</v>
      </c>
      <c r="M262" s="85">
        <v>19.399999999999999</v>
      </c>
      <c r="N262" s="85">
        <v>21.4</v>
      </c>
      <c r="O262" s="85">
        <v>23.4</v>
      </c>
      <c r="P262" s="94">
        <v>13.9</v>
      </c>
      <c r="Q262" s="94">
        <v>37.299999999999997</v>
      </c>
    </row>
    <row r="263" spans="1:17" hidden="1">
      <c r="A263" s="95" t="str">
        <f t="shared" si="4"/>
        <v>SC-São Joaquim</v>
      </c>
      <c r="B263" s="84" t="s">
        <v>633</v>
      </c>
      <c r="C263" s="83" t="s">
        <v>622</v>
      </c>
      <c r="D263" s="85">
        <v>16.8</v>
      </c>
      <c r="E263" s="85">
        <v>17.100000000000001</v>
      </c>
      <c r="F263" s="85">
        <v>15.9</v>
      </c>
      <c r="G263" s="85">
        <v>13.2</v>
      </c>
      <c r="H263" s="85">
        <v>11.4</v>
      </c>
      <c r="I263" s="85">
        <v>9.6999999999999993</v>
      </c>
      <c r="J263" s="85">
        <v>9.8000000000000007</v>
      </c>
      <c r="K263" s="85">
        <v>10.7</v>
      </c>
      <c r="L263" s="85">
        <v>12</v>
      </c>
      <c r="M263" s="85">
        <v>12.8</v>
      </c>
      <c r="N263" s="85">
        <v>14.4</v>
      </c>
      <c r="O263" s="85">
        <v>16</v>
      </c>
      <c r="P263" s="94">
        <v>5.7</v>
      </c>
      <c r="Q263" s="94">
        <v>31.4</v>
      </c>
    </row>
    <row r="264" spans="1:17" hidden="1">
      <c r="A264" s="95" t="str">
        <f t="shared" si="4"/>
        <v>SC-Urussanga</v>
      </c>
      <c r="B264" s="84" t="s">
        <v>634</v>
      </c>
      <c r="C264" s="83" t="s">
        <v>622</v>
      </c>
      <c r="D264" s="85">
        <v>23.8</v>
      </c>
      <c r="E264" s="85">
        <v>23.9</v>
      </c>
      <c r="F264" s="85">
        <v>22.7</v>
      </c>
      <c r="G264" s="85">
        <v>19.8</v>
      </c>
      <c r="H264" s="85">
        <v>17</v>
      </c>
      <c r="I264" s="85">
        <v>14.9</v>
      </c>
      <c r="J264" s="85">
        <v>14.7</v>
      </c>
      <c r="K264" s="85">
        <v>15.7</v>
      </c>
      <c r="L264" s="85">
        <v>17.100000000000001</v>
      </c>
      <c r="M264" s="85">
        <v>19</v>
      </c>
      <c r="N264" s="85">
        <v>21</v>
      </c>
      <c r="O264" s="85">
        <v>22.8</v>
      </c>
      <c r="P264" s="94">
        <v>9.3000000000000007</v>
      </c>
      <c r="Q264" s="94">
        <v>41.7</v>
      </c>
    </row>
    <row r="265" spans="1:17" hidden="1">
      <c r="A265" s="95" t="str">
        <f t="shared" si="4"/>
        <v>SC-Xanxerê</v>
      </c>
      <c r="B265" s="84" t="s">
        <v>635</v>
      </c>
      <c r="C265" s="83" t="s">
        <v>622</v>
      </c>
      <c r="D265" s="85">
        <v>21.2</v>
      </c>
      <c r="E265" s="85">
        <v>21.3</v>
      </c>
      <c r="F265" s="85">
        <v>20.3</v>
      </c>
      <c r="G265" s="85">
        <v>17.5</v>
      </c>
      <c r="H265" s="85">
        <v>15.1</v>
      </c>
      <c r="I265" s="85">
        <v>13.2</v>
      </c>
      <c r="J265" s="85">
        <v>13.7</v>
      </c>
      <c r="K265" s="85">
        <v>14.7</v>
      </c>
      <c r="L265" s="85">
        <v>16</v>
      </c>
      <c r="M265" s="85">
        <v>17.5</v>
      </c>
      <c r="N265" s="85">
        <v>19.2</v>
      </c>
      <c r="O265" s="85">
        <v>20.7</v>
      </c>
      <c r="P265" s="94">
        <v>8.6</v>
      </c>
      <c r="Q265" s="94">
        <v>36.200000000000003</v>
      </c>
    </row>
    <row r="266" spans="1:17" hidden="1">
      <c r="A266" s="95" t="str">
        <f t="shared" si="4"/>
        <v>SE-Aracaju</v>
      </c>
      <c r="B266" s="84" t="s">
        <v>636</v>
      </c>
      <c r="C266" s="83" t="s">
        <v>637</v>
      </c>
      <c r="D266" s="85">
        <v>27</v>
      </c>
      <c r="E266" s="85">
        <v>27.1</v>
      </c>
      <c r="F266" s="85">
        <v>27.1</v>
      </c>
      <c r="G266" s="85">
        <v>26.7</v>
      </c>
      <c r="H266" s="85">
        <v>26</v>
      </c>
      <c r="I266" s="85">
        <v>25.1</v>
      </c>
      <c r="J266" s="85">
        <v>24.4</v>
      </c>
      <c r="K266" s="85">
        <v>24.4</v>
      </c>
      <c r="L266" s="85">
        <v>25</v>
      </c>
      <c r="M266" s="85">
        <v>25.9</v>
      </c>
      <c r="N266" s="85">
        <v>26.3</v>
      </c>
      <c r="O266" s="85">
        <v>26.6</v>
      </c>
      <c r="P266" s="94">
        <v>21.6</v>
      </c>
      <c r="Q266" s="94">
        <v>40</v>
      </c>
    </row>
    <row r="267" spans="1:17" hidden="1">
      <c r="A267" s="95" t="str">
        <f t="shared" si="4"/>
        <v>SE-Itabaianinha</v>
      </c>
      <c r="B267" s="84" t="s">
        <v>638</v>
      </c>
      <c r="C267" s="83" t="s">
        <v>637</v>
      </c>
      <c r="D267" s="85">
        <v>25.3</v>
      </c>
      <c r="E267" s="85">
        <v>25.4</v>
      </c>
      <c r="F267" s="85">
        <v>25.3</v>
      </c>
      <c r="G267" s="85">
        <v>24.7</v>
      </c>
      <c r="H267" s="85">
        <v>23.8</v>
      </c>
      <c r="I267" s="85">
        <v>22.5</v>
      </c>
      <c r="J267" s="85">
        <v>21.8</v>
      </c>
      <c r="K267" s="85">
        <v>21.7</v>
      </c>
      <c r="L267" s="85">
        <v>22.5</v>
      </c>
      <c r="M267" s="85">
        <v>23.8</v>
      </c>
      <c r="N267" s="85">
        <v>24.7</v>
      </c>
      <c r="O267" s="85">
        <v>25</v>
      </c>
      <c r="P267" s="94">
        <v>18.2</v>
      </c>
      <c r="Q267" s="94">
        <v>38.6</v>
      </c>
    </row>
    <row r="268" spans="1:17" hidden="1">
      <c r="A268" s="95" t="str">
        <f t="shared" si="4"/>
        <v>SP-Araçatuba</v>
      </c>
      <c r="B268" s="84" t="s">
        <v>639</v>
      </c>
      <c r="C268" s="83" t="s">
        <v>640</v>
      </c>
      <c r="D268" s="85">
        <v>25.2</v>
      </c>
      <c r="E268" s="85">
        <v>25.3</v>
      </c>
      <c r="F268" s="85">
        <v>24.9</v>
      </c>
      <c r="G268" s="85">
        <v>22.9</v>
      </c>
      <c r="H268" s="85">
        <v>20.2</v>
      </c>
      <c r="I268" s="85">
        <v>19.2</v>
      </c>
      <c r="J268" s="85">
        <v>18.8</v>
      </c>
      <c r="K268" s="85">
        <v>21.1</v>
      </c>
      <c r="L268" s="85">
        <v>23.2</v>
      </c>
      <c r="M268" s="85">
        <v>23.8</v>
      </c>
      <c r="N268" s="85">
        <v>24.5</v>
      </c>
      <c r="O268" s="85">
        <v>24.8</v>
      </c>
      <c r="P268" s="94">
        <v>12.1</v>
      </c>
      <c r="Q268" s="94">
        <v>39.799999999999997</v>
      </c>
    </row>
    <row r="269" spans="1:17" hidden="1">
      <c r="A269" s="95" t="str">
        <f t="shared" si="4"/>
        <v>SP-Avaré</v>
      </c>
      <c r="B269" s="84" t="s">
        <v>641</v>
      </c>
      <c r="C269" s="83" t="s">
        <v>640</v>
      </c>
      <c r="D269" s="85">
        <v>22.5</v>
      </c>
      <c r="E269" s="85">
        <v>22.8</v>
      </c>
      <c r="F269" s="85">
        <v>22.1</v>
      </c>
      <c r="G269" s="85">
        <v>19.600000000000001</v>
      </c>
      <c r="H269" s="85">
        <v>17.8</v>
      </c>
      <c r="I269" s="85">
        <v>16.899999999999999</v>
      </c>
      <c r="J269" s="85">
        <v>16.8</v>
      </c>
      <c r="K269" s="85">
        <v>17.5</v>
      </c>
      <c r="L269" s="85">
        <v>18.3</v>
      </c>
      <c r="M269" s="85">
        <v>20.100000000000001</v>
      </c>
      <c r="N269" s="85">
        <v>20.9</v>
      </c>
      <c r="O269" s="85">
        <v>21.7</v>
      </c>
      <c r="P269" s="94">
        <v>12.2</v>
      </c>
      <c r="Q269" s="94">
        <v>35.9</v>
      </c>
    </row>
    <row r="270" spans="1:17" hidden="1">
      <c r="A270" s="95" t="str">
        <f t="shared" si="4"/>
        <v>SP-Bananal</v>
      </c>
      <c r="B270" s="84" t="s">
        <v>642</v>
      </c>
      <c r="C270" s="83" t="s">
        <v>640</v>
      </c>
      <c r="D270" s="85">
        <v>24.3</v>
      </c>
      <c r="E270" s="85">
        <v>24.2</v>
      </c>
      <c r="F270" s="85">
        <v>23.7</v>
      </c>
      <c r="G270" s="85">
        <v>22.2</v>
      </c>
      <c r="H270" s="85">
        <v>19.399999999999999</v>
      </c>
      <c r="I270" s="85">
        <v>17.7</v>
      </c>
      <c r="J270" s="85">
        <v>17.2</v>
      </c>
      <c r="K270" s="85">
        <v>18.100000000000001</v>
      </c>
      <c r="L270" s="85">
        <v>20</v>
      </c>
      <c r="M270" s="85">
        <v>20.7</v>
      </c>
      <c r="N270" s="85">
        <v>22.1</v>
      </c>
      <c r="O270" s="85">
        <v>23.2</v>
      </c>
      <c r="P270" s="94">
        <v>10.199999999999999</v>
      </c>
      <c r="Q270" s="94">
        <v>37.6</v>
      </c>
    </row>
    <row r="271" spans="1:17" hidden="1">
      <c r="A271" s="95" t="str">
        <f t="shared" si="4"/>
        <v>SP-Campinas</v>
      </c>
      <c r="B271" s="84" t="s">
        <v>643</v>
      </c>
      <c r="C271" s="83" t="s">
        <v>640</v>
      </c>
      <c r="D271" s="85">
        <v>23</v>
      </c>
      <c r="E271" s="85">
        <v>23.4</v>
      </c>
      <c r="F271" s="85">
        <v>22.8</v>
      </c>
      <c r="G271" s="85">
        <v>21</v>
      </c>
      <c r="H271" s="85">
        <v>18.5</v>
      </c>
      <c r="I271" s="85">
        <v>17.3</v>
      </c>
      <c r="J271" s="85">
        <v>17.2</v>
      </c>
      <c r="K271" s="85">
        <v>19</v>
      </c>
      <c r="L271" s="85">
        <v>20.399999999999999</v>
      </c>
      <c r="M271" s="85">
        <v>21.1</v>
      </c>
      <c r="N271" s="85">
        <v>21.8</v>
      </c>
      <c r="O271" s="85">
        <v>22.4</v>
      </c>
      <c r="P271" s="94">
        <v>11.8</v>
      </c>
      <c r="Q271" s="94">
        <v>37.700000000000003</v>
      </c>
    </row>
    <row r="272" spans="1:17" hidden="1">
      <c r="A272" s="95" t="str">
        <f t="shared" si="4"/>
        <v>SP-Campos do Jordão</v>
      </c>
      <c r="B272" s="84" t="s">
        <v>644</v>
      </c>
      <c r="C272" s="83" t="s">
        <v>640</v>
      </c>
      <c r="D272" s="85">
        <v>17.3</v>
      </c>
      <c r="E272" s="85">
        <v>17.5</v>
      </c>
      <c r="F272" s="85">
        <v>16.7</v>
      </c>
      <c r="G272" s="85">
        <v>14.7</v>
      </c>
      <c r="H272" s="85">
        <v>11.9</v>
      </c>
      <c r="I272" s="85">
        <v>10.1</v>
      </c>
      <c r="J272" s="85">
        <v>9.5</v>
      </c>
      <c r="K272" s="85">
        <v>11.3</v>
      </c>
      <c r="L272" s="85">
        <v>13.4</v>
      </c>
      <c r="M272" s="85">
        <v>14.9</v>
      </c>
      <c r="N272" s="85">
        <v>15.9</v>
      </c>
      <c r="O272" s="85">
        <v>16.600000000000001</v>
      </c>
      <c r="P272" s="94">
        <v>3</v>
      </c>
      <c r="Q272" s="94">
        <v>30.5</v>
      </c>
    </row>
    <row r="273" spans="1:17" hidden="1">
      <c r="A273" s="95" t="str">
        <f t="shared" si="4"/>
        <v>SP-Catanduva</v>
      </c>
      <c r="B273" s="84" t="s">
        <v>645</v>
      </c>
      <c r="C273" s="83" t="s">
        <v>640</v>
      </c>
      <c r="D273" s="85">
        <v>24.9</v>
      </c>
      <c r="E273" s="85">
        <v>25</v>
      </c>
      <c r="F273" s="85">
        <v>24.6</v>
      </c>
      <c r="G273" s="85">
        <v>23.1</v>
      </c>
      <c r="H273" s="85">
        <v>20.5</v>
      </c>
      <c r="I273" s="85">
        <v>19.5</v>
      </c>
      <c r="J273" s="85">
        <v>19.100000000000001</v>
      </c>
      <c r="K273" s="85">
        <v>21.1</v>
      </c>
      <c r="L273" s="85">
        <v>22.9</v>
      </c>
      <c r="M273" s="85">
        <v>23.9</v>
      </c>
      <c r="N273" s="85">
        <v>24.6</v>
      </c>
      <c r="O273" s="85">
        <v>24.4</v>
      </c>
      <c r="P273" s="94">
        <v>13.1</v>
      </c>
      <c r="Q273" s="94">
        <v>39.9</v>
      </c>
    </row>
    <row r="274" spans="1:17" hidden="1">
      <c r="A274" s="95" t="str">
        <f t="shared" si="4"/>
        <v>SP-Coop. Agrícola de Cotia</v>
      </c>
      <c r="B274" s="84" t="s">
        <v>646</v>
      </c>
      <c r="C274" s="83" t="s">
        <v>640</v>
      </c>
      <c r="D274" s="85">
        <v>21</v>
      </c>
      <c r="E274" s="85">
        <v>21.1</v>
      </c>
      <c r="F274" s="85">
        <v>20.5</v>
      </c>
      <c r="G274" s="85">
        <v>18.5</v>
      </c>
      <c r="H274" s="85">
        <v>16.2</v>
      </c>
      <c r="I274" s="85">
        <v>15.2</v>
      </c>
      <c r="J274" s="85">
        <v>14.6</v>
      </c>
      <c r="K274" s="85">
        <v>16.100000000000001</v>
      </c>
      <c r="L274" s="85">
        <v>17.600000000000001</v>
      </c>
      <c r="M274" s="85">
        <v>17.899999999999999</v>
      </c>
      <c r="N274" s="85">
        <v>19.100000000000001</v>
      </c>
      <c r="O274" s="85">
        <v>20.100000000000001</v>
      </c>
      <c r="P274" s="94">
        <v>10.3</v>
      </c>
      <c r="Q274" s="94">
        <v>34.6</v>
      </c>
    </row>
    <row r="275" spans="1:17" hidden="1">
      <c r="A275" s="95" t="str">
        <f t="shared" si="4"/>
        <v>SP-Franca</v>
      </c>
      <c r="B275" s="84" t="s">
        <v>647</v>
      </c>
      <c r="C275" s="83" t="s">
        <v>640</v>
      </c>
      <c r="D275" s="85">
        <v>21.7</v>
      </c>
      <c r="E275" s="85">
        <v>22</v>
      </c>
      <c r="F275" s="85">
        <v>22</v>
      </c>
      <c r="G275" s="85">
        <v>21</v>
      </c>
      <c r="H275" s="85">
        <v>19</v>
      </c>
      <c r="I275" s="85">
        <v>17.8</v>
      </c>
      <c r="J275" s="85">
        <v>17.7</v>
      </c>
      <c r="K275" s="85">
        <v>19.7</v>
      </c>
      <c r="L275" s="85">
        <v>20.7</v>
      </c>
      <c r="M275" s="85">
        <v>21.2</v>
      </c>
      <c r="N275" s="85">
        <v>21.5</v>
      </c>
      <c r="O275" s="85">
        <v>21.3</v>
      </c>
      <c r="P275" s="94">
        <v>12.6</v>
      </c>
      <c r="Q275" s="94">
        <v>35.5</v>
      </c>
    </row>
    <row r="276" spans="1:17" hidden="1">
      <c r="A276" s="95" t="str">
        <f t="shared" si="4"/>
        <v>SP-Iguape</v>
      </c>
      <c r="B276" s="84" t="s">
        <v>648</v>
      </c>
      <c r="C276" s="83" t="s">
        <v>640</v>
      </c>
      <c r="D276" s="85">
        <v>25.1</v>
      </c>
      <c r="E276" s="85">
        <v>25.5</v>
      </c>
      <c r="F276" s="85">
        <v>24.6</v>
      </c>
      <c r="G276" s="85">
        <v>22.5</v>
      </c>
      <c r="H276" s="85">
        <v>20.100000000000001</v>
      </c>
      <c r="I276" s="85">
        <v>18.399999999999999</v>
      </c>
      <c r="J276" s="85">
        <v>17.899999999999999</v>
      </c>
      <c r="K276" s="85">
        <v>18.600000000000001</v>
      </c>
      <c r="L276" s="85">
        <v>19.3</v>
      </c>
      <c r="M276" s="85">
        <v>20.9</v>
      </c>
      <c r="N276" s="85">
        <v>22.6</v>
      </c>
      <c r="O276" s="85">
        <v>24.1</v>
      </c>
      <c r="P276" s="94">
        <v>14.3</v>
      </c>
      <c r="Q276" s="94">
        <v>39.9</v>
      </c>
    </row>
    <row r="277" spans="1:17" hidden="1">
      <c r="A277" s="95" t="str">
        <f t="shared" si="4"/>
        <v>SP-Itapeva</v>
      </c>
      <c r="B277" s="84" t="s">
        <v>649</v>
      </c>
      <c r="C277" s="83" t="s">
        <v>640</v>
      </c>
      <c r="D277" s="85">
        <v>22.6</v>
      </c>
      <c r="E277" s="85">
        <v>23</v>
      </c>
      <c r="F277" s="85">
        <v>22</v>
      </c>
      <c r="G277" s="85">
        <v>19.7</v>
      </c>
      <c r="H277" s="85">
        <v>17.100000000000001</v>
      </c>
      <c r="I277" s="85">
        <v>15.2</v>
      </c>
      <c r="J277" s="85">
        <v>15.1</v>
      </c>
      <c r="K277" s="85">
        <v>16.3</v>
      </c>
      <c r="L277" s="85">
        <v>17.399999999999999</v>
      </c>
      <c r="M277" s="85">
        <v>19.2</v>
      </c>
      <c r="N277" s="85">
        <v>20.7</v>
      </c>
      <c r="O277" s="85">
        <v>21.7</v>
      </c>
      <c r="P277" s="94">
        <v>9.6999999999999993</v>
      </c>
      <c r="Q277" s="94">
        <v>37</v>
      </c>
    </row>
    <row r="278" spans="1:17" hidden="1">
      <c r="A278" s="95" t="str">
        <f t="shared" si="4"/>
        <v>SP-Lins</v>
      </c>
      <c r="B278" s="84" t="s">
        <v>650</v>
      </c>
      <c r="C278" s="83" t="s">
        <v>640</v>
      </c>
      <c r="D278" s="85">
        <v>25</v>
      </c>
      <c r="E278" s="85">
        <v>25</v>
      </c>
      <c r="F278" s="85">
        <v>24.7</v>
      </c>
      <c r="G278" s="85">
        <v>22.7</v>
      </c>
      <c r="H278" s="85">
        <v>20</v>
      </c>
      <c r="I278" s="85">
        <v>18.7</v>
      </c>
      <c r="J278" s="85">
        <v>18.600000000000001</v>
      </c>
      <c r="K278" s="85">
        <v>20.7</v>
      </c>
      <c r="L278" s="85">
        <v>22.3</v>
      </c>
      <c r="M278" s="85">
        <v>23.4</v>
      </c>
      <c r="N278" s="85">
        <v>24.1</v>
      </c>
      <c r="O278" s="85">
        <v>24.5</v>
      </c>
      <c r="P278" s="94">
        <v>12.7</v>
      </c>
      <c r="Q278" s="94">
        <v>39.9</v>
      </c>
    </row>
    <row r="279" spans="1:17" hidden="1">
      <c r="A279" s="95" t="str">
        <f t="shared" si="4"/>
        <v>SP-Mogi das Cruzes</v>
      </c>
      <c r="B279" s="84" t="s">
        <v>651</v>
      </c>
      <c r="C279" s="83" t="s">
        <v>640</v>
      </c>
      <c r="D279" s="85">
        <v>19.8</v>
      </c>
      <c r="E279" s="85">
        <v>19.899999999999999</v>
      </c>
      <c r="F279" s="85">
        <v>19.600000000000001</v>
      </c>
      <c r="G279" s="85">
        <v>17.399999999999999</v>
      </c>
      <c r="H279" s="85">
        <v>15.3</v>
      </c>
      <c r="I279" s="85">
        <v>13.5</v>
      </c>
      <c r="J279" s="85">
        <v>13.1</v>
      </c>
      <c r="K279" s="85">
        <v>14.4</v>
      </c>
      <c r="L279" s="85">
        <v>16</v>
      </c>
      <c r="M279" s="85">
        <v>16.3</v>
      </c>
      <c r="N279" s="85">
        <v>17.8</v>
      </c>
      <c r="O279" s="85">
        <v>18.8</v>
      </c>
      <c r="P279" s="94">
        <v>7.2</v>
      </c>
      <c r="Q279" s="94">
        <v>34.700000000000003</v>
      </c>
    </row>
    <row r="280" spans="1:17" hidden="1">
      <c r="A280" s="95" t="str">
        <f t="shared" si="4"/>
        <v>SP-Presidente Prudente</v>
      </c>
      <c r="B280" s="84" t="s">
        <v>652</v>
      </c>
      <c r="C280" s="83" t="s">
        <v>640</v>
      </c>
      <c r="D280" s="85">
        <v>25.2</v>
      </c>
      <c r="E280" s="85">
        <v>25.3</v>
      </c>
      <c r="F280" s="85">
        <v>24.9</v>
      </c>
      <c r="G280" s="85">
        <v>23.1</v>
      </c>
      <c r="H280" s="85">
        <v>20.399999999999999</v>
      </c>
      <c r="I280" s="85">
        <v>19.100000000000001</v>
      </c>
      <c r="J280" s="85">
        <v>19.100000000000001</v>
      </c>
      <c r="K280" s="85">
        <v>20.8</v>
      </c>
      <c r="L280" s="85">
        <v>22</v>
      </c>
      <c r="M280" s="85">
        <v>23.3</v>
      </c>
      <c r="N280" s="85">
        <v>24.2</v>
      </c>
      <c r="O280" s="85">
        <v>24.7</v>
      </c>
      <c r="P280" s="94">
        <v>13.6</v>
      </c>
      <c r="Q280" s="94">
        <v>40</v>
      </c>
    </row>
    <row r="281" spans="1:17" hidden="1">
      <c r="A281" s="95" t="str">
        <f t="shared" si="4"/>
        <v>SP-Santa Rita</v>
      </c>
      <c r="B281" s="84" t="s">
        <v>653</v>
      </c>
      <c r="C281" s="83" t="s">
        <v>640</v>
      </c>
      <c r="D281" s="85">
        <v>22.7</v>
      </c>
      <c r="E281" s="85">
        <v>22.7</v>
      </c>
      <c r="F281" s="85">
        <v>22.4</v>
      </c>
      <c r="G281" s="85">
        <v>20.6</v>
      </c>
      <c r="H281" s="85">
        <v>18.2</v>
      </c>
      <c r="I281" s="85">
        <v>17.7</v>
      </c>
      <c r="J281" s="85">
        <v>17.5</v>
      </c>
      <c r="K281" s="85">
        <v>19.600000000000001</v>
      </c>
      <c r="L281" s="85">
        <v>21.1</v>
      </c>
      <c r="M281" s="85">
        <v>21.1</v>
      </c>
      <c r="N281" s="85">
        <v>21.8</v>
      </c>
      <c r="O281" s="85">
        <v>22.2</v>
      </c>
      <c r="P281" s="94">
        <v>11.2</v>
      </c>
      <c r="Q281" s="94">
        <v>37.799999999999997</v>
      </c>
    </row>
    <row r="282" spans="1:17" hidden="1">
      <c r="A282" s="95" t="str">
        <f t="shared" si="4"/>
        <v>SP-Santos</v>
      </c>
      <c r="B282" s="84" t="s">
        <v>654</v>
      </c>
      <c r="C282" s="83" t="s">
        <v>640</v>
      </c>
      <c r="D282" s="85">
        <v>25.5</v>
      </c>
      <c r="E282" s="85">
        <v>25.7</v>
      </c>
      <c r="F282" s="85">
        <v>25.1</v>
      </c>
      <c r="G282" s="85">
        <v>23.3</v>
      </c>
      <c r="H282" s="85">
        <v>21.2</v>
      </c>
      <c r="I282" s="85">
        <v>19.600000000000001</v>
      </c>
      <c r="J282" s="85">
        <v>18.8</v>
      </c>
      <c r="K282" s="85">
        <v>19.399999999999999</v>
      </c>
      <c r="L282" s="85">
        <v>20</v>
      </c>
      <c r="M282" s="85">
        <v>21.4</v>
      </c>
      <c r="N282" s="85">
        <v>23</v>
      </c>
      <c r="O282" s="85">
        <v>24.4</v>
      </c>
      <c r="P282" s="94">
        <v>15.5</v>
      </c>
      <c r="Q282" s="94">
        <v>39</v>
      </c>
    </row>
    <row r="283" spans="1:17" hidden="1">
      <c r="A283" s="95" t="str">
        <f t="shared" si="4"/>
        <v>SP-São Carlos</v>
      </c>
      <c r="B283" s="84" t="s">
        <v>655</v>
      </c>
      <c r="C283" s="83" t="s">
        <v>640</v>
      </c>
      <c r="D283" s="85">
        <v>22.4</v>
      </c>
      <c r="E283" s="85">
        <v>22.7</v>
      </c>
      <c r="F283" s="85">
        <v>22.4</v>
      </c>
      <c r="G283" s="85">
        <v>20.8</v>
      </c>
      <c r="H283" s="85">
        <v>18.5</v>
      </c>
      <c r="I283" s="85">
        <v>17.3</v>
      </c>
      <c r="J283" s="85">
        <v>17.3</v>
      </c>
      <c r="K283" s="85">
        <v>19.100000000000001</v>
      </c>
      <c r="L283" s="85">
        <v>20.2</v>
      </c>
      <c r="M283" s="85">
        <v>21.2</v>
      </c>
      <c r="N283" s="85">
        <v>21.7</v>
      </c>
      <c r="O283" s="85">
        <v>21.9</v>
      </c>
      <c r="P283" s="94">
        <v>12.1</v>
      </c>
      <c r="Q283" s="94">
        <v>37.6</v>
      </c>
    </row>
    <row r="284" spans="1:17" hidden="1">
      <c r="A284" s="95" t="str">
        <f t="shared" si="4"/>
        <v>SP-São José dos Campos</v>
      </c>
      <c r="B284" s="84" t="s">
        <v>656</v>
      </c>
      <c r="C284" s="83" t="s">
        <v>640</v>
      </c>
      <c r="D284" s="85">
        <v>22.2</v>
      </c>
      <c r="E284" s="85">
        <v>22.4</v>
      </c>
      <c r="F284" s="85">
        <v>21.6</v>
      </c>
      <c r="G284" s="85">
        <v>19.600000000000001</v>
      </c>
      <c r="H284" s="85">
        <v>17</v>
      </c>
      <c r="I284" s="85">
        <v>16.100000000000001</v>
      </c>
      <c r="J284" s="85">
        <v>15.6</v>
      </c>
      <c r="K284" s="85">
        <v>17.100000000000001</v>
      </c>
      <c r="L284" s="85">
        <v>18.8</v>
      </c>
      <c r="M284" s="85">
        <v>19.399999999999999</v>
      </c>
      <c r="N284" s="85">
        <v>20.3</v>
      </c>
      <c r="O284" s="85">
        <v>21.4</v>
      </c>
      <c r="P284" s="94">
        <v>8.1999999999999993</v>
      </c>
      <c r="Q284" s="94">
        <v>37.5</v>
      </c>
    </row>
    <row r="285" spans="1:17" hidden="1">
      <c r="A285" s="95" t="str">
        <f t="shared" si="4"/>
        <v>SP-São Paulo</v>
      </c>
      <c r="B285" s="84" t="s">
        <v>657</v>
      </c>
      <c r="C285" s="83" t="s">
        <v>640</v>
      </c>
      <c r="D285" s="85">
        <v>22.1</v>
      </c>
      <c r="E285" s="85">
        <v>22.4</v>
      </c>
      <c r="F285" s="85">
        <v>21.8</v>
      </c>
      <c r="G285" s="85">
        <v>19.7</v>
      </c>
      <c r="H285" s="85">
        <v>17.399999999999999</v>
      </c>
      <c r="I285" s="85">
        <v>16.3</v>
      </c>
      <c r="J285" s="85">
        <v>15.8</v>
      </c>
      <c r="K285" s="85">
        <v>17.100000000000001</v>
      </c>
      <c r="L285" s="85">
        <v>17.899999999999999</v>
      </c>
      <c r="M285" s="85">
        <v>19</v>
      </c>
      <c r="N285" s="85">
        <v>20.2</v>
      </c>
      <c r="O285" s="85">
        <v>21.1</v>
      </c>
      <c r="P285" s="94">
        <v>9.6999999999999993</v>
      </c>
      <c r="Q285" s="94">
        <v>35.299999999999997</v>
      </c>
    </row>
    <row r="286" spans="1:17" hidden="1">
      <c r="A286" s="95" t="str">
        <f t="shared" si="4"/>
        <v>SP-São Simão</v>
      </c>
      <c r="B286" s="84" t="s">
        <v>658</v>
      </c>
      <c r="C286" s="83" t="s">
        <v>640</v>
      </c>
      <c r="D286" s="85">
        <v>23.8</v>
      </c>
      <c r="E286" s="85">
        <v>23.9</v>
      </c>
      <c r="F286" s="85">
        <v>23.5</v>
      </c>
      <c r="G286" s="85">
        <v>22</v>
      </c>
      <c r="H286" s="85">
        <v>19.399999999999999</v>
      </c>
      <c r="I286" s="85">
        <v>18.2</v>
      </c>
      <c r="J286" s="85">
        <v>18.3</v>
      </c>
      <c r="K286" s="85">
        <v>20.399999999999999</v>
      </c>
      <c r="L286" s="85">
        <v>22.2</v>
      </c>
      <c r="M286" s="85">
        <v>22.9</v>
      </c>
      <c r="N286" s="85">
        <v>23.4</v>
      </c>
      <c r="O286" s="85">
        <v>23.4</v>
      </c>
      <c r="P286" s="94">
        <v>12</v>
      </c>
      <c r="Q286" s="94">
        <v>38.200000000000003</v>
      </c>
    </row>
    <row r="287" spans="1:17" hidden="1">
      <c r="A287" s="95" t="str">
        <f t="shared" si="4"/>
        <v>SP-Sertãozinho</v>
      </c>
      <c r="B287" s="84" t="s">
        <v>659</v>
      </c>
      <c r="C287" s="83" t="s">
        <v>640</v>
      </c>
      <c r="D287" s="85">
        <v>24</v>
      </c>
      <c r="E287" s="85">
        <v>23.9</v>
      </c>
      <c r="F287" s="85">
        <v>23.6</v>
      </c>
      <c r="G287" s="85">
        <v>21.7</v>
      </c>
      <c r="H287" s="85">
        <v>18.600000000000001</v>
      </c>
      <c r="I287" s="85">
        <v>17.399999999999999</v>
      </c>
      <c r="J287" s="85">
        <v>17.100000000000001</v>
      </c>
      <c r="K287" s="85">
        <v>19.2</v>
      </c>
      <c r="L287" s="85">
        <v>21.7</v>
      </c>
      <c r="M287" s="85">
        <v>22.5</v>
      </c>
      <c r="N287" s="85">
        <v>23.2</v>
      </c>
      <c r="O287" s="85">
        <v>23.4</v>
      </c>
      <c r="P287" s="94">
        <v>9.8000000000000007</v>
      </c>
      <c r="Q287" s="94">
        <v>39</v>
      </c>
    </row>
    <row r="288" spans="1:17" hidden="1">
      <c r="A288" s="95" t="str">
        <f t="shared" si="4"/>
        <v>SP-Sorocaba</v>
      </c>
      <c r="B288" s="84" t="s">
        <v>660</v>
      </c>
      <c r="C288" s="83" t="s">
        <v>640</v>
      </c>
      <c r="D288" s="85">
        <v>23.4</v>
      </c>
      <c r="E288" s="85">
        <v>23.8</v>
      </c>
      <c r="F288" s="85">
        <v>23.1</v>
      </c>
      <c r="G288" s="85">
        <v>21.4</v>
      </c>
      <c r="H288" s="85">
        <v>19</v>
      </c>
      <c r="I288" s="85">
        <v>17.100000000000001</v>
      </c>
      <c r="J288" s="85">
        <v>17.3</v>
      </c>
      <c r="K288" s="85">
        <v>18.399999999999999</v>
      </c>
      <c r="L288" s="85">
        <v>19.399999999999999</v>
      </c>
      <c r="M288" s="85">
        <v>21</v>
      </c>
      <c r="N288" s="85">
        <v>22.4</v>
      </c>
      <c r="O288" s="85">
        <v>22.6</v>
      </c>
      <c r="P288" s="94">
        <v>11.5</v>
      </c>
      <c r="Q288" s="94">
        <v>38.6</v>
      </c>
    </row>
    <row r="289" spans="1:17" hidden="1">
      <c r="A289" s="95" t="str">
        <f t="shared" si="4"/>
        <v>SP-Taubaté</v>
      </c>
      <c r="B289" s="84" t="s">
        <v>661</v>
      </c>
      <c r="C289" s="83" t="s">
        <v>640</v>
      </c>
      <c r="D289" s="85">
        <v>23.3</v>
      </c>
      <c r="E289" s="85">
        <v>23.5</v>
      </c>
      <c r="F289" s="85">
        <v>22.9</v>
      </c>
      <c r="G289" s="85">
        <v>20.8</v>
      </c>
      <c r="H289" s="85">
        <v>18.100000000000001</v>
      </c>
      <c r="I289" s="85">
        <v>16.7</v>
      </c>
      <c r="J289" s="85">
        <v>16.399999999999999</v>
      </c>
      <c r="K289" s="85">
        <v>18.2</v>
      </c>
      <c r="L289" s="85">
        <v>20</v>
      </c>
      <c r="M289" s="85">
        <v>20.7</v>
      </c>
      <c r="N289" s="85">
        <v>21.7</v>
      </c>
      <c r="O289" s="85">
        <v>22.7</v>
      </c>
      <c r="P289" s="94">
        <v>10.7</v>
      </c>
      <c r="Q289" s="94">
        <v>37.5</v>
      </c>
    </row>
    <row r="290" spans="1:17" hidden="1">
      <c r="A290" s="95" t="str">
        <f t="shared" si="4"/>
        <v>SP-Tremembé</v>
      </c>
      <c r="B290" s="84" t="s">
        <v>662</v>
      </c>
      <c r="C290" s="83" t="s">
        <v>640</v>
      </c>
      <c r="D290" s="85">
        <v>23.2</v>
      </c>
      <c r="E290" s="85">
        <v>23.6</v>
      </c>
      <c r="F290" s="85">
        <v>22.7</v>
      </c>
      <c r="G290" s="85">
        <v>21</v>
      </c>
      <c r="H290" s="85">
        <v>18.399999999999999</v>
      </c>
      <c r="I290" s="85">
        <v>16.5</v>
      </c>
      <c r="J290" s="85">
        <v>16.5</v>
      </c>
      <c r="K290" s="85">
        <v>18.100000000000001</v>
      </c>
      <c r="L290" s="85">
        <v>19.600000000000001</v>
      </c>
      <c r="M290" s="85">
        <v>21.3</v>
      </c>
      <c r="N290" s="85">
        <v>22.1</v>
      </c>
      <c r="O290" s="85">
        <v>22.4</v>
      </c>
      <c r="P290" s="94">
        <v>10.5</v>
      </c>
      <c r="Q290" s="94">
        <v>38.1</v>
      </c>
    </row>
    <row r="291" spans="1:17" hidden="1">
      <c r="A291" s="95" t="str">
        <f t="shared" si="4"/>
        <v>SP-Ubatuba</v>
      </c>
      <c r="B291" s="84" t="s">
        <v>663</v>
      </c>
      <c r="C291" s="83" t="s">
        <v>640</v>
      </c>
      <c r="D291" s="85">
        <v>25</v>
      </c>
      <c r="E291" s="85">
        <v>25.2</v>
      </c>
      <c r="F291" s="85">
        <v>24.5</v>
      </c>
      <c r="G291" s="85">
        <v>22.6</v>
      </c>
      <c r="H291" s="85">
        <v>20.2</v>
      </c>
      <c r="I291" s="85">
        <v>18.399999999999999</v>
      </c>
      <c r="J291" s="85">
        <v>17.7</v>
      </c>
      <c r="K291" s="85">
        <v>19</v>
      </c>
      <c r="L291" s="85">
        <v>19.8</v>
      </c>
      <c r="M291" s="85">
        <v>21.2</v>
      </c>
      <c r="N291" s="85">
        <v>22.6</v>
      </c>
      <c r="O291" s="85">
        <v>23.9</v>
      </c>
      <c r="P291" s="94">
        <v>12.8</v>
      </c>
      <c r="Q291" s="94">
        <v>39.4</v>
      </c>
    </row>
    <row r="292" spans="1:17" hidden="1">
      <c r="A292" s="95" t="str">
        <f t="shared" si="4"/>
        <v>SP-Votuporanga</v>
      </c>
      <c r="B292" s="84" t="s">
        <v>664</v>
      </c>
      <c r="C292" s="83" t="s">
        <v>640</v>
      </c>
      <c r="D292" s="85">
        <v>24.9</v>
      </c>
      <c r="E292" s="85">
        <v>25.1</v>
      </c>
      <c r="F292" s="85">
        <v>25</v>
      </c>
      <c r="G292" s="85">
        <v>24.2</v>
      </c>
      <c r="H292" s="85">
        <v>21.9</v>
      </c>
      <c r="I292" s="85">
        <v>20.100000000000001</v>
      </c>
      <c r="J292" s="85">
        <v>20.2</v>
      </c>
      <c r="K292" s="85">
        <v>22.5</v>
      </c>
      <c r="L292" s="85">
        <v>23.2</v>
      </c>
      <c r="M292" s="85">
        <v>24.8</v>
      </c>
      <c r="N292" s="85">
        <v>25.4</v>
      </c>
      <c r="O292" s="85">
        <v>25</v>
      </c>
      <c r="P292" s="94">
        <v>15.5</v>
      </c>
      <c r="Q292" s="94">
        <v>38.799999999999997</v>
      </c>
    </row>
    <row r="293" spans="1:17" hidden="1">
      <c r="A293" s="95" t="str">
        <f t="shared" si="4"/>
        <v>TO-Palmas</v>
      </c>
      <c r="B293" s="84" t="s">
        <v>549</v>
      </c>
      <c r="C293" s="83" t="s">
        <v>665</v>
      </c>
      <c r="D293" s="85">
        <v>25.3</v>
      </c>
      <c r="E293" s="85">
        <v>25.2</v>
      </c>
      <c r="F293" s="85">
        <v>25.5</v>
      </c>
      <c r="G293" s="85">
        <v>25.5</v>
      </c>
      <c r="H293" s="85">
        <v>24.6</v>
      </c>
      <c r="I293" s="85">
        <v>23.2</v>
      </c>
      <c r="J293" s="85">
        <v>22.9</v>
      </c>
      <c r="K293" s="85">
        <v>24.3</v>
      </c>
      <c r="L293" s="85">
        <v>26.5</v>
      </c>
      <c r="M293" s="85">
        <v>26.4</v>
      </c>
      <c r="N293" s="85">
        <v>25.6</v>
      </c>
      <c r="O293" s="85">
        <v>25.3</v>
      </c>
      <c r="P293" s="94">
        <v>15.4</v>
      </c>
      <c r="Q293" s="94">
        <v>40</v>
      </c>
    </row>
    <row r="294" spans="1:17" hidden="1">
      <c r="A294" s="95" t="str">
        <f t="shared" si="4"/>
        <v>TO-Paranã</v>
      </c>
      <c r="B294" s="84" t="s">
        <v>666</v>
      </c>
      <c r="C294" s="83" t="s">
        <v>665</v>
      </c>
      <c r="D294" s="85">
        <v>25</v>
      </c>
      <c r="E294" s="85">
        <v>25.1</v>
      </c>
      <c r="F294" s="85">
        <v>25.5</v>
      </c>
      <c r="G294" s="85">
        <v>25.5</v>
      </c>
      <c r="H294" s="85">
        <v>24.5</v>
      </c>
      <c r="I294" s="85">
        <v>23.1</v>
      </c>
      <c r="J294" s="85">
        <v>22.9</v>
      </c>
      <c r="K294" s="85">
        <v>24.4</v>
      </c>
      <c r="L294" s="85">
        <v>26.5</v>
      </c>
      <c r="M294" s="85">
        <v>26.4</v>
      </c>
      <c r="N294" s="85">
        <v>25.6</v>
      </c>
      <c r="O294" s="85">
        <v>25.3</v>
      </c>
      <c r="P294" s="94">
        <v>15.4</v>
      </c>
      <c r="Q294" s="94">
        <v>40</v>
      </c>
    </row>
    <row r="295" spans="1:17" hidden="1">
      <c r="A295" s="95" t="str">
        <f t="shared" si="4"/>
        <v>TO-Pedro Afonso</v>
      </c>
      <c r="B295" s="84" t="s">
        <v>667</v>
      </c>
      <c r="C295" s="83" t="s">
        <v>665</v>
      </c>
      <c r="D295" s="85">
        <v>25.3</v>
      </c>
      <c r="E295" s="85">
        <v>25.4</v>
      </c>
      <c r="F295" s="85">
        <v>25.6</v>
      </c>
      <c r="G295" s="85">
        <v>26</v>
      </c>
      <c r="H295" s="85">
        <v>26.2</v>
      </c>
      <c r="I295" s="85">
        <v>25.3</v>
      </c>
      <c r="J295" s="85">
        <v>25.4</v>
      </c>
      <c r="K295" s="85">
        <v>26.4</v>
      </c>
      <c r="L295" s="85">
        <v>27.2</v>
      </c>
      <c r="M295" s="85">
        <v>26.4</v>
      </c>
      <c r="N295" s="85">
        <v>25.9</v>
      </c>
      <c r="O295" s="85">
        <v>25.5</v>
      </c>
      <c r="P295" s="94">
        <v>18.8</v>
      </c>
      <c r="Q295" s="94">
        <v>38.799999999999997</v>
      </c>
    </row>
    <row r="296" spans="1:17" hidden="1">
      <c r="A296" s="95" t="str">
        <f t="shared" si="4"/>
        <v>TO-Peixe</v>
      </c>
      <c r="B296" s="84" t="s">
        <v>668</v>
      </c>
      <c r="C296" s="83" t="s">
        <v>665</v>
      </c>
      <c r="D296" s="85">
        <v>25.5</v>
      </c>
      <c r="E296" s="85">
        <v>25.5</v>
      </c>
      <c r="F296" s="85">
        <v>25.7</v>
      </c>
      <c r="G296" s="85">
        <v>26</v>
      </c>
      <c r="H296" s="85">
        <v>25.6</v>
      </c>
      <c r="I296" s="85">
        <v>24.1</v>
      </c>
      <c r="J296" s="85">
        <v>24.1</v>
      </c>
      <c r="K296" s="85">
        <v>25.6</v>
      </c>
      <c r="L296" s="85">
        <v>27.1</v>
      </c>
      <c r="M296" s="85">
        <v>26.8</v>
      </c>
      <c r="N296" s="85">
        <v>26.1</v>
      </c>
      <c r="O296" s="85">
        <v>25.5</v>
      </c>
      <c r="P296" s="94">
        <v>17.5</v>
      </c>
      <c r="Q296" s="94">
        <v>40.200000000000003</v>
      </c>
    </row>
    <row r="297" spans="1:17" hidden="1">
      <c r="A297" s="95" t="str">
        <f t="shared" si="4"/>
        <v>TO-Porto Nacional</v>
      </c>
      <c r="B297" s="84" t="s">
        <v>669</v>
      </c>
      <c r="C297" s="83" t="s">
        <v>665</v>
      </c>
      <c r="D297" s="85">
        <v>25.5</v>
      </c>
      <c r="E297" s="85">
        <v>25.4</v>
      </c>
      <c r="F297" s="85">
        <v>25.6</v>
      </c>
      <c r="G297" s="85">
        <v>26.1</v>
      </c>
      <c r="H297" s="85">
        <v>26.2</v>
      </c>
      <c r="I297" s="85">
        <v>25.3</v>
      </c>
      <c r="J297" s="85">
        <v>25.3</v>
      </c>
      <c r="K297" s="85">
        <v>26.9</v>
      </c>
      <c r="L297" s="85">
        <v>28</v>
      </c>
      <c r="M297" s="85">
        <v>26.9</v>
      </c>
      <c r="N297" s="85">
        <v>26.3</v>
      </c>
      <c r="O297" s="85">
        <v>25.7</v>
      </c>
      <c r="P297" s="94">
        <v>18</v>
      </c>
      <c r="Q297" s="94">
        <v>40.1</v>
      </c>
    </row>
    <row r="298" spans="1:17" hidden="1">
      <c r="A298" s="95" t="str">
        <f t="shared" si="4"/>
        <v>TO-Taguatinga</v>
      </c>
      <c r="B298" s="84" t="s">
        <v>670</v>
      </c>
      <c r="C298" s="83" t="s">
        <v>665</v>
      </c>
      <c r="D298" s="85">
        <v>24.2</v>
      </c>
      <c r="E298" s="85">
        <v>24.3</v>
      </c>
      <c r="F298" s="85">
        <v>24.4</v>
      </c>
      <c r="G298" s="85">
        <v>24.6</v>
      </c>
      <c r="H298" s="85">
        <v>24.2</v>
      </c>
      <c r="I298" s="85">
        <v>23.6</v>
      </c>
      <c r="J298" s="85">
        <v>23.4</v>
      </c>
      <c r="K298" s="85">
        <v>25.1</v>
      </c>
      <c r="L298" s="85">
        <v>26.6</v>
      </c>
      <c r="M298" s="85">
        <v>25.7</v>
      </c>
      <c r="N298" s="85">
        <v>24.7</v>
      </c>
      <c r="O298" s="85">
        <v>24.3</v>
      </c>
      <c r="P298" s="94">
        <v>18</v>
      </c>
      <c r="Q298" s="94">
        <v>38.700000000000003</v>
      </c>
    </row>
    <row r="303" spans="1:17">
      <c r="B303" t="s">
        <v>671</v>
      </c>
      <c r="C303" t="s">
        <v>355</v>
      </c>
    </row>
    <row r="304" spans="1:17">
      <c r="C304" t="s">
        <v>359</v>
      </c>
    </row>
    <row r="305" spans="3:3">
      <c r="C305" t="s">
        <v>672</v>
      </c>
    </row>
    <row r="306" spans="3:3">
      <c r="C306" t="s">
        <v>380</v>
      </c>
    </row>
    <row r="307" spans="3:3">
      <c r="C307" t="s">
        <v>384</v>
      </c>
    </row>
    <row r="308" spans="3:3">
      <c r="C308" t="s">
        <v>404</v>
      </c>
    </row>
    <row r="309" spans="3:3">
      <c r="C309" t="s">
        <v>415</v>
      </c>
    </row>
    <row r="310" spans="3:3">
      <c r="C310" t="s">
        <v>417</v>
      </c>
    </row>
    <row r="311" spans="3:3">
      <c r="C311" t="s">
        <v>421</v>
      </c>
    </row>
    <row r="312" spans="3:3">
      <c r="C312" t="s">
        <v>431</v>
      </c>
    </row>
    <row r="313" spans="3:3">
      <c r="C313" t="s">
        <v>439</v>
      </c>
    </row>
    <row r="314" spans="3:3">
      <c r="C314" t="s">
        <v>486</v>
      </c>
    </row>
    <row r="315" spans="3:3">
      <c r="C315" t="s">
        <v>493</v>
      </c>
    </row>
    <row r="316" spans="3:3">
      <c r="C316" t="s">
        <v>499</v>
      </c>
    </row>
    <row r="317" spans="3:3">
      <c r="C317" t="s">
        <v>517</v>
      </c>
    </row>
    <row r="318" spans="3:3">
      <c r="C318" t="s">
        <v>522</v>
      </c>
    </row>
    <row r="319" spans="3:3">
      <c r="C319" t="s">
        <v>533</v>
      </c>
    </row>
    <row r="320" spans="3:3">
      <c r="C320" t="s">
        <v>538</v>
      </c>
    </row>
    <row r="321" spans="3:16">
      <c r="C321" t="s">
        <v>556</v>
      </c>
    </row>
    <row r="322" spans="3:16">
      <c r="C322" t="s">
        <v>584</v>
      </c>
    </row>
    <row r="323" spans="3:16">
      <c r="C323" t="s">
        <v>591</v>
      </c>
    </row>
    <row r="324" spans="3:16">
      <c r="C324" t="s">
        <v>593</v>
      </c>
    </row>
    <row r="325" spans="3:16">
      <c r="C325" t="s">
        <v>29</v>
      </c>
    </row>
    <row r="326" spans="3:16">
      <c r="C326" t="s">
        <v>622</v>
      </c>
    </row>
    <row r="327" spans="3:16">
      <c r="C327" t="s">
        <v>637</v>
      </c>
    </row>
    <row r="328" spans="3:16">
      <c r="C328" t="s">
        <v>640</v>
      </c>
      <c r="P328"/>
    </row>
    <row r="329" spans="3:16">
      <c r="C329" t="s">
        <v>665</v>
      </c>
      <c r="P329"/>
    </row>
  </sheetData>
  <autoFilter ref="A7:Q298" xr:uid="{2A3C1C21-6BDA-4895-A84A-F456C5CE5DAA}">
    <filterColumn colId="1">
      <filters>
        <filter val="Cruz Alta"/>
        <filter val="Santo Ângelo"/>
      </filters>
    </filterColumn>
  </autoFilter>
  <mergeCells count="3">
    <mergeCell ref="B1:O1"/>
    <mergeCell ref="S2:T2"/>
    <mergeCell ref="B3:K3"/>
  </mergeCells>
  <conditionalFormatting sqref="B266 B8:C137 B139:C257">
    <cfRule type="expression" dxfId="0" priority="5" stopIfTrue="1">
      <formula>NOT(ISERROR(SEARCH("VERF",B8)))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3:O865"/>
  <sheetViews>
    <sheetView topLeftCell="B132" workbookViewId="0">
      <selection activeCell="E53" sqref="E53"/>
    </sheetView>
  </sheetViews>
  <sheetFormatPr defaultColWidth="11" defaultRowHeight="15.6"/>
  <cols>
    <col min="1" max="1" width="0" hidden="1" customWidth="1"/>
    <col min="2" max="2" width="11" style="5"/>
  </cols>
  <sheetData>
    <row r="3" spans="1:15">
      <c r="C3" s="399" t="s">
        <v>673</v>
      </c>
      <c r="D3" s="399"/>
      <c r="E3" s="34">
        <f>INT(DADOS!E54)</f>
        <v>27</v>
      </c>
    </row>
    <row r="4" spans="1:15">
      <c r="C4" s="399" t="s">
        <v>674</v>
      </c>
      <c r="D4" s="399"/>
      <c r="E4" s="35">
        <f>K5</f>
        <v>15</v>
      </c>
    </row>
    <row r="5" spans="1:15" hidden="1">
      <c r="C5" s="401" t="s">
        <v>675</v>
      </c>
      <c r="D5" s="401"/>
      <c r="E5" s="401"/>
      <c r="F5">
        <f>E3+E4/100</f>
        <v>27.15</v>
      </c>
      <c r="G5" s="27">
        <f>DADOS!E55</f>
        <v>15</v>
      </c>
      <c r="H5">
        <f>G5/10</f>
        <v>1.5</v>
      </c>
      <c r="I5">
        <f>INT(H5)</f>
        <v>1</v>
      </c>
      <c r="J5">
        <f>(H5-I5)</f>
        <v>0.5</v>
      </c>
      <c r="K5">
        <f>IF(J5&lt;0.5,ROUNDDOWN(H5,0)*10,IF(J5&gt;0.5,ROUNDUP(H5,0)*10,I5*10+5))</f>
        <v>15</v>
      </c>
    </row>
    <row r="6" spans="1:15">
      <c r="B6" s="3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>
      <c r="A7" s="400" t="s">
        <v>676</v>
      </c>
      <c r="B7" s="400"/>
      <c r="C7" s="400"/>
      <c r="D7" s="46">
        <f>VLOOKUP($F$5,$A$10:$O$864,4,0)</f>
        <v>0.99</v>
      </c>
      <c r="E7" s="46">
        <f>VLOOKUP($F$5,$A$10:$O$864,5,0)</f>
        <v>1.02</v>
      </c>
      <c r="F7" s="46">
        <f>VLOOKUP($F$5,$A$10:$O$864,6,0)</f>
        <v>1.07</v>
      </c>
      <c r="G7" s="46">
        <f>VLOOKUP($F$5,$A$10:$O$864,7,0)</f>
        <v>1.1299999999999999</v>
      </c>
      <c r="H7" s="46">
        <f>VLOOKUP($F$5,$A$10:$O$864,8,0)</f>
        <v>1.1599999999999999</v>
      </c>
      <c r="I7" s="46">
        <f>VLOOKUP($F$5,$A$10:$O$864,9,0)</f>
        <v>1.1599999999999999</v>
      </c>
      <c r="J7" s="46">
        <f>VLOOKUP($F$5,$A$10:$O$864,10,0)</f>
        <v>1.1399999999999999</v>
      </c>
      <c r="K7" s="46">
        <f>VLOOKUP($F$5,$A$10:$O$864,11,0)</f>
        <v>1.1000000000000001</v>
      </c>
      <c r="L7" s="46">
        <f>VLOOKUP($F$5,$A$10:$O$864,12,0)</f>
        <v>1.06</v>
      </c>
      <c r="M7" s="46">
        <f>VLOOKUP($F$5,$A$10:$O$864,13,0)</f>
        <v>1.02</v>
      </c>
      <c r="N7" s="46">
        <f>VLOOKUP($F$5,$A$10:$O$864,14,0)</f>
        <v>0.99</v>
      </c>
      <c r="O7" s="46">
        <f>VLOOKUP($F$5,$A$10:$O$864,15,0)</f>
        <v>0.97</v>
      </c>
    </row>
    <row r="8" spans="1:15" ht="16.2" thickBot="1">
      <c r="B8" s="3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42" customFormat="1" ht="14.4">
      <c r="A9" s="43" t="s">
        <v>677</v>
      </c>
      <c r="B9" s="44" t="s">
        <v>678</v>
      </c>
      <c r="C9" s="45" t="s">
        <v>679</v>
      </c>
      <c r="D9" s="45" t="s">
        <v>680</v>
      </c>
      <c r="E9" s="45" t="s">
        <v>681</v>
      </c>
      <c r="F9" s="45" t="s">
        <v>682</v>
      </c>
      <c r="G9" s="45" t="s">
        <v>683</v>
      </c>
      <c r="H9" s="45" t="s">
        <v>684</v>
      </c>
      <c r="I9" s="45" t="s">
        <v>685</v>
      </c>
      <c r="J9" s="45" t="s">
        <v>686</v>
      </c>
      <c r="K9" s="45" t="s">
        <v>687</v>
      </c>
      <c r="L9" s="45" t="s">
        <v>688</v>
      </c>
      <c r="M9" s="45" t="s">
        <v>689</v>
      </c>
      <c r="N9" s="45" t="s">
        <v>690</v>
      </c>
      <c r="O9" s="45" t="s">
        <v>691</v>
      </c>
    </row>
    <row r="10" spans="1:15">
      <c r="A10" s="1">
        <f t="shared" ref="A10:A73" si="0">B10+C10/100</f>
        <v>0</v>
      </c>
      <c r="B10" s="38">
        <v>0</v>
      </c>
      <c r="C10" s="39">
        <v>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0</v>
      </c>
      <c r="K10" s="37">
        <v>1</v>
      </c>
      <c r="L10" s="37">
        <v>1</v>
      </c>
      <c r="M10" s="37">
        <v>1</v>
      </c>
      <c r="N10" s="37">
        <v>1</v>
      </c>
      <c r="O10" s="37">
        <v>1</v>
      </c>
    </row>
    <row r="11" spans="1:15">
      <c r="A11" s="1">
        <f t="shared" si="0"/>
        <v>0.05</v>
      </c>
      <c r="B11" s="38">
        <v>0</v>
      </c>
      <c r="C11" s="39">
        <v>5</v>
      </c>
      <c r="D11" s="37">
        <v>0.97</v>
      </c>
      <c r="E11" s="37">
        <v>0.98</v>
      </c>
      <c r="F11" s="37">
        <v>1</v>
      </c>
      <c r="G11" s="37">
        <v>1.01</v>
      </c>
      <c r="H11" s="37">
        <v>1.02</v>
      </c>
      <c r="I11" s="37">
        <v>1.02</v>
      </c>
      <c r="J11" s="37">
        <v>1.02</v>
      </c>
      <c r="K11" s="37">
        <v>1.01</v>
      </c>
      <c r="L11" s="37">
        <v>1</v>
      </c>
      <c r="M11" s="37">
        <v>0.98</v>
      </c>
      <c r="N11" s="37">
        <v>0.97</v>
      </c>
      <c r="O11" s="37">
        <v>0.96</v>
      </c>
    </row>
    <row r="12" spans="1:15">
      <c r="A12" s="1">
        <f t="shared" si="0"/>
        <v>0.1</v>
      </c>
      <c r="B12" s="38">
        <v>0</v>
      </c>
      <c r="C12" s="39">
        <v>10</v>
      </c>
      <c r="D12" s="37">
        <v>0.93</v>
      </c>
      <c r="E12" s="37">
        <v>0.95</v>
      </c>
      <c r="F12" s="37">
        <v>0.99</v>
      </c>
      <c r="G12" s="37">
        <v>1.02</v>
      </c>
      <c r="H12" s="37">
        <v>1.04</v>
      </c>
      <c r="I12" s="37">
        <v>1.04</v>
      </c>
      <c r="J12" s="37">
        <v>1.03</v>
      </c>
      <c r="K12" s="37">
        <v>1.01</v>
      </c>
      <c r="L12" s="37">
        <v>0.99</v>
      </c>
      <c r="M12" s="37">
        <v>0.96</v>
      </c>
      <c r="N12" s="37">
        <v>0.93</v>
      </c>
      <c r="O12" s="37">
        <v>0.92</v>
      </c>
    </row>
    <row r="13" spans="1:15">
      <c r="A13" s="1">
        <f t="shared" si="0"/>
        <v>0.15</v>
      </c>
      <c r="B13" s="38">
        <v>0</v>
      </c>
      <c r="C13" s="39">
        <v>15</v>
      </c>
      <c r="D13" s="37">
        <v>0.88</v>
      </c>
      <c r="E13" s="37">
        <v>0.92</v>
      </c>
      <c r="F13" s="37">
        <v>0.97</v>
      </c>
      <c r="G13" s="37">
        <v>1.02</v>
      </c>
      <c r="H13" s="37">
        <v>1.05</v>
      </c>
      <c r="I13" s="37">
        <v>1.05</v>
      </c>
      <c r="J13" s="37">
        <v>1.04</v>
      </c>
      <c r="K13" s="37">
        <v>1.01</v>
      </c>
      <c r="L13" s="37">
        <v>0.97</v>
      </c>
      <c r="M13" s="37">
        <v>0.92</v>
      </c>
      <c r="N13" s="37">
        <v>0.88</v>
      </c>
      <c r="O13" s="37">
        <v>0.87</v>
      </c>
    </row>
    <row r="14" spans="1:15">
      <c r="A14" s="1">
        <f t="shared" si="0"/>
        <v>0.2</v>
      </c>
      <c r="B14" s="38">
        <v>0</v>
      </c>
      <c r="C14" s="39">
        <v>20</v>
      </c>
      <c r="D14" s="37">
        <v>0.83</v>
      </c>
      <c r="E14" s="37">
        <v>0.88</v>
      </c>
      <c r="F14" s="37">
        <v>0.95</v>
      </c>
      <c r="G14" s="37">
        <v>1.01</v>
      </c>
      <c r="H14" s="37">
        <v>1.05</v>
      </c>
      <c r="I14" s="37">
        <v>1.06</v>
      </c>
      <c r="J14" s="37">
        <v>1.04</v>
      </c>
      <c r="K14" s="37">
        <v>1</v>
      </c>
      <c r="L14" s="37">
        <v>0.95</v>
      </c>
      <c r="M14" s="37">
        <v>0.88</v>
      </c>
      <c r="N14" s="37">
        <v>0.83</v>
      </c>
      <c r="O14" s="37">
        <v>0.81</v>
      </c>
    </row>
    <row r="15" spans="1:15">
      <c r="A15" s="1">
        <f t="shared" si="0"/>
        <v>0.25</v>
      </c>
      <c r="B15" s="38">
        <v>0</v>
      </c>
      <c r="C15" s="39">
        <v>25</v>
      </c>
      <c r="D15" s="37">
        <v>0.77</v>
      </c>
      <c r="E15" s="37">
        <v>0.83</v>
      </c>
      <c r="F15" s="37">
        <v>0.92</v>
      </c>
      <c r="G15" s="37">
        <v>0.99</v>
      </c>
      <c r="H15" s="37">
        <v>1.04</v>
      </c>
      <c r="I15" s="37">
        <v>1.06</v>
      </c>
      <c r="J15" s="37">
        <v>1.03</v>
      </c>
      <c r="K15" s="37">
        <v>0.99</v>
      </c>
      <c r="L15" s="37">
        <v>0.92</v>
      </c>
      <c r="M15" s="37">
        <v>0.84</v>
      </c>
      <c r="N15" s="37">
        <v>0.77</v>
      </c>
      <c r="O15" s="37">
        <v>0.75</v>
      </c>
    </row>
    <row r="16" spans="1:15">
      <c r="A16" s="1">
        <f t="shared" si="0"/>
        <v>0.3</v>
      </c>
      <c r="B16" s="38">
        <v>0</v>
      </c>
      <c r="C16" s="39">
        <v>30</v>
      </c>
      <c r="D16" s="37">
        <v>0.7</v>
      </c>
      <c r="E16" s="37">
        <v>0.78</v>
      </c>
      <c r="F16" s="37">
        <v>0.88</v>
      </c>
      <c r="G16" s="37">
        <v>0.97</v>
      </c>
      <c r="H16" s="37">
        <v>1.03</v>
      </c>
      <c r="I16" s="37">
        <v>1.05</v>
      </c>
      <c r="J16" s="37">
        <v>1.02</v>
      </c>
      <c r="K16" s="37">
        <v>0.97</v>
      </c>
      <c r="L16" s="37">
        <v>0.88</v>
      </c>
      <c r="M16" s="37">
        <v>0.79</v>
      </c>
      <c r="N16" s="37">
        <v>0.71</v>
      </c>
      <c r="O16" s="37">
        <v>0.68</v>
      </c>
    </row>
    <row r="17" spans="1:15">
      <c r="A17" s="1">
        <f t="shared" si="0"/>
        <v>0.35</v>
      </c>
      <c r="B17" s="38">
        <v>0</v>
      </c>
      <c r="C17" s="39">
        <v>35</v>
      </c>
      <c r="D17" s="37">
        <v>0.64</v>
      </c>
      <c r="E17" s="37">
        <v>0.72</v>
      </c>
      <c r="F17" s="37">
        <v>0.84</v>
      </c>
      <c r="G17" s="37">
        <v>0.94</v>
      </c>
      <c r="H17" s="37">
        <v>1.02</v>
      </c>
      <c r="I17" s="37">
        <v>1.03</v>
      </c>
      <c r="J17" s="37">
        <v>1</v>
      </c>
      <c r="K17" s="37">
        <v>0.94</v>
      </c>
      <c r="L17" s="37">
        <v>0.84</v>
      </c>
      <c r="M17" s="37">
        <v>0.74</v>
      </c>
      <c r="N17" s="37">
        <v>0.64</v>
      </c>
      <c r="O17" s="37">
        <v>0.61</v>
      </c>
    </row>
    <row r="18" spans="1:15">
      <c r="A18" s="1">
        <f t="shared" si="0"/>
        <v>0.4</v>
      </c>
      <c r="B18" s="38">
        <v>0</v>
      </c>
      <c r="C18" s="39">
        <v>40</v>
      </c>
      <c r="D18" s="37">
        <v>0.56000000000000005</v>
      </c>
      <c r="E18" s="37">
        <v>0.66</v>
      </c>
      <c r="F18" s="37">
        <v>0.79</v>
      </c>
      <c r="G18" s="37">
        <v>0.91</v>
      </c>
      <c r="H18" s="37">
        <v>0.99</v>
      </c>
      <c r="I18" s="37">
        <v>1.01</v>
      </c>
      <c r="J18" s="37">
        <v>0.98</v>
      </c>
      <c r="K18" s="37">
        <v>0.9</v>
      </c>
      <c r="L18" s="37">
        <v>0.8</v>
      </c>
      <c r="M18" s="37">
        <v>0.68</v>
      </c>
      <c r="N18" s="37">
        <v>0.56999999999999995</v>
      </c>
      <c r="O18" s="37">
        <v>0.53</v>
      </c>
    </row>
    <row r="19" spans="1:15">
      <c r="A19" s="1">
        <f t="shared" si="0"/>
        <v>0.45</v>
      </c>
      <c r="B19" s="38">
        <v>0</v>
      </c>
      <c r="C19" s="39">
        <v>45</v>
      </c>
      <c r="D19" s="37">
        <v>0.49</v>
      </c>
      <c r="E19" s="37">
        <v>0.59</v>
      </c>
      <c r="F19" s="37">
        <v>0.73</v>
      </c>
      <c r="G19" s="37">
        <v>0.87</v>
      </c>
      <c r="H19" s="37">
        <v>0.96</v>
      </c>
      <c r="I19" s="37">
        <v>0.98</v>
      </c>
      <c r="J19" s="37">
        <v>0.95</v>
      </c>
      <c r="K19" s="37">
        <v>0.87</v>
      </c>
      <c r="L19" s="37">
        <v>0.75</v>
      </c>
      <c r="M19" s="37">
        <v>0.61</v>
      </c>
      <c r="N19" s="37">
        <v>0.5</v>
      </c>
      <c r="O19" s="37">
        <v>0.45</v>
      </c>
    </row>
    <row r="20" spans="1:15">
      <c r="A20" s="1">
        <f t="shared" si="0"/>
        <v>0.5</v>
      </c>
      <c r="B20" s="38">
        <v>0</v>
      </c>
      <c r="C20" s="39">
        <v>50</v>
      </c>
      <c r="D20" s="37">
        <v>0.41</v>
      </c>
      <c r="E20" s="37">
        <v>0.52</v>
      </c>
      <c r="F20" s="37">
        <v>0.68</v>
      </c>
      <c r="G20" s="37">
        <v>0.82</v>
      </c>
      <c r="H20" s="37">
        <v>0.92</v>
      </c>
      <c r="I20" s="37">
        <v>0.95</v>
      </c>
      <c r="J20" s="37">
        <v>0.91</v>
      </c>
      <c r="K20" s="37">
        <v>0.82</v>
      </c>
      <c r="L20" s="37">
        <v>0.69</v>
      </c>
      <c r="M20" s="37">
        <v>0.54</v>
      </c>
      <c r="N20" s="37">
        <v>0.42</v>
      </c>
      <c r="O20" s="37">
        <v>0.37</v>
      </c>
    </row>
    <row r="21" spans="1:15">
      <c r="A21" s="1">
        <f t="shared" si="0"/>
        <v>0.55000000000000004</v>
      </c>
      <c r="B21" s="38">
        <v>0</v>
      </c>
      <c r="C21" s="39">
        <v>55</v>
      </c>
      <c r="D21" s="37">
        <v>0.33</v>
      </c>
      <c r="E21" s="37">
        <v>0.45</v>
      </c>
      <c r="F21" s="37">
        <v>0.61</v>
      </c>
      <c r="G21" s="37">
        <v>0.77</v>
      </c>
      <c r="H21" s="37">
        <v>0.88</v>
      </c>
      <c r="I21" s="37">
        <v>0.91</v>
      </c>
      <c r="J21" s="37">
        <v>0.87</v>
      </c>
      <c r="K21" s="37">
        <v>0.77</v>
      </c>
      <c r="L21" s="37">
        <v>0.63</v>
      </c>
      <c r="M21" s="37">
        <v>0.47</v>
      </c>
      <c r="N21" s="37">
        <v>0.34</v>
      </c>
      <c r="O21" s="37">
        <v>0.28000000000000003</v>
      </c>
    </row>
    <row r="22" spans="1:15">
      <c r="A22" s="1">
        <f t="shared" si="0"/>
        <v>0.6</v>
      </c>
      <c r="B22" s="38">
        <v>0</v>
      </c>
      <c r="C22" s="39">
        <v>60</v>
      </c>
      <c r="D22" s="37">
        <v>0.24</v>
      </c>
      <c r="E22" s="37">
        <v>0.37</v>
      </c>
      <c r="F22" s="37">
        <v>0.55000000000000004</v>
      </c>
      <c r="G22" s="37">
        <v>0.71</v>
      </c>
      <c r="H22" s="37">
        <v>0.83</v>
      </c>
      <c r="I22" s="37">
        <v>0.86</v>
      </c>
      <c r="J22" s="37">
        <v>0.82</v>
      </c>
      <c r="K22" s="37">
        <v>0.72</v>
      </c>
      <c r="L22" s="37">
        <v>0.56999999999999995</v>
      </c>
      <c r="M22" s="37">
        <v>0.4</v>
      </c>
      <c r="N22" s="37">
        <v>0.26</v>
      </c>
      <c r="O22" s="37">
        <v>0.2</v>
      </c>
    </row>
    <row r="23" spans="1:15">
      <c r="A23" s="1">
        <f t="shared" si="0"/>
        <v>0.65</v>
      </c>
      <c r="B23" s="38">
        <v>0</v>
      </c>
      <c r="C23" s="39">
        <v>65</v>
      </c>
      <c r="D23" s="37">
        <v>0.16</v>
      </c>
      <c r="E23" s="37">
        <v>0.3</v>
      </c>
      <c r="F23" s="37">
        <v>0.48</v>
      </c>
      <c r="G23" s="37">
        <v>0.65</v>
      </c>
      <c r="H23" s="37">
        <v>0.77</v>
      </c>
      <c r="I23" s="37">
        <v>0.81</v>
      </c>
      <c r="J23" s="37">
        <v>0.77</v>
      </c>
      <c r="K23" s="37">
        <v>0.66</v>
      </c>
      <c r="L23" s="37">
        <v>0.5</v>
      </c>
      <c r="M23" s="37">
        <v>0.32</v>
      </c>
      <c r="N23" s="37">
        <v>0.18</v>
      </c>
      <c r="O23" s="37">
        <v>0.13</v>
      </c>
    </row>
    <row r="24" spans="1:15">
      <c r="A24" s="1">
        <f t="shared" si="0"/>
        <v>0.7</v>
      </c>
      <c r="B24" s="38">
        <v>0</v>
      </c>
      <c r="C24" s="39">
        <v>70</v>
      </c>
      <c r="D24" s="37">
        <v>0.11</v>
      </c>
      <c r="E24" s="37">
        <v>0.22</v>
      </c>
      <c r="F24" s="37">
        <v>0.4</v>
      </c>
      <c r="G24" s="37">
        <v>0.59</v>
      </c>
      <c r="H24" s="37">
        <v>0.72</v>
      </c>
      <c r="I24" s="37">
        <v>0.75</v>
      </c>
      <c r="J24" s="37">
        <v>0.71</v>
      </c>
      <c r="K24" s="37">
        <v>0.6</v>
      </c>
      <c r="L24" s="37">
        <v>0.43</v>
      </c>
      <c r="M24" s="37">
        <v>0.25</v>
      </c>
      <c r="N24" s="37">
        <v>0.13</v>
      </c>
      <c r="O24" s="37">
        <v>0.12</v>
      </c>
    </row>
    <row r="25" spans="1:15">
      <c r="A25" s="1">
        <f t="shared" si="0"/>
        <v>0.75</v>
      </c>
      <c r="B25" s="38">
        <v>0</v>
      </c>
      <c r="C25" s="39">
        <v>75</v>
      </c>
      <c r="D25" s="37">
        <v>0.11</v>
      </c>
      <c r="E25" s="37">
        <v>0.13</v>
      </c>
      <c r="F25" s="37">
        <v>0.33</v>
      </c>
      <c r="G25" s="37">
        <v>0.52</v>
      </c>
      <c r="H25" s="37">
        <v>0.65</v>
      </c>
      <c r="I25" s="37">
        <v>0.69</v>
      </c>
      <c r="J25" s="37">
        <v>0.65</v>
      </c>
      <c r="K25" s="37">
        <v>0.53</v>
      </c>
      <c r="L25" s="37">
        <v>0.36</v>
      </c>
      <c r="M25" s="37">
        <v>0.17</v>
      </c>
      <c r="N25" s="37">
        <v>0.12</v>
      </c>
      <c r="O25" s="37">
        <v>0.11</v>
      </c>
    </row>
    <row r="26" spans="1:15">
      <c r="A26" s="1">
        <f t="shared" si="0"/>
        <v>0.8</v>
      </c>
      <c r="B26" s="38">
        <v>0</v>
      </c>
      <c r="C26" s="39">
        <v>80</v>
      </c>
      <c r="D26" s="37">
        <v>0.1</v>
      </c>
      <c r="E26" s="37">
        <v>0.1</v>
      </c>
      <c r="F26" s="37">
        <v>0.25</v>
      </c>
      <c r="G26" s="37">
        <v>0.45</v>
      </c>
      <c r="H26" s="37">
        <v>0.57999999999999996</v>
      </c>
      <c r="I26" s="37">
        <v>0.63</v>
      </c>
      <c r="J26" s="37">
        <v>0.57999999999999996</v>
      </c>
      <c r="K26" s="37">
        <v>0.47</v>
      </c>
      <c r="L26" s="37">
        <v>0.28999999999999998</v>
      </c>
      <c r="M26" s="37">
        <v>0.13</v>
      </c>
      <c r="N26" s="37">
        <v>0.12</v>
      </c>
      <c r="O26" s="37">
        <v>0.1</v>
      </c>
    </row>
    <row r="27" spans="1:15">
      <c r="A27" s="1">
        <f t="shared" si="0"/>
        <v>0.85</v>
      </c>
      <c r="B27" s="38">
        <v>0</v>
      </c>
      <c r="C27" s="39">
        <v>85</v>
      </c>
      <c r="D27" s="37">
        <v>0.09</v>
      </c>
      <c r="E27" s="37">
        <v>0.09</v>
      </c>
      <c r="F27" s="37">
        <v>0.17</v>
      </c>
      <c r="G27" s="37">
        <v>0.37</v>
      </c>
      <c r="H27" s="37">
        <v>0.51</v>
      </c>
      <c r="I27" s="37">
        <v>0.56000000000000005</v>
      </c>
      <c r="J27" s="37">
        <v>0.52</v>
      </c>
      <c r="K27" s="37">
        <v>0.4</v>
      </c>
      <c r="L27" s="37">
        <v>0.21</v>
      </c>
      <c r="M27" s="37">
        <v>0.12</v>
      </c>
      <c r="N27" s="37">
        <v>0.11</v>
      </c>
      <c r="O27" s="37">
        <v>0.1</v>
      </c>
    </row>
    <row r="28" spans="1:15">
      <c r="A28" s="1">
        <f t="shared" si="0"/>
        <v>0.9</v>
      </c>
      <c r="B28" s="38">
        <v>0</v>
      </c>
      <c r="C28" s="39">
        <v>90</v>
      </c>
      <c r="D28" s="37">
        <v>0.08</v>
      </c>
      <c r="E28" s="37">
        <v>0.08</v>
      </c>
      <c r="F28" s="37">
        <v>0.09</v>
      </c>
      <c r="G28" s="37">
        <v>0.28999999999999998</v>
      </c>
      <c r="H28" s="37">
        <v>0.44</v>
      </c>
      <c r="I28" s="37">
        <v>0.49</v>
      </c>
      <c r="J28" s="37">
        <v>0.45</v>
      </c>
      <c r="K28" s="37">
        <v>0.32</v>
      </c>
      <c r="L28" s="37">
        <v>0.14000000000000001</v>
      </c>
      <c r="M28" s="37">
        <v>0.11</v>
      </c>
      <c r="N28" s="37">
        <v>0.1</v>
      </c>
      <c r="O28" s="37">
        <v>0.09</v>
      </c>
    </row>
    <row r="29" spans="1:15">
      <c r="A29" s="1">
        <f t="shared" si="0"/>
        <v>1</v>
      </c>
      <c r="B29" s="38">
        <v>1</v>
      </c>
      <c r="C29" s="37">
        <v>0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37">
        <v>1</v>
      </c>
      <c r="M29" s="37">
        <v>1</v>
      </c>
      <c r="N29" s="37">
        <v>1</v>
      </c>
      <c r="O29" s="37">
        <v>1</v>
      </c>
    </row>
    <row r="30" spans="1:15">
      <c r="A30" s="1">
        <f t="shared" si="0"/>
        <v>1.05</v>
      </c>
      <c r="B30" s="38">
        <v>1</v>
      </c>
      <c r="C30" s="37">
        <v>5</v>
      </c>
      <c r="D30" s="37">
        <v>0.97</v>
      </c>
      <c r="E30" s="37">
        <v>0.98</v>
      </c>
      <c r="F30" s="37">
        <v>1</v>
      </c>
      <c r="G30" s="37">
        <v>1.01</v>
      </c>
      <c r="H30" s="37">
        <v>1.02</v>
      </c>
      <c r="I30" s="37">
        <v>1.03</v>
      </c>
      <c r="J30" s="37">
        <v>1.02</v>
      </c>
      <c r="K30" s="37">
        <v>1.01</v>
      </c>
      <c r="L30" s="37">
        <v>1</v>
      </c>
      <c r="M30" s="37">
        <v>0.98</v>
      </c>
      <c r="N30" s="37">
        <v>0.97</v>
      </c>
      <c r="O30" s="37">
        <v>0.96</v>
      </c>
    </row>
    <row r="31" spans="1:15">
      <c r="A31" s="1">
        <f t="shared" si="0"/>
        <v>1.1000000000000001</v>
      </c>
      <c r="B31" s="38">
        <v>1</v>
      </c>
      <c r="C31" s="37">
        <v>10</v>
      </c>
      <c r="D31" s="37">
        <v>0.93</v>
      </c>
      <c r="E31" s="37">
        <v>0.96</v>
      </c>
      <c r="F31" s="37">
        <v>0.99</v>
      </c>
      <c r="G31" s="37">
        <v>1.02</v>
      </c>
      <c r="H31" s="37">
        <v>1.04</v>
      </c>
      <c r="I31" s="37">
        <v>1.04</v>
      </c>
      <c r="J31" s="37">
        <v>1.03</v>
      </c>
      <c r="K31" s="37">
        <v>1.02</v>
      </c>
      <c r="L31" s="37">
        <v>0.99</v>
      </c>
      <c r="M31" s="37">
        <v>0.96</v>
      </c>
      <c r="N31" s="37">
        <v>0.93</v>
      </c>
      <c r="O31" s="37">
        <v>0.92</v>
      </c>
    </row>
    <row r="32" spans="1:15">
      <c r="A32" s="1">
        <f t="shared" si="0"/>
        <v>1.1499999999999999</v>
      </c>
      <c r="B32" s="38">
        <v>1</v>
      </c>
      <c r="C32" s="37">
        <v>15</v>
      </c>
      <c r="D32" s="37">
        <v>0.88</v>
      </c>
      <c r="E32" s="37">
        <v>0.92</v>
      </c>
      <c r="F32" s="37">
        <v>0.97</v>
      </c>
      <c r="G32" s="37">
        <v>1.02</v>
      </c>
      <c r="H32" s="37">
        <v>1.05</v>
      </c>
      <c r="I32" s="37">
        <v>1.06</v>
      </c>
      <c r="J32" s="37">
        <v>1.04</v>
      </c>
      <c r="K32" s="37">
        <v>1.01</v>
      </c>
      <c r="L32" s="37">
        <v>0.97</v>
      </c>
      <c r="M32" s="37">
        <v>0.93</v>
      </c>
      <c r="N32" s="37">
        <v>0.89</v>
      </c>
      <c r="O32" s="37">
        <v>0.87</v>
      </c>
    </row>
    <row r="33" spans="1:15">
      <c r="A33" s="1">
        <f t="shared" si="0"/>
        <v>1.2</v>
      </c>
      <c r="B33" s="38">
        <v>1</v>
      </c>
      <c r="C33" s="37">
        <v>20</v>
      </c>
      <c r="D33" s="37">
        <v>0.83</v>
      </c>
      <c r="E33" s="37">
        <v>0.88</v>
      </c>
      <c r="F33" s="37">
        <v>0.95</v>
      </c>
      <c r="G33" s="37">
        <v>1.01</v>
      </c>
      <c r="H33" s="37">
        <v>1.05</v>
      </c>
      <c r="I33" s="37">
        <v>1.06</v>
      </c>
      <c r="J33" s="37">
        <v>1.04</v>
      </c>
      <c r="K33" s="37">
        <v>1.01</v>
      </c>
      <c r="L33" s="37">
        <v>0.95</v>
      </c>
      <c r="M33" s="37">
        <v>0.89</v>
      </c>
      <c r="N33" s="37">
        <v>0.84</v>
      </c>
      <c r="O33" s="37">
        <v>0.81</v>
      </c>
    </row>
    <row r="34" spans="1:15">
      <c r="A34" s="1">
        <f t="shared" si="0"/>
        <v>1.25</v>
      </c>
      <c r="B34" s="38">
        <v>1</v>
      </c>
      <c r="C34" s="37">
        <v>25</v>
      </c>
      <c r="D34" s="37">
        <v>0.77</v>
      </c>
      <c r="E34" s="37">
        <v>0.84</v>
      </c>
      <c r="F34" s="37">
        <v>0.92</v>
      </c>
      <c r="G34" s="37">
        <v>1</v>
      </c>
      <c r="H34" s="37">
        <v>1.05</v>
      </c>
      <c r="I34" s="37">
        <v>1.06</v>
      </c>
      <c r="J34" s="37">
        <v>1.04</v>
      </c>
      <c r="K34" s="37">
        <v>0.99</v>
      </c>
      <c r="L34" s="37">
        <v>0.92</v>
      </c>
      <c r="M34" s="37">
        <v>0.85</v>
      </c>
      <c r="N34" s="37">
        <v>0.78</v>
      </c>
      <c r="O34" s="37">
        <v>0.75</v>
      </c>
    </row>
    <row r="35" spans="1:15">
      <c r="A35" s="1">
        <f t="shared" si="0"/>
        <v>1.3</v>
      </c>
      <c r="B35" s="38">
        <v>1</v>
      </c>
      <c r="C35" s="37">
        <v>30</v>
      </c>
      <c r="D35" s="37">
        <v>0.71</v>
      </c>
      <c r="E35" s="37">
        <v>0.79</v>
      </c>
      <c r="F35" s="37">
        <v>0.89</v>
      </c>
      <c r="G35" s="37">
        <v>0.98</v>
      </c>
      <c r="H35" s="37">
        <v>1.04</v>
      </c>
      <c r="I35" s="37">
        <v>1.05</v>
      </c>
      <c r="J35" s="37">
        <v>1.03</v>
      </c>
      <c r="K35" s="37">
        <v>0.97</v>
      </c>
      <c r="L35" s="37">
        <v>0.89</v>
      </c>
      <c r="M35" s="37">
        <v>0.8</v>
      </c>
      <c r="N35" s="37">
        <v>0.72</v>
      </c>
      <c r="O35" s="37">
        <v>0.69</v>
      </c>
    </row>
    <row r="36" spans="1:15">
      <c r="A36" s="1">
        <f t="shared" si="0"/>
        <v>1.35</v>
      </c>
      <c r="B36" s="38">
        <v>1</v>
      </c>
      <c r="C36" s="37">
        <v>35</v>
      </c>
      <c r="D36" s="37">
        <v>0.65</v>
      </c>
      <c r="E36" s="37">
        <v>0.73</v>
      </c>
      <c r="F36" s="37">
        <v>0.84</v>
      </c>
      <c r="G36" s="37">
        <v>0.95</v>
      </c>
      <c r="H36" s="37">
        <v>1.02</v>
      </c>
      <c r="I36" s="37">
        <v>1.04</v>
      </c>
      <c r="J36" s="37">
        <v>1.01</v>
      </c>
      <c r="K36" s="37">
        <v>0.95</v>
      </c>
      <c r="L36" s="37">
        <v>0.85</v>
      </c>
      <c r="M36" s="37">
        <v>0.74</v>
      </c>
      <c r="N36" s="37">
        <v>0.65</v>
      </c>
      <c r="O36" s="37">
        <v>0.62</v>
      </c>
    </row>
    <row r="37" spans="1:15">
      <c r="A37" s="1">
        <f t="shared" si="0"/>
        <v>1.4</v>
      </c>
      <c r="B37" s="38">
        <v>1</v>
      </c>
      <c r="C37" s="37">
        <v>40</v>
      </c>
      <c r="D37" s="37">
        <v>0.56999999999999995</v>
      </c>
      <c r="E37" s="37">
        <v>0.67</v>
      </c>
      <c r="F37" s="37">
        <v>0.8</v>
      </c>
      <c r="G37" s="37">
        <v>0.92</v>
      </c>
      <c r="H37" s="37">
        <v>1</v>
      </c>
      <c r="I37" s="37">
        <v>1.02</v>
      </c>
      <c r="J37" s="37">
        <v>0.98</v>
      </c>
      <c r="K37" s="37">
        <v>0.91</v>
      </c>
      <c r="L37" s="37">
        <v>0.81</v>
      </c>
      <c r="M37" s="37">
        <v>0.69</v>
      </c>
      <c r="N37" s="37">
        <v>0.57999999999999996</v>
      </c>
      <c r="O37" s="37">
        <v>0.54</v>
      </c>
    </row>
    <row r="38" spans="1:15">
      <c r="A38" s="1">
        <f t="shared" si="0"/>
        <v>1.45</v>
      </c>
      <c r="B38" s="38">
        <v>1</v>
      </c>
      <c r="C38" s="37">
        <v>45</v>
      </c>
      <c r="D38" s="37">
        <v>0.5</v>
      </c>
      <c r="E38" s="37">
        <v>0.61</v>
      </c>
      <c r="F38" s="37">
        <v>0.74</v>
      </c>
      <c r="G38" s="37">
        <v>0.88</v>
      </c>
      <c r="H38" s="37">
        <v>0.97</v>
      </c>
      <c r="I38" s="37">
        <v>0.99</v>
      </c>
      <c r="J38" s="37">
        <v>0.95</v>
      </c>
      <c r="K38" s="37">
        <v>0.87</v>
      </c>
      <c r="L38" s="37">
        <v>0.76</v>
      </c>
      <c r="M38" s="37">
        <v>0.62</v>
      </c>
      <c r="N38" s="37">
        <v>0.51</v>
      </c>
      <c r="O38" s="37">
        <v>0.46</v>
      </c>
    </row>
    <row r="39" spans="1:15">
      <c r="A39" s="1">
        <f t="shared" si="0"/>
        <v>1.5</v>
      </c>
      <c r="B39" s="38">
        <v>1</v>
      </c>
      <c r="C39" s="37">
        <v>50</v>
      </c>
      <c r="D39" s="37">
        <v>0.42</v>
      </c>
      <c r="E39" s="37">
        <v>0.54</v>
      </c>
      <c r="F39" s="37">
        <v>0.69</v>
      </c>
      <c r="G39" s="37">
        <v>0.83</v>
      </c>
      <c r="H39" s="37">
        <v>0.93</v>
      </c>
      <c r="I39" s="37">
        <v>0.96</v>
      </c>
      <c r="J39" s="37">
        <v>0.92</v>
      </c>
      <c r="K39" s="37">
        <v>0.83</v>
      </c>
      <c r="L39" s="37">
        <v>0.7</v>
      </c>
      <c r="M39" s="37">
        <v>0.56000000000000005</v>
      </c>
      <c r="N39" s="37">
        <v>0.43</v>
      </c>
      <c r="O39" s="37">
        <v>0.38</v>
      </c>
    </row>
    <row r="40" spans="1:15">
      <c r="A40" s="1">
        <f t="shared" si="0"/>
        <v>1.55</v>
      </c>
      <c r="B40" s="38">
        <v>1</v>
      </c>
      <c r="C40" s="37">
        <v>55</v>
      </c>
      <c r="D40" s="37">
        <v>0.34</v>
      </c>
      <c r="E40" s="37">
        <v>0.46</v>
      </c>
      <c r="F40" s="37">
        <v>0.63</v>
      </c>
      <c r="G40" s="37">
        <v>0.78</v>
      </c>
      <c r="H40" s="37">
        <v>0.89</v>
      </c>
      <c r="I40" s="37">
        <v>0.92</v>
      </c>
      <c r="J40" s="37">
        <v>0.88</v>
      </c>
      <c r="K40" s="37">
        <v>0.78</v>
      </c>
      <c r="L40" s="37">
        <v>0.64</v>
      </c>
      <c r="M40" s="37">
        <v>0.49</v>
      </c>
      <c r="N40" s="37">
        <v>0.35</v>
      </c>
      <c r="O40" s="37">
        <v>0.3</v>
      </c>
    </row>
    <row r="41" spans="1:15">
      <c r="A41" s="1">
        <f t="shared" si="0"/>
        <v>1.6</v>
      </c>
      <c r="B41" s="38">
        <v>1</v>
      </c>
      <c r="C41" s="37">
        <v>60</v>
      </c>
      <c r="D41" s="37">
        <v>0.26</v>
      </c>
      <c r="E41" s="37">
        <v>0.39</v>
      </c>
      <c r="F41" s="37">
        <v>0.56000000000000005</v>
      </c>
      <c r="G41" s="37">
        <v>0.73</v>
      </c>
      <c r="H41" s="37">
        <v>0.84</v>
      </c>
      <c r="I41" s="37">
        <v>0.87</v>
      </c>
      <c r="J41" s="37">
        <v>0.83</v>
      </c>
      <c r="K41" s="37">
        <v>0.73</v>
      </c>
      <c r="L41" s="37">
        <v>0.57999999999999996</v>
      </c>
      <c r="M41" s="37">
        <v>0.41</v>
      </c>
      <c r="N41" s="37">
        <v>0.27</v>
      </c>
      <c r="O41" s="37">
        <v>0.21</v>
      </c>
    </row>
    <row r="42" spans="1:15">
      <c r="A42" s="1">
        <f t="shared" si="0"/>
        <v>1.65</v>
      </c>
      <c r="B42" s="38">
        <v>1</v>
      </c>
      <c r="C42" s="37">
        <v>65</v>
      </c>
      <c r="D42" s="37">
        <v>0.17</v>
      </c>
      <c r="E42" s="37">
        <v>0.31</v>
      </c>
      <c r="F42" s="37">
        <v>0.49</v>
      </c>
      <c r="G42" s="37">
        <v>0.66</v>
      </c>
      <c r="H42" s="37">
        <v>0.79</v>
      </c>
      <c r="I42" s="37">
        <v>0.82</v>
      </c>
      <c r="J42" s="37">
        <v>0.78</v>
      </c>
      <c r="K42" s="37">
        <v>0.67</v>
      </c>
      <c r="L42" s="37">
        <v>0.51</v>
      </c>
      <c r="M42" s="37">
        <v>0.34</v>
      </c>
      <c r="N42" s="37">
        <v>0.19</v>
      </c>
      <c r="O42" s="37">
        <v>0.13</v>
      </c>
    </row>
    <row r="43" spans="1:15">
      <c r="A43" s="1">
        <f t="shared" si="0"/>
        <v>1.7</v>
      </c>
      <c r="B43" s="38">
        <v>1</v>
      </c>
      <c r="C43" s="37">
        <v>70</v>
      </c>
      <c r="D43" s="37">
        <v>0.11</v>
      </c>
      <c r="E43" s="37">
        <v>0.23</v>
      </c>
      <c r="F43" s="37">
        <v>0.42</v>
      </c>
      <c r="G43" s="37">
        <v>0.6</v>
      </c>
      <c r="H43" s="37">
        <v>0.73</v>
      </c>
      <c r="I43" s="37">
        <v>0.77</v>
      </c>
      <c r="J43" s="37">
        <v>0.72</v>
      </c>
      <c r="K43" s="37">
        <v>0.61</v>
      </c>
      <c r="L43" s="37">
        <v>0.45</v>
      </c>
      <c r="M43" s="37">
        <v>0.26</v>
      </c>
      <c r="N43" s="37">
        <v>0.13</v>
      </c>
      <c r="O43" s="37">
        <v>0.12</v>
      </c>
    </row>
    <row r="44" spans="1:15">
      <c r="A44" s="1">
        <f t="shared" si="0"/>
        <v>1.75</v>
      </c>
      <c r="B44" s="38">
        <v>1</v>
      </c>
      <c r="C44" s="37">
        <v>75</v>
      </c>
      <c r="D44" s="37">
        <v>0.11</v>
      </c>
      <c r="E44" s="37">
        <v>0.15</v>
      </c>
      <c r="F44" s="37">
        <v>0.34</v>
      </c>
      <c r="G44" s="37">
        <v>0.53</v>
      </c>
      <c r="H44" s="37">
        <v>0.67</v>
      </c>
      <c r="I44" s="37">
        <v>0.71</v>
      </c>
      <c r="J44" s="37">
        <v>0.66</v>
      </c>
      <c r="K44" s="37">
        <v>0.55000000000000004</v>
      </c>
      <c r="L44" s="37">
        <v>0.37</v>
      </c>
      <c r="M44" s="37">
        <v>0.18</v>
      </c>
      <c r="N44" s="37">
        <v>0.12</v>
      </c>
      <c r="O44" s="37">
        <v>0.11</v>
      </c>
    </row>
    <row r="45" spans="1:15">
      <c r="A45" s="1">
        <f t="shared" si="0"/>
        <v>1.8</v>
      </c>
      <c r="B45" s="38">
        <v>1</v>
      </c>
      <c r="C45" s="37">
        <v>80</v>
      </c>
      <c r="D45" s="37">
        <v>0.1</v>
      </c>
      <c r="E45" s="37">
        <v>0.1</v>
      </c>
      <c r="F45" s="37">
        <v>0.26</v>
      </c>
      <c r="G45" s="37">
        <v>0.46</v>
      </c>
      <c r="H45" s="37">
        <v>0.6</v>
      </c>
      <c r="I45" s="37">
        <v>0.64</v>
      </c>
      <c r="J45" s="37">
        <v>0.6</v>
      </c>
      <c r="K45" s="37">
        <v>0.48</v>
      </c>
      <c r="L45" s="37">
        <v>0.3</v>
      </c>
      <c r="M45" s="37">
        <v>0.13</v>
      </c>
      <c r="N45" s="37">
        <v>0.11</v>
      </c>
      <c r="O45" s="37">
        <v>0.1</v>
      </c>
    </row>
    <row r="46" spans="1:15">
      <c r="A46" s="1">
        <f t="shared" si="0"/>
        <v>1.85</v>
      </c>
      <c r="B46" s="38">
        <v>1</v>
      </c>
      <c r="C46" s="37">
        <v>85</v>
      </c>
      <c r="D46" s="37">
        <v>0.09</v>
      </c>
      <c r="E46" s="37">
        <v>0.09</v>
      </c>
      <c r="F46" s="37">
        <v>0.19</v>
      </c>
      <c r="G46" s="37">
        <v>0.39</v>
      </c>
      <c r="H46" s="37">
        <v>0.53</v>
      </c>
      <c r="I46" s="37">
        <v>0.57999999999999996</v>
      </c>
      <c r="J46" s="37">
        <v>0.53</v>
      </c>
      <c r="K46" s="37">
        <v>0.41</v>
      </c>
      <c r="L46" s="37">
        <v>0.23</v>
      </c>
      <c r="M46" s="37">
        <v>0.12</v>
      </c>
      <c r="N46" s="37">
        <v>0.11</v>
      </c>
      <c r="O46" s="37">
        <v>0.1</v>
      </c>
    </row>
    <row r="47" spans="1:15">
      <c r="A47" s="1">
        <f t="shared" si="0"/>
        <v>1.9</v>
      </c>
      <c r="B47" s="38">
        <v>1</v>
      </c>
      <c r="C47" s="37">
        <v>90</v>
      </c>
      <c r="D47" s="37">
        <v>0.08</v>
      </c>
      <c r="E47" s="37">
        <v>0.08</v>
      </c>
      <c r="F47" s="37">
        <v>1.0999999999999999E-2</v>
      </c>
      <c r="G47" s="37">
        <v>0.31</v>
      </c>
      <c r="H47" s="37">
        <v>0.46</v>
      </c>
      <c r="I47" s="37">
        <v>0.51</v>
      </c>
      <c r="J47" s="37">
        <v>0.46</v>
      </c>
      <c r="K47" s="37">
        <v>0.34</v>
      </c>
      <c r="L47" s="37">
        <v>0.15</v>
      </c>
      <c r="M47" s="37">
        <v>0.11</v>
      </c>
      <c r="N47" s="37">
        <v>0.1</v>
      </c>
      <c r="O47" s="37">
        <v>0.09</v>
      </c>
    </row>
    <row r="48" spans="1:15">
      <c r="A48" s="1">
        <f t="shared" si="0"/>
        <v>2</v>
      </c>
      <c r="B48" s="38">
        <v>2</v>
      </c>
      <c r="C48" s="37">
        <v>0</v>
      </c>
      <c r="D48" s="37">
        <v>1</v>
      </c>
      <c r="E48" s="37">
        <v>1</v>
      </c>
      <c r="F48" s="37">
        <v>1</v>
      </c>
      <c r="G48" s="37">
        <v>1</v>
      </c>
      <c r="H48" s="37">
        <v>1</v>
      </c>
      <c r="I48" s="37">
        <v>1</v>
      </c>
      <c r="J48" s="37">
        <v>1</v>
      </c>
      <c r="K48" s="37">
        <v>1</v>
      </c>
      <c r="L48" s="37">
        <v>1</v>
      </c>
      <c r="M48" s="37">
        <v>1</v>
      </c>
      <c r="N48" s="37">
        <v>1</v>
      </c>
      <c r="O48" s="37">
        <v>1</v>
      </c>
    </row>
    <row r="49" spans="1:15">
      <c r="A49" s="1">
        <f t="shared" si="0"/>
        <v>2.0499999999999998</v>
      </c>
      <c r="B49" s="38">
        <v>2</v>
      </c>
      <c r="C49" s="37">
        <v>5</v>
      </c>
      <c r="D49" s="37">
        <v>0.97</v>
      </c>
      <c r="E49" s="37">
        <v>0.98</v>
      </c>
      <c r="F49" s="37">
        <v>1</v>
      </c>
      <c r="G49" s="37">
        <v>1.02</v>
      </c>
      <c r="H49" s="37">
        <v>1.02</v>
      </c>
      <c r="I49" s="37">
        <v>1.03</v>
      </c>
      <c r="J49" s="37">
        <v>1.02</v>
      </c>
      <c r="K49" s="37">
        <v>1.01</v>
      </c>
      <c r="L49" s="37">
        <v>1</v>
      </c>
      <c r="M49" s="37">
        <v>0.98</v>
      </c>
      <c r="N49" s="37">
        <v>0.97</v>
      </c>
      <c r="O49" s="37">
        <v>0.96</v>
      </c>
    </row>
    <row r="50" spans="1:15">
      <c r="A50" s="1">
        <f t="shared" si="0"/>
        <v>2.1</v>
      </c>
      <c r="B50" s="38">
        <v>2</v>
      </c>
      <c r="C50" s="37">
        <v>10</v>
      </c>
      <c r="D50" s="37">
        <v>0.93</v>
      </c>
      <c r="E50" s="37">
        <v>0.96</v>
      </c>
      <c r="F50" s="37">
        <v>0.99</v>
      </c>
      <c r="G50" s="37">
        <v>1.02</v>
      </c>
      <c r="H50" s="37">
        <v>1.04</v>
      </c>
      <c r="I50" s="37">
        <v>1.05</v>
      </c>
      <c r="J50" s="37">
        <v>1.04</v>
      </c>
      <c r="K50" s="37">
        <v>1.02</v>
      </c>
      <c r="L50" s="37">
        <v>0.99</v>
      </c>
      <c r="M50" s="37">
        <v>0.96</v>
      </c>
      <c r="N50" s="37">
        <v>0.93</v>
      </c>
      <c r="O50" s="37">
        <v>0.92</v>
      </c>
    </row>
    <row r="51" spans="1:15">
      <c r="A51" s="1">
        <f t="shared" si="0"/>
        <v>2.15</v>
      </c>
      <c r="B51" s="38">
        <v>2</v>
      </c>
      <c r="C51" s="37">
        <v>15</v>
      </c>
      <c r="D51" s="37">
        <v>0.89</v>
      </c>
      <c r="E51" s="37">
        <v>0.93</v>
      </c>
      <c r="F51" s="37">
        <v>0.98</v>
      </c>
      <c r="G51" s="37">
        <v>1.02</v>
      </c>
      <c r="H51" s="37">
        <v>1.05</v>
      </c>
      <c r="I51" s="37">
        <v>1.06</v>
      </c>
      <c r="J51" s="37">
        <v>1.05</v>
      </c>
      <c r="K51" s="37">
        <v>1.02</v>
      </c>
      <c r="L51" s="37">
        <v>0.98</v>
      </c>
      <c r="M51" s="37">
        <v>0.93</v>
      </c>
      <c r="N51" s="37">
        <v>0.89</v>
      </c>
      <c r="O51" s="37">
        <v>0.87</v>
      </c>
    </row>
    <row r="52" spans="1:15">
      <c r="A52" s="1">
        <f t="shared" si="0"/>
        <v>2.2000000000000002</v>
      </c>
      <c r="B52" s="38">
        <v>2</v>
      </c>
      <c r="C52" s="37">
        <v>20</v>
      </c>
      <c r="D52" s="37">
        <v>0.84</v>
      </c>
      <c r="E52" s="37">
        <v>0.89</v>
      </c>
      <c r="F52" s="37">
        <v>0.96</v>
      </c>
      <c r="G52" s="37">
        <v>1.02</v>
      </c>
      <c r="H52" s="37">
        <v>1.06</v>
      </c>
      <c r="I52" s="37">
        <v>1.07</v>
      </c>
      <c r="J52" s="37">
        <v>1.05</v>
      </c>
      <c r="K52" s="37">
        <v>1.01</v>
      </c>
      <c r="L52" s="37">
        <v>0.96</v>
      </c>
      <c r="M52" s="37">
        <v>0.89</v>
      </c>
      <c r="N52" s="37">
        <v>0.84</v>
      </c>
      <c r="O52" s="37">
        <v>0.82</v>
      </c>
    </row>
    <row r="53" spans="1:15">
      <c r="A53" s="1">
        <f t="shared" si="0"/>
        <v>2.25</v>
      </c>
      <c r="B53" s="38">
        <v>2</v>
      </c>
      <c r="C53" s="37">
        <v>25</v>
      </c>
      <c r="D53" s="37">
        <v>0.78</v>
      </c>
      <c r="E53" s="37">
        <v>0.84</v>
      </c>
      <c r="F53" s="37">
        <v>0.93</v>
      </c>
      <c r="G53" s="37">
        <v>1.01</v>
      </c>
      <c r="H53" s="37">
        <v>1.06</v>
      </c>
      <c r="I53" s="37">
        <v>1.07</v>
      </c>
      <c r="J53" s="37">
        <v>1.04</v>
      </c>
      <c r="K53" s="37">
        <v>1</v>
      </c>
      <c r="L53" s="37">
        <v>0.93</v>
      </c>
      <c r="M53" s="37">
        <v>0.85</v>
      </c>
      <c r="N53" s="37">
        <v>0.79</v>
      </c>
      <c r="O53" s="37">
        <v>0.76</v>
      </c>
    </row>
    <row r="54" spans="1:15">
      <c r="A54" s="1">
        <f t="shared" si="0"/>
        <v>2.2999999999999998</v>
      </c>
      <c r="B54" s="38">
        <v>2</v>
      </c>
      <c r="C54" s="37">
        <v>30</v>
      </c>
      <c r="D54" s="37">
        <v>0.72</v>
      </c>
      <c r="E54" s="37">
        <v>0.8</v>
      </c>
      <c r="F54" s="37">
        <v>0.89</v>
      </c>
      <c r="G54" s="37">
        <v>0.99</v>
      </c>
      <c r="H54" s="37">
        <v>1.05</v>
      </c>
      <c r="I54" s="37">
        <v>1.06</v>
      </c>
      <c r="J54" s="37">
        <v>1.03</v>
      </c>
      <c r="K54" s="37">
        <v>0.98</v>
      </c>
      <c r="L54" s="37">
        <v>0.9</v>
      </c>
      <c r="M54" s="37">
        <v>0.8</v>
      </c>
      <c r="N54" s="37">
        <v>0.73</v>
      </c>
      <c r="O54" s="37">
        <v>0.69</v>
      </c>
    </row>
    <row r="55" spans="1:15">
      <c r="A55" s="1">
        <f t="shared" si="0"/>
        <v>2.35</v>
      </c>
      <c r="B55" s="38">
        <v>2</v>
      </c>
      <c r="C55" s="37">
        <v>35</v>
      </c>
      <c r="D55" s="37">
        <v>0.65</v>
      </c>
      <c r="E55" s="37">
        <v>0.74</v>
      </c>
      <c r="F55" s="37">
        <v>0.85</v>
      </c>
      <c r="G55" s="37">
        <v>0.96</v>
      </c>
      <c r="H55" s="37">
        <v>1.03</v>
      </c>
      <c r="I55" s="37">
        <v>1.05</v>
      </c>
      <c r="J55" s="37">
        <v>1.02</v>
      </c>
      <c r="K55" s="37">
        <v>0.95</v>
      </c>
      <c r="L55" s="37">
        <v>0.86</v>
      </c>
      <c r="M55" s="37">
        <v>0.75</v>
      </c>
      <c r="N55" s="37">
        <v>0.66</v>
      </c>
      <c r="O55" s="37">
        <v>0.62</v>
      </c>
    </row>
    <row r="56" spans="1:15">
      <c r="A56" s="1">
        <f t="shared" si="0"/>
        <v>2.4</v>
      </c>
      <c r="B56" s="38">
        <v>2</v>
      </c>
      <c r="C56" s="37">
        <v>40</v>
      </c>
      <c r="D56" s="37">
        <v>0.57999999999999996</v>
      </c>
      <c r="E56" s="37">
        <v>0.68</v>
      </c>
      <c r="F56" s="37">
        <v>0.81</v>
      </c>
      <c r="G56" s="37">
        <v>0.93</v>
      </c>
      <c r="H56" s="37">
        <v>1.01</v>
      </c>
      <c r="I56" s="37">
        <v>1.03</v>
      </c>
      <c r="J56" s="37">
        <v>0.99</v>
      </c>
      <c r="K56" s="37">
        <v>0.92</v>
      </c>
      <c r="L56" s="37">
        <v>0.81</v>
      </c>
      <c r="M56" s="37">
        <v>0.69</v>
      </c>
      <c r="N56" s="37">
        <v>0.59</v>
      </c>
      <c r="O56" s="37">
        <v>0.55000000000000004</v>
      </c>
    </row>
    <row r="57" spans="1:15">
      <c r="A57" s="1">
        <f t="shared" si="0"/>
        <v>2.4500000000000002</v>
      </c>
      <c r="B57" s="38">
        <v>2</v>
      </c>
      <c r="C57" s="37">
        <v>45</v>
      </c>
      <c r="D57" s="37">
        <v>0.51</v>
      </c>
      <c r="E57" s="37">
        <v>0.62</v>
      </c>
      <c r="F57" s="37">
        <v>0.75</v>
      </c>
      <c r="G57" s="37">
        <v>0.89</v>
      </c>
      <c r="H57" s="37">
        <v>0.98</v>
      </c>
      <c r="I57" s="37">
        <v>1</v>
      </c>
      <c r="J57" s="37">
        <v>0.96</v>
      </c>
      <c r="K57" s="37">
        <v>0.88</v>
      </c>
      <c r="L57" s="37">
        <v>0.77</v>
      </c>
      <c r="M57" s="37">
        <v>0.63</v>
      </c>
      <c r="N57" s="37">
        <v>0.52</v>
      </c>
      <c r="O57" s="37">
        <v>0.47</v>
      </c>
    </row>
    <row r="58" spans="1:15">
      <c r="A58" s="1">
        <f t="shared" si="0"/>
        <v>2.5</v>
      </c>
      <c r="B58" s="38">
        <v>2</v>
      </c>
      <c r="C58" s="37">
        <v>50</v>
      </c>
      <c r="D58" s="37">
        <v>0.43</v>
      </c>
      <c r="E58" s="37">
        <v>0.55000000000000004</v>
      </c>
      <c r="F58" s="37">
        <v>0.7</v>
      </c>
      <c r="G58" s="37">
        <v>0.84</v>
      </c>
      <c r="H58" s="37">
        <v>0.94</v>
      </c>
      <c r="I58" s="37">
        <v>0.97</v>
      </c>
      <c r="J58" s="37">
        <v>0.93</v>
      </c>
      <c r="K58" s="37">
        <v>0.84</v>
      </c>
      <c r="L58" s="37">
        <v>0.71</v>
      </c>
      <c r="M58" s="37">
        <v>0.56999999999999995</v>
      </c>
      <c r="N58" s="37">
        <v>0.45</v>
      </c>
      <c r="O58" s="37">
        <v>0.39</v>
      </c>
    </row>
    <row r="59" spans="1:15">
      <c r="A59" s="1">
        <f t="shared" si="0"/>
        <v>2.5499999999999998</v>
      </c>
      <c r="B59" s="38">
        <v>2</v>
      </c>
      <c r="C59" s="37">
        <v>55</v>
      </c>
      <c r="D59" s="37">
        <v>0.35</v>
      </c>
      <c r="E59" s="37">
        <v>0.48</v>
      </c>
      <c r="F59" s="37">
        <v>0.64</v>
      </c>
      <c r="G59" s="37">
        <v>0.79</v>
      </c>
      <c r="H59" s="37">
        <v>0.9</v>
      </c>
      <c r="I59" s="37">
        <v>0.93</v>
      </c>
      <c r="J59" s="37">
        <v>0.89</v>
      </c>
      <c r="K59" s="37">
        <v>0.79</v>
      </c>
      <c r="L59" s="37">
        <v>0.65</v>
      </c>
      <c r="M59" s="37">
        <v>0.5</v>
      </c>
      <c r="N59" s="37">
        <v>0.37</v>
      </c>
      <c r="O59" s="37">
        <v>0.31</v>
      </c>
    </row>
    <row r="60" spans="1:15">
      <c r="A60" s="1">
        <f t="shared" si="0"/>
        <v>2.6</v>
      </c>
      <c r="B60" s="38">
        <v>2</v>
      </c>
      <c r="C60" s="37">
        <v>60</v>
      </c>
      <c r="D60" s="37">
        <v>0.27</v>
      </c>
      <c r="E60" s="37">
        <v>0.4</v>
      </c>
      <c r="F60" s="37">
        <v>0.56999999999999995</v>
      </c>
      <c r="G60" s="37">
        <v>0.74</v>
      </c>
      <c r="H60" s="37">
        <v>0.85</v>
      </c>
      <c r="I60" s="37">
        <v>0.88</v>
      </c>
      <c r="J60" s="37">
        <v>0.84</v>
      </c>
      <c r="K60" s="37">
        <v>0.74</v>
      </c>
      <c r="L60" s="37">
        <v>0.59</v>
      </c>
      <c r="M60" s="37">
        <v>0.42</v>
      </c>
      <c r="N60" s="37">
        <v>0.28999999999999998</v>
      </c>
      <c r="O60" s="37">
        <v>0.23</v>
      </c>
    </row>
    <row r="61" spans="1:15">
      <c r="A61" s="1">
        <f t="shared" si="0"/>
        <v>2.65</v>
      </c>
      <c r="B61" s="38">
        <v>2</v>
      </c>
      <c r="C61" s="37">
        <v>65</v>
      </c>
      <c r="D61" s="37">
        <v>0.19</v>
      </c>
      <c r="E61" s="37">
        <v>0.32</v>
      </c>
      <c r="F61" s="37">
        <v>0.5</v>
      </c>
      <c r="G61" s="37">
        <v>0.68</v>
      </c>
      <c r="H61" s="37">
        <v>0.8</v>
      </c>
      <c r="I61" s="37">
        <v>0.84</v>
      </c>
      <c r="J61" s="37">
        <v>0.79</v>
      </c>
      <c r="K61" s="37">
        <v>0.68</v>
      </c>
      <c r="L61" s="37">
        <v>0.53</v>
      </c>
      <c r="M61" s="37">
        <v>0.35</v>
      </c>
      <c r="N61" s="37">
        <v>0.2</v>
      </c>
      <c r="O61" s="37">
        <v>0.14000000000000001</v>
      </c>
    </row>
    <row r="62" spans="1:15">
      <c r="A62" s="1">
        <f t="shared" si="0"/>
        <v>2.7</v>
      </c>
      <c r="B62" s="38">
        <v>2</v>
      </c>
      <c r="C62" s="37">
        <v>70</v>
      </c>
      <c r="D62" s="37">
        <v>0.11</v>
      </c>
      <c r="E62" s="37">
        <v>0.24</v>
      </c>
      <c r="F62" s="37">
        <v>0.43</v>
      </c>
      <c r="G62" s="37">
        <v>0.61</v>
      </c>
      <c r="H62" s="37">
        <v>0.74</v>
      </c>
      <c r="I62" s="37">
        <v>0.78</v>
      </c>
      <c r="J62" s="37">
        <v>0.73</v>
      </c>
      <c r="K62" s="37">
        <v>0.62</v>
      </c>
      <c r="L62" s="37">
        <v>0.46</v>
      </c>
      <c r="M62" s="37">
        <v>0.27</v>
      </c>
      <c r="N62" s="37">
        <v>0.13</v>
      </c>
      <c r="O62" s="37">
        <v>0.12</v>
      </c>
    </row>
    <row r="63" spans="1:15">
      <c r="A63" s="1">
        <f t="shared" si="0"/>
        <v>2.75</v>
      </c>
      <c r="B63" s="38">
        <v>2</v>
      </c>
      <c r="C63" s="37">
        <v>75</v>
      </c>
      <c r="D63" s="37">
        <v>0.11</v>
      </c>
      <c r="E63" s="37">
        <v>0.16</v>
      </c>
      <c r="F63" s="37">
        <v>0.36</v>
      </c>
      <c r="G63" s="37">
        <v>0.55000000000000004</v>
      </c>
      <c r="H63" s="37">
        <v>0.68</v>
      </c>
      <c r="I63" s="37">
        <v>0.72</v>
      </c>
      <c r="J63" s="37">
        <v>0.67</v>
      </c>
      <c r="K63" s="37">
        <v>0.56000000000000005</v>
      </c>
      <c r="L63" s="37">
        <v>0.39</v>
      </c>
      <c r="M63" s="37">
        <v>0.19</v>
      </c>
      <c r="N63" s="37">
        <v>0.12</v>
      </c>
      <c r="O63" s="37">
        <v>0.11</v>
      </c>
    </row>
    <row r="64" spans="1:15">
      <c r="A64" s="1">
        <f t="shared" si="0"/>
        <v>2.8</v>
      </c>
      <c r="B64" s="38">
        <v>2</v>
      </c>
      <c r="C64" s="37">
        <v>80</v>
      </c>
      <c r="D64" s="37">
        <v>0.1</v>
      </c>
      <c r="E64" s="37">
        <v>0.1</v>
      </c>
      <c r="F64" s="37">
        <v>0.28000000000000003</v>
      </c>
      <c r="G64" s="37">
        <v>0.47</v>
      </c>
      <c r="H64" s="37">
        <v>0.61</v>
      </c>
      <c r="I64" s="37">
        <v>0.66</v>
      </c>
      <c r="J64" s="37">
        <v>0.61</v>
      </c>
      <c r="K64" s="37">
        <v>0.49</v>
      </c>
      <c r="L64" s="37">
        <v>0.31</v>
      </c>
      <c r="M64" s="37">
        <v>0.13</v>
      </c>
      <c r="N64" s="37">
        <v>0.11</v>
      </c>
      <c r="O64" s="37">
        <v>0.1</v>
      </c>
    </row>
    <row r="65" spans="1:15">
      <c r="A65" s="1">
        <f t="shared" si="0"/>
        <v>2.85</v>
      </c>
      <c r="B65" s="38">
        <v>2</v>
      </c>
      <c r="C65" s="37">
        <v>85</v>
      </c>
      <c r="D65" s="37">
        <v>0.09</v>
      </c>
      <c r="E65" s="37">
        <v>0.09</v>
      </c>
      <c r="F65" s="37">
        <v>0.2</v>
      </c>
      <c r="G65" s="37">
        <v>0.4</v>
      </c>
      <c r="H65" s="37">
        <v>0.54</v>
      </c>
      <c r="I65" s="37">
        <v>0.59</v>
      </c>
      <c r="J65" s="37">
        <v>0.54</v>
      </c>
      <c r="K65" s="37">
        <v>0.42</v>
      </c>
      <c r="L65" s="37">
        <v>0.24</v>
      </c>
      <c r="M65" s="37">
        <v>0.12</v>
      </c>
      <c r="N65" s="37">
        <v>0.11</v>
      </c>
      <c r="O65" s="37">
        <v>0.1</v>
      </c>
    </row>
    <row r="66" spans="1:15">
      <c r="A66" s="1">
        <f t="shared" si="0"/>
        <v>2.9</v>
      </c>
      <c r="B66" s="38">
        <v>2</v>
      </c>
      <c r="C66" s="37">
        <v>90</v>
      </c>
      <c r="D66" s="37">
        <v>0.08</v>
      </c>
      <c r="E66" s="37">
        <v>0.08</v>
      </c>
      <c r="F66" s="37">
        <v>1.2E-2</v>
      </c>
      <c r="G66" s="37">
        <v>0.32</v>
      </c>
      <c r="H66" s="37">
        <v>0.47</v>
      </c>
      <c r="I66" s="37">
        <v>0.52</v>
      </c>
      <c r="J66" s="37">
        <v>0.47</v>
      </c>
      <c r="K66" s="37">
        <v>0.35</v>
      </c>
      <c r="L66" s="37">
        <v>0.16</v>
      </c>
      <c r="M66" s="37">
        <v>0.11</v>
      </c>
      <c r="N66" s="37">
        <v>0.1</v>
      </c>
      <c r="O66" s="37">
        <v>0.09</v>
      </c>
    </row>
    <row r="67" spans="1:15">
      <c r="A67" s="1">
        <f t="shared" si="0"/>
        <v>3</v>
      </c>
      <c r="B67" s="38">
        <v>3</v>
      </c>
      <c r="C67" s="37">
        <v>0</v>
      </c>
      <c r="D67" s="37">
        <v>1</v>
      </c>
      <c r="E67" s="37">
        <v>1</v>
      </c>
      <c r="F67" s="37">
        <v>1</v>
      </c>
      <c r="G67" s="37">
        <v>1</v>
      </c>
      <c r="H67" s="37">
        <v>1</v>
      </c>
      <c r="I67" s="37">
        <v>1</v>
      </c>
      <c r="J67" s="37">
        <v>1</v>
      </c>
      <c r="K67" s="37">
        <v>1</v>
      </c>
      <c r="L67" s="37">
        <v>1</v>
      </c>
      <c r="M67" s="37">
        <v>1</v>
      </c>
      <c r="N67" s="37">
        <v>1</v>
      </c>
      <c r="O67" s="37">
        <v>1</v>
      </c>
    </row>
    <row r="68" spans="1:15">
      <c r="A68" s="1">
        <f t="shared" si="0"/>
        <v>3.05</v>
      </c>
      <c r="B68" s="38">
        <v>3</v>
      </c>
      <c r="C68" s="37">
        <v>5</v>
      </c>
      <c r="D68" s="37">
        <v>0.97</v>
      </c>
      <c r="E68" s="37">
        <v>0.98</v>
      </c>
      <c r="F68" s="37">
        <v>1</v>
      </c>
      <c r="G68" s="37">
        <v>1.02</v>
      </c>
      <c r="H68" s="37">
        <v>1.03</v>
      </c>
      <c r="I68" s="37">
        <v>1.03</v>
      </c>
      <c r="J68" s="37">
        <v>1.02</v>
      </c>
      <c r="K68" s="37">
        <v>1.01</v>
      </c>
      <c r="L68" s="37">
        <v>1</v>
      </c>
      <c r="M68" s="37">
        <v>0.98</v>
      </c>
      <c r="N68" s="37">
        <v>0.97</v>
      </c>
      <c r="O68" s="37">
        <v>0.94</v>
      </c>
    </row>
    <row r="69" spans="1:15">
      <c r="A69" s="1">
        <f t="shared" si="0"/>
        <v>3.1</v>
      </c>
      <c r="B69" s="38">
        <v>3</v>
      </c>
      <c r="C69" s="37">
        <v>10</v>
      </c>
      <c r="D69" s="37">
        <v>0.93</v>
      </c>
      <c r="E69" s="37">
        <v>0.96</v>
      </c>
      <c r="F69" s="37">
        <v>0.99</v>
      </c>
      <c r="G69" s="37">
        <v>1.03</v>
      </c>
      <c r="H69" s="37">
        <v>1.05</v>
      </c>
      <c r="I69" s="37">
        <v>1.05</v>
      </c>
      <c r="J69" s="37">
        <v>1.04</v>
      </c>
      <c r="K69" s="37">
        <v>1.02</v>
      </c>
      <c r="L69" s="37">
        <v>0.99</v>
      </c>
      <c r="M69" s="37">
        <v>0.96</v>
      </c>
      <c r="N69" s="37">
        <v>0.94</v>
      </c>
      <c r="O69" s="37">
        <v>0.93</v>
      </c>
    </row>
    <row r="70" spans="1:15">
      <c r="A70" s="1">
        <f t="shared" si="0"/>
        <v>3.15</v>
      </c>
      <c r="B70" s="38">
        <v>3</v>
      </c>
      <c r="C70" s="37">
        <v>15</v>
      </c>
      <c r="D70" s="37">
        <v>0.89</v>
      </c>
      <c r="E70" s="37">
        <v>0.93</v>
      </c>
      <c r="F70" s="37">
        <v>0.98</v>
      </c>
      <c r="G70" s="37">
        <v>1.03</v>
      </c>
      <c r="H70" s="37">
        <v>1.06</v>
      </c>
      <c r="I70" s="37">
        <v>1.06</v>
      </c>
      <c r="J70" s="37">
        <v>1.05</v>
      </c>
      <c r="K70" s="37">
        <v>1.02</v>
      </c>
      <c r="L70" s="37">
        <v>0.98</v>
      </c>
      <c r="M70" s="37">
        <v>0.93</v>
      </c>
      <c r="N70" s="37">
        <v>0.89</v>
      </c>
      <c r="O70" s="37">
        <v>0.88</v>
      </c>
    </row>
    <row r="71" spans="1:15">
      <c r="A71" s="1">
        <f t="shared" si="0"/>
        <v>3.2</v>
      </c>
      <c r="B71" s="38">
        <v>3</v>
      </c>
      <c r="C71" s="37">
        <v>20</v>
      </c>
      <c r="D71" s="37">
        <v>0.84</v>
      </c>
      <c r="E71" s="37">
        <v>0.89</v>
      </c>
      <c r="F71" s="37">
        <v>0.96</v>
      </c>
      <c r="G71" s="37">
        <v>1.02</v>
      </c>
      <c r="H71" s="37">
        <v>1.06</v>
      </c>
      <c r="I71" s="37">
        <v>1.07</v>
      </c>
      <c r="J71" s="37">
        <v>1.05</v>
      </c>
      <c r="K71" s="37">
        <v>1.02</v>
      </c>
      <c r="L71" s="37">
        <v>0.96</v>
      </c>
      <c r="M71" s="37">
        <v>0.9</v>
      </c>
      <c r="N71" s="37">
        <v>0.85</v>
      </c>
      <c r="O71" s="37">
        <v>0.83</v>
      </c>
    </row>
    <row r="72" spans="1:15">
      <c r="A72" s="1">
        <f t="shared" si="0"/>
        <v>3.25</v>
      </c>
      <c r="B72" s="38">
        <v>3</v>
      </c>
      <c r="C72" s="37">
        <v>25</v>
      </c>
      <c r="D72" s="37">
        <v>0.79</v>
      </c>
      <c r="E72" s="37">
        <v>0.85</v>
      </c>
      <c r="F72" s="37">
        <v>0.93</v>
      </c>
      <c r="G72" s="37">
        <v>1.01</v>
      </c>
      <c r="H72" s="37">
        <v>1.06</v>
      </c>
      <c r="I72" s="37">
        <v>1.07</v>
      </c>
      <c r="J72" s="37">
        <v>1.05</v>
      </c>
      <c r="K72" s="37">
        <v>1</v>
      </c>
      <c r="L72" s="37">
        <v>0.94</v>
      </c>
      <c r="M72" s="37">
        <v>0.86</v>
      </c>
      <c r="N72" s="37">
        <v>0.79</v>
      </c>
      <c r="O72" s="37">
        <v>0.77</v>
      </c>
    </row>
    <row r="73" spans="1:15">
      <c r="A73" s="1">
        <f t="shared" si="0"/>
        <v>3.3</v>
      </c>
      <c r="B73" s="38">
        <v>3</v>
      </c>
      <c r="C73" s="37">
        <v>30</v>
      </c>
      <c r="D73" s="37">
        <v>0.73</v>
      </c>
      <c r="E73" s="37">
        <v>0.8</v>
      </c>
      <c r="F73" s="37">
        <v>0.9</v>
      </c>
      <c r="G73" s="37">
        <v>0.99</v>
      </c>
      <c r="H73" s="37">
        <v>1.05</v>
      </c>
      <c r="I73" s="37">
        <v>1.07</v>
      </c>
      <c r="J73" s="37">
        <v>1.04</v>
      </c>
      <c r="K73" s="37">
        <v>0.98</v>
      </c>
      <c r="L73" s="37">
        <v>0.9</v>
      </c>
      <c r="M73" s="37">
        <v>0.81</v>
      </c>
      <c r="N73" s="37">
        <v>0.74</v>
      </c>
      <c r="O73" s="37">
        <v>0.7</v>
      </c>
    </row>
    <row r="74" spans="1:15">
      <c r="A74" s="1">
        <f t="shared" ref="A74:A137" si="1">B74+C74/100</f>
        <v>3.35</v>
      </c>
      <c r="B74" s="38">
        <v>3</v>
      </c>
      <c r="C74" s="37">
        <v>35</v>
      </c>
      <c r="D74" s="37">
        <v>0.66</v>
      </c>
      <c r="E74" s="37">
        <v>0.75</v>
      </c>
      <c r="F74" s="37">
        <v>0.86</v>
      </c>
      <c r="G74" s="37">
        <v>0.97</v>
      </c>
      <c r="H74" s="37">
        <v>1.04</v>
      </c>
      <c r="I74" s="37">
        <v>1.05</v>
      </c>
      <c r="J74" s="37">
        <v>1.02</v>
      </c>
      <c r="K74" s="37">
        <v>0.96</v>
      </c>
      <c r="L74" s="37">
        <v>0.87</v>
      </c>
      <c r="M74" s="37">
        <v>0.76</v>
      </c>
      <c r="N74" s="37">
        <v>0.67</v>
      </c>
      <c r="O74" s="37">
        <v>0.63</v>
      </c>
    </row>
    <row r="75" spans="1:15">
      <c r="A75" s="1">
        <f t="shared" si="1"/>
        <v>3.4</v>
      </c>
      <c r="B75" s="38">
        <v>3</v>
      </c>
      <c r="C75" s="37">
        <v>40</v>
      </c>
      <c r="D75" s="37">
        <v>0.59</v>
      </c>
      <c r="E75" s="37">
        <v>0.69</v>
      </c>
      <c r="F75" s="37">
        <v>0.82</v>
      </c>
      <c r="G75" s="37">
        <v>0.94</v>
      </c>
      <c r="H75" s="37">
        <v>1.02</v>
      </c>
      <c r="I75" s="37">
        <v>1.04</v>
      </c>
      <c r="J75" s="37">
        <v>1</v>
      </c>
      <c r="K75" s="37">
        <v>0.93</v>
      </c>
      <c r="L75" s="37">
        <v>0.82</v>
      </c>
      <c r="M75" s="37">
        <v>0.7</v>
      </c>
      <c r="N75" s="37">
        <v>0.6</v>
      </c>
      <c r="O75" s="37">
        <v>0.56000000000000005</v>
      </c>
    </row>
    <row r="76" spans="1:15">
      <c r="A76" s="1">
        <f t="shared" si="1"/>
        <v>3.45</v>
      </c>
      <c r="B76" s="38">
        <v>3</v>
      </c>
      <c r="C76" s="37">
        <v>45</v>
      </c>
      <c r="D76" s="37">
        <v>0.52</v>
      </c>
      <c r="E76" s="37">
        <v>0.63</v>
      </c>
      <c r="F76" s="37">
        <v>0.76</v>
      </c>
      <c r="G76" s="37">
        <v>0.9</v>
      </c>
      <c r="H76" s="37">
        <v>0.99</v>
      </c>
      <c r="I76" s="37">
        <v>1.01</v>
      </c>
      <c r="J76" s="37">
        <v>0.97</v>
      </c>
      <c r="K76" s="37">
        <v>0.89</v>
      </c>
      <c r="L76" s="37">
        <v>0.77</v>
      </c>
      <c r="M76" s="37">
        <v>0.64</v>
      </c>
      <c r="N76" s="37">
        <v>0.53</v>
      </c>
      <c r="O76" s="37">
        <v>0.49</v>
      </c>
    </row>
    <row r="77" spans="1:15">
      <c r="A77" s="1">
        <f t="shared" si="1"/>
        <v>3.5</v>
      </c>
      <c r="B77" s="38">
        <v>3</v>
      </c>
      <c r="C77" s="37">
        <v>50</v>
      </c>
      <c r="D77" s="37">
        <v>0.44</v>
      </c>
      <c r="E77" s="37">
        <v>0.56000000000000005</v>
      </c>
      <c r="F77" s="37">
        <v>0.71</v>
      </c>
      <c r="G77" s="37">
        <v>0.85</v>
      </c>
      <c r="H77" s="37">
        <v>0.95</v>
      </c>
      <c r="I77" s="37">
        <v>0.98</v>
      </c>
      <c r="J77" s="37">
        <v>0.94</v>
      </c>
      <c r="K77" s="37">
        <v>0.85</v>
      </c>
      <c r="L77" s="37">
        <v>0.72</v>
      </c>
      <c r="M77" s="37">
        <v>0.57999999999999996</v>
      </c>
      <c r="N77" s="37">
        <v>0.46</v>
      </c>
      <c r="O77" s="37">
        <v>0.41</v>
      </c>
    </row>
    <row r="78" spans="1:15">
      <c r="A78" s="1">
        <f t="shared" si="1"/>
        <v>3.55</v>
      </c>
      <c r="B78" s="38">
        <v>3</v>
      </c>
      <c r="C78" s="37">
        <v>55</v>
      </c>
      <c r="D78" s="37">
        <v>0.37</v>
      </c>
      <c r="E78" s="37">
        <v>0.49</v>
      </c>
      <c r="F78" s="37">
        <v>0.65</v>
      </c>
      <c r="G78" s="37">
        <v>0.81</v>
      </c>
      <c r="H78" s="37">
        <v>0.91</v>
      </c>
      <c r="I78" s="37">
        <v>0.94</v>
      </c>
      <c r="J78" s="37">
        <v>0.9</v>
      </c>
      <c r="K78" s="37">
        <v>0.8</v>
      </c>
      <c r="L78" s="37">
        <v>0.66</v>
      </c>
      <c r="M78" s="37">
        <v>0.51</v>
      </c>
      <c r="N78" s="37">
        <v>0.38</v>
      </c>
      <c r="O78" s="37">
        <v>0.32</v>
      </c>
    </row>
    <row r="79" spans="1:15">
      <c r="A79" s="1">
        <f t="shared" si="1"/>
        <v>3.6</v>
      </c>
      <c r="B79" s="38">
        <v>3</v>
      </c>
      <c r="C79" s="37">
        <v>60</v>
      </c>
      <c r="D79" s="37">
        <v>0.28000000000000003</v>
      </c>
      <c r="E79" s="37">
        <v>0.41</v>
      </c>
      <c r="F79" s="37">
        <v>0.57999999999999996</v>
      </c>
      <c r="G79" s="37">
        <v>0.75</v>
      </c>
      <c r="H79" s="37">
        <v>0.87</v>
      </c>
      <c r="I79" s="37">
        <v>0.9</v>
      </c>
      <c r="J79" s="37">
        <v>0.85</v>
      </c>
      <c r="K79" s="37">
        <v>0.75</v>
      </c>
      <c r="L79" s="37">
        <v>0.6</v>
      </c>
      <c r="M79" s="37">
        <v>0.44</v>
      </c>
      <c r="N79" s="37">
        <v>0.3</v>
      </c>
      <c r="O79" s="37">
        <v>0.24</v>
      </c>
    </row>
    <row r="80" spans="1:15">
      <c r="A80" s="1">
        <f t="shared" si="1"/>
        <v>3.65</v>
      </c>
      <c r="B80" s="38">
        <v>3</v>
      </c>
      <c r="C80" s="37">
        <v>65</v>
      </c>
      <c r="D80" s="37">
        <v>0.2</v>
      </c>
      <c r="E80" s="37">
        <v>0.34</v>
      </c>
      <c r="F80" s="37">
        <v>0.52</v>
      </c>
      <c r="G80" s="37">
        <v>0.69</v>
      </c>
      <c r="H80" s="37">
        <v>0.81</v>
      </c>
      <c r="I80" s="37">
        <v>0.85</v>
      </c>
      <c r="J80" s="37">
        <v>0.8</v>
      </c>
      <c r="K80" s="37">
        <v>0.69</v>
      </c>
      <c r="L80" s="37">
        <v>0.54</v>
      </c>
      <c r="M80" s="37">
        <v>0.36</v>
      </c>
      <c r="N80" s="37">
        <v>0.22</v>
      </c>
      <c r="O80" s="37">
        <v>0.16</v>
      </c>
    </row>
    <row r="81" spans="1:15">
      <c r="A81" s="1">
        <f t="shared" si="1"/>
        <v>3.7</v>
      </c>
      <c r="B81" s="38">
        <v>3</v>
      </c>
      <c r="C81" s="37">
        <v>70</v>
      </c>
      <c r="D81" s="37">
        <v>0.12</v>
      </c>
      <c r="E81" s="37">
        <v>0.26</v>
      </c>
      <c r="F81" s="37">
        <v>0.44</v>
      </c>
      <c r="G81" s="37">
        <v>0.63</v>
      </c>
      <c r="H81" s="37">
        <v>0.76</v>
      </c>
      <c r="I81" s="37">
        <v>0.79</v>
      </c>
      <c r="J81" s="37">
        <v>0.75</v>
      </c>
      <c r="K81" s="37">
        <v>0.63</v>
      </c>
      <c r="L81" s="37">
        <v>0.47</v>
      </c>
      <c r="M81" s="37">
        <v>0.28999999999999998</v>
      </c>
      <c r="N81" s="37">
        <v>0.14000000000000001</v>
      </c>
      <c r="O81" s="37">
        <v>0.12</v>
      </c>
    </row>
    <row r="82" spans="1:15">
      <c r="A82" s="1">
        <f t="shared" si="1"/>
        <v>3.75</v>
      </c>
      <c r="B82" s="38">
        <v>3</v>
      </c>
      <c r="C82" s="37">
        <v>75</v>
      </c>
      <c r="D82" s="37">
        <v>0.1</v>
      </c>
      <c r="E82" s="37">
        <v>0.18</v>
      </c>
      <c r="F82" s="37">
        <v>0.37</v>
      </c>
      <c r="G82" s="37">
        <v>0.56000000000000005</v>
      </c>
      <c r="H82" s="37">
        <v>0.69</v>
      </c>
      <c r="I82" s="37">
        <v>0.73</v>
      </c>
      <c r="J82" s="37">
        <v>0.69</v>
      </c>
      <c r="K82" s="37">
        <v>0.56999999999999995</v>
      </c>
      <c r="L82" s="37">
        <v>0.4</v>
      </c>
      <c r="M82" s="37">
        <v>0.21</v>
      </c>
      <c r="N82" s="37">
        <v>0.12</v>
      </c>
      <c r="O82" s="37">
        <v>0.11</v>
      </c>
    </row>
    <row r="83" spans="1:15">
      <c r="A83" s="1">
        <f t="shared" si="1"/>
        <v>3.8</v>
      </c>
      <c r="B83" s="38">
        <v>3</v>
      </c>
      <c r="C83" s="37">
        <v>80</v>
      </c>
      <c r="D83" s="37">
        <v>0.1</v>
      </c>
      <c r="E83" s="37">
        <v>0.1</v>
      </c>
      <c r="F83" s="37">
        <v>0.28999999999999998</v>
      </c>
      <c r="G83" s="37">
        <v>0.49</v>
      </c>
      <c r="H83" s="37">
        <v>0.63</v>
      </c>
      <c r="I83" s="37">
        <v>0.67</v>
      </c>
      <c r="J83" s="37">
        <v>0.62</v>
      </c>
      <c r="K83" s="37">
        <v>0.5</v>
      </c>
      <c r="L83" s="37">
        <v>0.33</v>
      </c>
      <c r="M83" s="37">
        <v>0.13</v>
      </c>
      <c r="N83" s="37">
        <v>0.11</v>
      </c>
      <c r="O83" s="37">
        <v>0.1</v>
      </c>
    </row>
    <row r="84" spans="1:15">
      <c r="A84" s="1">
        <f t="shared" si="1"/>
        <v>3.85</v>
      </c>
      <c r="B84" s="38">
        <v>3</v>
      </c>
      <c r="C84" s="37">
        <v>85</v>
      </c>
      <c r="D84" s="37">
        <v>0.09</v>
      </c>
      <c r="E84" s="37">
        <v>0.09</v>
      </c>
      <c r="F84" s="37">
        <v>0.22</v>
      </c>
      <c r="G84" s="37">
        <v>0.41</v>
      </c>
      <c r="H84" s="37">
        <v>0.56000000000000005</v>
      </c>
      <c r="I84" s="37">
        <v>0.6</v>
      </c>
      <c r="J84" s="37">
        <v>0.56000000000000005</v>
      </c>
      <c r="K84" s="37">
        <v>0.43</v>
      </c>
      <c r="L84" s="37">
        <v>0.25</v>
      </c>
      <c r="M84" s="37">
        <v>0.12</v>
      </c>
      <c r="N84" s="37">
        <v>0.11</v>
      </c>
      <c r="O84" s="37">
        <v>0.1</v>
      </c>
    </row>
    <row r="85" spans="1:15">
      <c r="A85" s="1">
        <f t="shared" si="1"/>
        <v>3.9</v>
      </c>
      <c r="B85" s="38">
        <v>3</v>
      </c>
      <c r="C85" s="37">
        <v>90</v>
      </c>
      <c r="D85" s="37">
        <v>0.08</v>
      </c>
      <c r="E85" s="37">
        <v>0.08</v>
      </c>
      <c r="F85" s="37">
        <v>0.14000000000000001</v>
      </c>
      <c r="G85" s="37">
        <v>0.34</v>
      </c>
      <c r="H85" s="37">
        <v>0.49</v>
      </c>
      <c r="I85" s="37">
        <v>0.53</v>
      </c>
      <c r="J85" s="37">
        <v>0.49</v>
      </c>
      <c r="K85" s="37">
        <v>0.36</v>
      </c>
      <c r="L85" s="37">
        <v>0.18</v>
      </c>
      <c r="M85" s="37">
        <v>0.11</v>
      </c>
      <c r="N85" s="37">
        <v>0.1</v>
      </c>
      <c r="O85" s="37">
        <v>0.09</v>
      </c>
    </row>
    <row r="86" spans="1:15">
      <c r="A86" s="1">
        <f t="shared" si="1"/>
        <v>4</v>
      </c>
      <c r="B86" s="38">
        <v>4</v>
      </c>
      <c r="C86" s="37">
        <v>0</v>
      </c>
      <c r="D86" s="37">
        <v>1</v>
      </c>
      <c r="E86" s="37">
        <v>1</v>
      </c>
      <c r="F86" s="37">
        <v>1</v>
      </c>
      <c r="G86" s="37">
        <v>1</v>
      </c>
      <c r="H86" s="37">
        <v>1</v>
      </c>
      <c r="I86" s="37">
        <v>1</v>
      </c>
      <c r="J86" s="37">
        <v>1</v>
      </c>
      <c r="K86" s="37">
        <v>1</v>
      </c>
      <c r="L86" s="37">
        <v>1</v>
      </c>
      <c r="M86" s="37">
        <v>1</v>
      </c>
      <c r="N86" s="37">
        <v>1</v>
      </c>
      <c r="O86" s="37">
        <v>1</v>
      </c>
    </row>
    <row r="87" spans="1:15">
      <c r="A87" s="1">
        <f t="shared" si="1"/>
        <v>4.05</v>
      </c>
      <c r="B87" s="38">
        <v>4</v>
      </c>
      <c r="C87" s="37">
        <v>5</v>
      </c>
      <c r="D87" s="37">
        <v>0.97</v>
      </c>
      <c r="E87" s="37">
        <v>0.98</v>
      </c>
      <c r="F87" s="37">
        <v>1</v>
      </c>
      <c r="G87" s="37">
        <v>1.02</v>
      </c>
      <c r="H87" s="37">
        <v>1.03</v>
      </c>
      <c r="I87" s="37">
        <v>1.03</v>
      </c>
      <c r="J87" s="37">
        <v>1.02</v>
      </c>
      <c r="K87" s="37">
        <v>1.01</v>
      </c>
      <c r="L87" s="37">
        <v>1</v>
      </c>
      <c r="M87" s="37">
        <v>0.99</v>
      </c>
      <c r="N87" s="37">
        <v>0.97</v>
      </c>
      <c r="O87" s="37">
        <v>0.97</v>
      </c>
    </row>
    <row r="88" spans="1:15">
      <c r="A88" s="1">
        <f t="shared" si="1"/>
        <v>4.0999999999999996</v>
      </c>
      <c r="B88" s="38">
        <v>4</v>
      </c>
      <c r="C88" s="37">
        <v>10</v>
      </c>
      <c r="D88" s="37">
        <v>0.94</v>
      </c>
      <c r="E88" s="37">
        <v>0.96</v>
      </c>
      <c r="F88" s="37">
        <v>1</v>
      </c>
      <c r="G88" s="37">
        <v>1.03</v>
      </c>
      <c r="H88" s="37">
        <v>1.05</v>
      </c>
      <c r="I88" s="37">
        <v>1.05</v>
      </c>
      <c r="J88" s="37">
        <v>1.04</v>
      </c>
      <c r="K88" s="37">
        <v>1.02</v>
      </c>
      <c r="L88" s="37">
        <v>1</v>
      </c>
      <c r="M88" s="37">
        <v>0.96</v>
      </c>
      <c r="N88" s="37">
        <v>0.94</v>
      </c>
      <c r="O88" s="37">
        <v>0.93</v>
      </c>
    </row>
    <row r="89" spans="1:15">
      <c r="A89" s="1">
        <f t="shared" si="1"/>
        <v>4.1500000000000004</v>
      </c>
      <c r="B89" s="38">
        <v>4</v>
      </c>
      <c r="C89" s="37">
        <v>15</v>
      </c>
      <c r="D89" s="37">
        <v>0.9</v>
      </c>
      <c r="E89" s="37">
        <v>0.93</v>
      </c>
      <c r="F89" s="37">
        <v>0.98</v>
      </c>
      <c r="G89" s="37">
        <v>1.03</v>
      </c>
      <c r="H89" s="37">
        <v>1.06</v>
      </c>
      <c r="I89" s="37">
        <v>1.07</v>
      </c>
      <c r="J89" s="37">
        <v>1.05</v>
      </c>
      <c r="K89" s="37">
        <v>1.02</v>
      </c>
      <c r="L89" s="37">
        <v>0.98</v>
      </c>
      <c r="M89" s="37">
        <v>0.94</v>
      </c>
      <c r="N89" s="37">
        <v>0.9</v>
      </c>
      <c r="O89" s="37">
        <v>0.88</v>
      </c>
    </row>
    <row r="90" spans="1:15">
      <c r="A90" s="1">
        <f t="shared" si="1"/>
        <v>4.2</v>
      </c>
      <c r="B90" s="38">
        <v>4</v>
      </c>
      <c r="C90" s="37">
        <v>20</v>
      </c>
      <c r="D90" s="37">
        <v>0.85</v>
      </c>
      <c r="E90" s="37">
        <v>0.9</v>
      </c>
      <c r="F90" s="37">
        <v>0.96</v>
      </c>
      <c r="G90" s="37">
        <v>1.03</v>
      </c>
      <c r="H90" s="37">
        <v>1.07</v>
      </c>
      <c r="I90" s="37">
        <v>1.08</v>
      </c>
      <c r="J90" s="37">
        <v>1.06</v>
      </c>
      <c r="K90" s="37">
        <v>1.02</v>
      </c>
      <c r="L90" s="37">
        <v>0.97</v>
      </c>
      <c r="M90" s="37">
        <v>0.9</v>
      </c>
      <c r="N90" s="37">
        <v>0.85</v>
      </c>
      <c r="O90" s="37">
        <v>0.83</v>
      </c>
    </row>
    <row r="91" spans="1:15">
      <c r="A91" s="1">
        <f t="shared" si="1"/>
        <v>4.25</v>
      </c>
      <c r="B91" s="38">
        <v>4</v>
      </c>
      <c r="C91" s="37">
        <v>25</v>
      </c>
      <c r="D91" s="37">
        <v>0.8</v>
      </c>
      <c r="E91" s="37">
        <v>0.86</v>
      </c>
      <c r="F91" s="37">
        <v>0.94</v>
      </c>
      <c r="G91" s="37">
        <v>1.02</v>
      </c>
      <c r="H91" s="37">
        <v>1.07</v>
      </c>
      <c r="I91" s="37">
        <v>1.08</v>
      </c>
      <c r="J91" s="37">
        <v>1.05</v>
      </c>
      <c r="K91" s="37">
        <v>1.01</v>
      </c>
      <c r="L91" s="37">
        <v>0.94</v>
      </c>
      <c r="M91" s="37">
        <v>0.86</v>
      </c>
      <c r="N91" s="37">
        <v>0.8</v>
      </c>
      <c r="O91" s="37">
        <v>0.77</v>
      </c>
    </row>
    <row r="92" spans="1:15">
      <c r="A92" s="1">
        <f t="shared" si="1"/>
        <v>4.3</v>
      </c>
      <c r="B92" s="38">
        <v>4</v>
      </c>
      <c r="C92" s="37">
        <v>30</v>
      </c>
      <c r="D92" s="37">
        <v>0.74</v>
      </c>
      <c r="E92" s="37">
        <v>0.81</v>
      </c>
      <c r="F92" s="37">
        <v>0.91</v>
      </c>
      <c r="G92" s="37">
        <v>1</v>
      </c>
      <c r="H92" s="37">
        <v>1.06</v>
      </c>
      <c r="I92" s="37">
        <v>1.07</v>
      </c>
      <c r="J92" s="37">
        <v>1.05</v>
      </c>
      <c r="K92" s="37">
        <v>0.99</v>
      </c>
      <c r="L92" s="37">
        <v>0.91</v>
      </c>
      <c r="M92" s="37">
        <v>0.82</v>
      </c>
      <c r="N92" s="37">
        <v>0.74</v>
      </c>
      <c r="O92" s="37">
        <v>0.71</v>
      </c>
    </row>
    <row r="93" spans="1:15">
      <c r="A93" s="1">
        <f t="shared" si="1"/>
        <v>4.3499999999999996</v>
      </c>
      <c r="B93" s="38">
        <v>4</v>
      </c>
      <c r="C93" s="37">
        <v>35</v>
      </c>
      <c r="D93" s="37">
        <v>0.67</v>
      </c>
      <c r="E93" s="37">
        <v>0.76</v>
      </c>
      <c r="F93" s="37">
        <v>0.87</v>
      </c>
      <c r="G93" s="37">
        <v>0.98</v>
      </c>
      <c r="H93" s="37">
        <v>1.05</v>
      </c>
      <c r="I93" s="37">
        <v>1.06</v>
      </c>
      <c r="J93" s="37">
        <v>1.03</v>
      </c>
      <c r="K93" s="37">
        <v>0.97</v>
      </c>
      <c r="L93" s="37">
        <v>0.87</v>
      </c>
      <c r="M93" s="37">
        <v>0.77</v>
      </c>
      <c r="N93" s="37">
        <v>0.68</v>
      </c>
      <c r="O93" s="37">
        <v>0.64</v>
      </c>
    </row>
    <row r="94" spans="1:15">
      <c r="A94" s="1">
        <f t="shared" si="1"/>
        <v>4.4000000000000004</v>
      </c>
      <c r="B94" s="38">
        <v>4</v>
      </c>
      <c r="C94" s="37">
        <v>40</v>
      </c>
      <c r="D94" s="37">
        <v>0.6</v>
      </c>
      <c r="E94" s="37">
        <v>0.7</v>
      </c>
      <c r="F94" s="37">
        <v>0.82</v>
      </c>
      <c r="G94" s="37">
        <v>0.95</v>
      </c>
      <c r="H94" s="37">
        <v>1.03</v>
      </c>
      <c r="I94" s="37">
        <v>1.04</v>
      </c>
      <c r="J94" s="37">
        <v>1.01</v>
      </c>
      <c r="K94" s="37">
        <v>0.94</v>
      </c>
      <c r="L94" s="37">
        <v>0.83</v>
      </c>
      <c r="M94" s="37">
        <v>0.71</v>
      </c>
      <c r="N94" s="37">
        <v>0.61</v>
      </c>
      <c r="O94" s="37">
        <v>0.56999999999999995</v>
      </c>
    </row>
    <row r="95" spans="1:15">
      <c r="A95" s="1">
        <f t="shared" si="1"/>
        <v>4.45</v>
      </c>
      <c r="B95" s="38">
        <v>4</v>
      </c>
      <c r="C95" s="37">
        <v>45</v>
      </c>
      <c r="D95" s="37">
        <v>0.53</v>
      </c>
      <c r="E95" s="37">
        <v>0.64</v>
      </c>
      <c r="F95" s="37">
        <v>0.77</v>
      </c>
      <c r="G95" s="37">
        <v>0.91</v>
      </c>
      <c r="H95" s="37">
        <v>1</v>
      </c>
      <c r="I95" s="37">
        <v>1.02</v>
      </c>
      <c r="J95" s="37">
        <v>0.98</v>
      </c>
      <c r="K95" s="37">
        <v>0.9</v>
      </c>
      <c r="L95" s="37">
        <v>0.78</v>
      </c>
      <c r="M95" s="37">
        <v>0.65</v>
      </c>
      <c r="N95" s="37">
        <v>0.54</v>
      </c>
      <c r="O95" s="37">
        <v>0.5</v>
      </c>
    </row>
    <row r="96" spans="1:15">
      <c r="A96" s="1">
        <f t="shared" si="1"/>
        <v>4.5</v>
      </c>
      <c r="B96" s="38">
        <v>4</v>
      </c>
      <c r="C96" s="37">
        <v>50</v>
      </c>
      <c r="D96" s="37">
        <v>0.46</v>
      </c>
      <c r="E96" s="37">
        <v>0.56999999999999995</v>
      </c>
      <c r="F96" s="37">
        <v>0.72</v>
      </c>
      <c r="G96" s="37">
        <v>0.87</v>
      </c>
      <c r="H96" s="37">
        <v>0.97</v>
      </c>
      <c r="I96" s="37">
        <v>0.99</v>
      </c>
      <c r="J96" s="37">
        <v>0.95</v>
      </c>
      <c r="K96" s="37">
        <v>0.86</v>
      </c>
      <c r="L96" s="37">
        <v>0.73</v>
      </c>
      <c r="M96" s="37">
        <v>0.59</v>
      </c>
      <c r="N96" s="37">
        <v>0.47</v>
      </c>
      <c r="O96" s="37">
        <v>0.42</v>
      </c>
    </row>
    <row r="97" spans="1:15">
      <c r="A97" s="1">
        <f t="shared" si="1"/>
        <v>4.55</v>
      </c>
      <c r="B97" s="38">
        <v>4</v>
      </c>
      <c r="C97" s="37">
        <v>55</v>
      </c>
      <c r="D97" s="37">
        <v>0.38</v>
      </c>
      <c r="E97" s="37">
        <v>0.5</v>
      </c>
      <c r="F97" s="37">
        <v>0.66</v>
      </c>
      <c r="G97" s="37">
        <v>0.82</v>
      </c>
      <c r="H97" s="37">
        <v>0.93</v>
      </c>
      <c r="I97" s="37">
        <v>0.95</v>
      </c>
      <c r="J97" s="37">
        <v>0.91</v>
      </c>
      <c r="K97" s="37">
        <v>0.81</v>
      </c>
      <c r="L97" s="37">
        <v>0.67</v>
      </c>
      <c r="M97" s="37">
        <v>0.52</v>
      </c>
      <c r="N97" s="37">
        <v>0.39</v>
      </c>
      <c r="O97" s="37">
        <v>0.34</v>
      </c>
    </row>
    <row r="98" spans="1:15">
      <c r="A98" s="1">
        <f t="shared" si="1"/>
        <v>4.5999999999999996</v>
      </c>
      <c r="B98" s="38">
        <v>4</v>
      </c>
      <c r="C98" s="37">
        <v>60</v>
      </c>
      <c r="D98" s="37">
        <v>0.3</v>
      </c>
      <c r="E98" s="37">
        <v>0.43</v>
      </c>
      <c r="F98" s="37">
        <v>0.6</v>
      </c>
      <c r="G98" s="37">
        <v>0.76</v>
      </c>
      <c r="H98" s="37">
        <v>0.88</v>
      </c>
      <c r="I98" s="37">
        <v>0.91</v>
      </c>
      <c r="J98" s="37">
        <v>0.86</v>
      </c>
      <c r="K98" s="37">
        <v>0.76</v>
      </c>
      <c r="L98" s="37">
        <v>0.61</v>
      </c>
      <c r="M98" s="37">
        <v>0.45</v>
      </c>
      <c r="N98" s="37">
        <v>0.31</v>
      </c>
      <c r="O98" s="37">
        <v>0.25</v>
      </c>
    </row>
    <row r="99" spans="1:15">
      <c r="A99" s="1">
        <f t="shared" si="1"/>
        <v>4.6500000000000004</v>
      </c>
      <c r="B99" s="38">
        <v>4</v>
      </c>
      <c r="C99" s="37">
        <v>65</v>
      </c>
      <c r="D99" s="37">
        <v>0.22</v>
      </c>
      <c r="E99" s="37">
        <v>0.35</v>
      </c>
      <c r="F99" s="37">
        <v>0.53</v>
      </c>
      <c r="G99" s="37">
        <v>0.7</v>
      </c>
      <c r="H99" s="37">
        <v>0.83</v>
      </c>
      <c r="I99" s="37">
        <v>0.86</v>
      </c>
      <c r="J99" s="37">
        <v>0.81</v>
      </c>
      <c r="K99" s="37">
        <v>0.71</v>
      </c>
      <c r="L99" s="37">
        <v>0.55000000000000004</v>
      </c>
      <c r="M99" s="37">
        <v>0.37</v>
      </c>
      <c r="N99" s="37">
        <v>0.23</v>
      </c>
      <c r="O99" s="37">
        <v>0.17</v>
      </c>
    </row>
    <row r="100" spans="1:15">
      <c r="A100" s="1">
        <f t="shared" si="1"/>
        <v>4.7</v>
      </c>
      <c r="B100" s="38">
        <v>4</v>
      </c>
      <c r="C100" s="37">
        <v>70</v>
      </c>
      <c r="D100" s="37">
        <v>0.13</v>
      </c>
      <c r="E100" s="37">
        <v>0.27</v>
      </c>
      <c r="F100" s="37">
        <v>0.46</v>
      </c>
      <c r="G100" s="37">
        <v>0.64</v>
      </c>
      <c r="H100" s="37">
        <v>0.77</v>
      </c>
      <c r="I100" s="37">
        <v>0.81</v>
      </c>
      <c r="J100" s="37">
        <v>0.76</v>
      </c>
      <c r="K100" s="37">
        <v>0.65</v>
      </c>
      <c r="L100" s="37">
        <v>0.48</v>
      </c>
      <c r="M100" s="37">
        <v>0.3</v>
      </c>
      <c r="N100" s="37">
        <v>0.15</v>
      </c>
      <c r="O100" s="37">
        <v>0.12</v>
      </c>
    </row>
    <row r="101" spans="1:15">
      <c r="A101" s="1">
        <f t="shared" si="1"/>
        <v>4.75</v>
      </c>
      <c r="B101" s="38">
        <v>4</v>
      </c>
      <c r="C101" s="37">
        <v>75</v>
      </c>
      <c r="D101" s="37">
        <v>0.1</v>
      </c>
      <c r="E101" s="37">
        <v>0.19</v>
      </c>
      <c r="F101" s="37">
        <v>0.38</v>
      </c>
      <c r="G101" s="37">
        <v>0.56999999999999995</v>
      </c>
      <c r="H101" s="37">
        <v>0.71</v>
      </c>
      <c r="I101" s="37">
        <v>0.75</v>
      </c>
      <c r="J101" s="37">
        <v>0.7</v>
      </c>
      <c r="K101" s="37">
        <v>0.57999999999999996</v>
      </c>
      <c r="L101" s="37">
        <v>0.41</v>
      </c>
      <c r="M101" s="37">
        <v>0.22</v>
      </c>
      <c r="N101" s="37">
        <v>0.12</v>
      </c>
      <c r="O101" s="37">
        <v>0.11</v>
      </c>
    </row>
    <row r="102" spans="1:15">
      <c r="A102" s="1">
        <f t="shared" si="1"/>
        <v>4.8</v>
      </c>
      <c r="B102" s="38">
        <v>4</v>
      </c>
      <c r="C102" s="37">
        <v>80</v>
      </c>
      <c r="D102" s="37">
        <v>0.1</v>
      </c>
      <c r="E102" s="37">
        <v>0.11</v>
      </c>
      <c r="F102" s="37">
        <v>0.31</v>
      </c>
      <c r="G102" s="37">
        <v>0.5</v>
      </c>
      <c r="H102" s="37">
        <v>0.64</v>
      </c>
      <c r="I102" s="37">
        <v>0.69</v>
      </c>
      <c r="J102" s="37">
        <v>0.64</v>
      </c>
      <c r="K102" s="37">
        <v>0.52</v>
      </c>
      <c r="L102" s="37">
        <v>0.34</v>
      </c>
      <c r="M102" s="37">
        <v>0.14000000000000001</v>
      </c>
      <c r="N102" s="37">
        <v>0.11</v>
      </c>
      <c r="O102" s="37">
        <v>0.1</v>
      </c>
    </row>
    <row r="103" spans="1:15">
      <c r="A103" s="1">
        <f t="shared" si="1"/>
        <v>4.8499999999999996</v>
      </c>
      <c r="B103" s="38">
        <v>4</v>
      </c>
      <c r="C103" s="37">
        <v>85</v>
      </c>
      <c r="D103" s="37">
        <v>0.09</v>
      </c>
      <c r="E103" s="37">
        <v>0.09</v>
      </c>
      <c r="F103" s="37">
        <v>0.23</v>
      </c>
      <c r="G103" s="37">
        <v>0.43</v>
      </c>
      <c r="H103" s="37">
        <v>0.56999999999999995</v>
      </c>
      <c r="I103" s="37">
        <v>0.62</v>
      </c>
      <c r="J103" s="37">
        <v>0.56999999999999995</v>
      </c>
      <c r="K103" s="37">
        <v>0.45</v>
      </c>
      <c r="L103" s="37">
        <v>0.26</v>
      </c>
      <c r="M103" s="37">
        <v>0.12</v>
      </c>
      <c r="N103" s="37">
        <v>0.1</v>
      </c>
      <c r="O103" s="37">
        <v>0.09</v>
      </c>
    </row>
    <row r="104" spans="1:15">
      <c r="A104" s="1">
        <f t="shared" si="1"/>
        <v>4.9000000000000004</v>
      </c>
      <c r="B104" s="38">
        <v>4</v>
      </c>
      <c r="C104" s="37">
        <v>90</v>
      </c>
      <c r="D104" s="37">
        <v>0.08</v>
      </c>
      <c r="E104" s="37">
        <v>0.08</v>
      </c>
      <c r="F104" s="37">
        <v>0.15</v>
      </c>
      <c r="G104" s="37">
        <v>0.35</v>
      </c>
      <c r="H104" s="37">
        <v>0.5</v>
      </c>
      <c r="I104" s="37">
        <v>0.55000000000000004</v>
      </c>
      <c r="J104" s="37">
        <v>0.5</v>
      </c>
      <c r="K104" s="37">
        <v>0.37</v>
      </c>
      <c r="L104" s="37">
        <v>0.19</v>
      </c>
      <c r="M104" s="37">
        <v>0.11</v>
      </c>
      <c r="N104" s="37">
        <v>0.1</v>
      </c>
      <c r="O104" s="37">
        <v>0.09</v>
      </c>
    </row>
    <row r="105" spans="1:15">
      <c r="A105" s="1">
        <f t="shared" si="1"/>
        <v>5</v>
      </c>
      <c r="B105" s="38">
        <v>5</v>
      </c>
      <c r="C105" s="37">
        <v>0</v>
      </c>
      <c r="D105" s="37">
        <v>1</v>
      </c>
      <c r="E105" s="37">
        <v>1</v>
      </c>
      <c r="F105" s="37">
        <v>1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</row>
    <row r="106" spans="1:15">
      <c r="A106" s="1">
        <f t="shared" si="1"/>
        <v>5.05</v>
      </c>
      <c r="B106" s="38">
        <v>5</v>
      </c>
      <c r="C106" s="37">
        <v>5</v>
      </c>
      <c r="D106" s="37">
        <v>0.97</v>
      </c>
      <c r="E106" s="37">
        <v>0.99</v>
      </c>
      <c r="F106" s="37">
        <v>1</v>
      </c>
      <c r="G106" s="37">
        <v>1.02</v>
      </c>
      <c r="H106" s="37">
        <v>1.03</v>
      </c>
      <c r="I106" s="37">
        <v>1.03</v>
      </c>
      <c r="J106" s="37">
        <v>1.02</v>
      </c>
      <c r="K106" s="37">
        <v>1.02</v>
      </c>
      <c r="L106" s="37">
        <v>1</v>
      </c>
      <c r="M106" s="37">
        <v>0.99</v>
      </c>
      <c r="N106" s="37">
        <v>0.97</v>
      </c>
      <c r="O106" s="37">
        <v>0.97</v>
      </c>
    </row>
    <row r="107" spans="1:15">
      <c r="A107" s="1">
        <f t="shared" si="1"/>
        <v>5.0999999999999996</v>
      </c>
      <c r="B107" s="38">
        <v>5</v>
      </c>
      <c r="C107" s="37">
        <v>10</v>
      </c>
      <c r="D107" s="37">
        <v>0.94</v>
      </c>
      <c r="E107" s="37">
        <v>0.97</v>
      </c>
      <c r="F107" s="37">
        <v>1</v>
      </c>
      <c r="G107" s="37">
        <v>1.03</v>
      </c>
      <c r="H107" s="37">
        <v>1.05</v>
      </c>
      <c r="I107" s="37">
        <v>1.05</v>
      </c>
      <c r="J107" s="37">
        <v>1.04</v>
      </c>
      <c r="K107" s="37">
        <v>1.02</v>
      </c>
      <c r="L107" s="37">
        <v>1</v>
      </c>
      <c r="M107" s="37">
        <v>0.97</v>
      </c>
      <c r="N107" s="37">
        <v>0.94</v>
      </c>
      <c r="O107" s="37">
        <v>0.93</v>
      </c>
    </row>
    <row r="108" spans="1:15">
      <c r="A108" s="1">
        <f t="shared" si="1"/>
        <v>5.15</v>
      </c>
      <c r="B108" s="38">
        <v>5</v>
      </c>
      <c r="C108" s="37">
        <v>15</v>
      </c>
      <c r="D108" s="37">
        <v>0.9</v>
      </c>
      <c r="E108" s="37">
        <v>0.94</v>
      </c>
      <c r="F108" s="37">
        <v>0.99</v>
      </c>
      <c r="G108" s="37">
        <v>1.04</v>
      </c>
      <c r="H108" s="37">
        <v>1.07</v>
      </c>
      <c r="I108" s="37">
        <v>1.07</v>
      </c>
      <c r="J108" s="37">
        <v>1.06</v>
      </c>
      <c r="K108" s="37">
        <v>1.03</v>
      </c>
      <c r="L108" s="37">
        <v>0.99</v>
      </c>
      <c r="M108" s="37">
        <v>0.94</v>
      </c>
      <c r="N108" s="37">
        <v>0.9</v>
      </c>
      <c r="O108" s="37">
        <v>0.89</v>
      </c>
    </row>
    <row r="109" spans="1:15">
      <c r="A109" s="1">
        <f t="shared" si="1"/>
        <v>5.2</v>
      </c>
      <c r="B109" s="38">
        <v>5</v>
      </c>
      <c r="C109" s="37">
        <v>20</v>
      </c>
      <c r="D109" s="37">
        <v>0.85</v>
      </c>
      <c r="E109" s="37">
        <v>0.9</v>
      </c>
      <c r="F109" s="37">
        <v>0.97</v>
      </c>
      <c r="G109" s="37">
        <v>1.03</v>
      </c>
      <c r="H109" s="37">
        <v>1.07</v>
      </c>
      <c r="I109" s="37">
        <v>1.08</v>
      </c>
      <c r="J109" s="37">
        <v>1.06</v>
      </c>
      <c r="K109" s="37">
        <v>1.02</v>
      </c>
      <c r="L109" s="37">
        <v>0.97</v>
      </c>
      <c r="M109" s="37">
        <v>0.91</v>
      </c>
      <c r="N109" s="37">
        <v>0.86</v>
      </c>
      <c r="O109" s="37">
        <v>0.84</v>
      </c>
    </row>
    <row r="110" spans="1:15">
      <c r="A110" s="1">
        <f t="shared" si="1"/>
        <v>5.25</v>
      </c>
      <c r="B110" s="38">
        <v>5</v>
      </c>
      <c r="C110" s="37">
        <v>25</v>
      </c>
      <c r="D110" s="37">
        <v>0.8</v>
      </c>
      <c r="E110" s="37">
        <v>0.86</v>
      </c>
      <c r="F110" s="37">
        <v>0.95</v>
      </c>
      <c r="G110" s="37">
        <v>1.02</v>
      </c>
      <c r="H110" s="37">
        <v>1.08</v>
      </c>
      <c r="I110" s="37">
        <v>1.08</v>
      </c>
      <c r="J110" s="37">
        <v>1.06</v>
      </c>
      <c r="K110" s="37">
        <v>1.01</v>
      </c>
      <c r="L110" s="37">
        <v>0.95</v>
      </c>
      <c r="M110" s="37">
        <v>0.87</v>
      </c>
      <c r="N110" s="37">
        <v>0.81</v>
      </c>
      <c r="O110" s="37">
        <v>0.78</v>
      </c>
    </row>
    <row r="111" spans="1:15">
      <c r="A111" s="1">
        <f t="shared" si="1"/>
        <v>5.3</v>
      </c>
      <c r="B111" s="38">
        <v>5</v>
      </c>
      <c r="C111" s="37">
        <v>30</v>
      </c>
      <c r="D111" s="37">
        <v>0.74</v>
      </c>
      <c r="E111" s="37">
        <v>0.82</v>
      </c>
      <c r="F111" s="37">
        <v>0.91</v>
      </c>
      <c r="G111" s="37">
        <v>1.01</v>
      </c>
      <c r="H111" s="37">
        <v>1.07</v>
      </c>
      <c r="I111" s="37">
        <v>1.08</v>
      </c>
      <c r="J111" s="37">
        <v>1.05</v>
      </c>
      <c r="K111" s="37">
        <v>1</v>
      </c>
      <c r="L111" s="37">
        <v>0.92</v>
      </c>
      <c r="M111" s="37">
        <v>0.83</v>
      </c>
      <c r="N111" s="37">
        <v>0.75</v>
      </c>
      <c r="O111" s="37">
        <v>0.72</v>
      </c>
    </row>
    <row r="112" spans="1:15">
      <c r="A112" s="1">
        <f t="shared" si="1"/>
        <v>5.35</v>
      </c>
      <c r="B112" s="38">
        <v>5</v>
      </c>
      <c r="C112" s="37">
        <v>35</v>
      </c>
      <c r="D112" s="37">
        <v>0.68</v>
      </c>
      <c r="E112" s="37">
        <v>0.77</v>
      </c>
      <c r="F112" s="37">
        <v>0.88</v>
      </c>
      <c r="G112" s="37">
        <v>0.98</v>
      </c>
      <c r="H112" s="37">
        <v>1.06</v>
      </c>
      <c r="I112" s="37">
        <v>1.07</v>
      </c>
      <c r="J112" s="37">
        <v>1.04</v>
      </c>
      <c r="K112" s="37">
        <v>0.97</v>
      </c>
      <c r="L112" s="37">
        <v>0.88</v>
      </c>
      <c r="M112" s="37">
        <v>0.78</v>
      </c>
      <c r="N112" s="37">
        <v>0.69</v>
      </c>
      <c r="O112" s="37">
        <v>0.65</v>
      </c>
    </row>
    <row r="113" spans="1:15">
      <c r="A113" s="1">
        <f t="shared" si="1"/>
        <v>5.4</v>
      </c>
      <c r="B113" s="38">
        <v>5</v>
      </c>
      <c r="C113" s="37">
        <v>40</v>
      </c>
      <c r="D113" s="37">
        <v>0.61</v>
      </c>
      <c r="E113" s="37">
        <v>0.71</v>
      </c>
      <c r="F113" s="37">
        <v>0.83</v>
      </c>
      <c r="G113" s="37">
        <v>0.96</v>
      </c>
      <c r="H113" s="37">
        <v>1.04</v>
      </c>
      <c r="I113" s="37">
        <v>1.05</v>
      </c>
      <c r="J113" s="37">
        <v>1.02</v>
      </c>
      <c r="K113" s="37">
        <v>0.94</v>
      </c>
      <c r="L113" s="37">
        <v>0.84</v>
      </c>
      <c r="M113" s="37">
        <v>0.72</v>
      </c>
      <c r="N113" s="37">
        <v>0.62</v>
      </c>
      <c r="O113" s="37">
        <v>0.57999999999999996</v>
      </c>
    </row>
    <row r="114" spans="1:15">
      <c r="A114" s="1">
        <f t="shared" si="1"/>
        <v>5.45</v>
      </c>
      <c r="B114" s="38">
        <v>5</v>
      </c>
      <c r="C114" s="37">
        <v>45</v>
      </c>
      <c r="D114" s="37">
        <v>0.54</v>
      </c>
      <c r="E114" s="37">
        <v>0.65</v>
      </c>
      <c r="F114" s="37">
        <v>0.78</v>
      </c>
      <c r="G114" s="37">
        <v>0.92</v>
      </c>
      <c r="H114" s="37">
        <v>1.01</v>
      </c>
      <c r="I114" s="37">
        <v>1.03</v>
      </c>
      <c r="J114" s="37">
        <v>0.99</v>
      </c>
      <c r="K114" s="37">
        <v>0.91</v>
      </c>
      <c r="L114" s="37">
        <v>0.79</v>
      </c>
      <c r="M114" s="37">
        <v>0.66</v>
      </c>
      <c r="N114" s="37">
        <v>0.55000000000000004</v>
      </c>
      <c r="O114" s="37">
        <v>0.51</v>
      </c>
    </row>
    <row r="115" spans="1:15">
      <c r="A115" s="1">
        <f t="shared" si="1"/>
        <v>5.5</v>
      </c>
      <c r="B115" s="38">
        <v>5</v>
      </c>
      <c r="C115" s="37">
        <v>50</v>
      </c>
      <c r="D115" s="37">
        <v>0.47</v>
      </c>
      <c r="E115" s="37">
        <v>0.57999999999999996</v>
      </c>
      <c r="F115" s="37">
        <v>0.73</v>
      </c>
      <c r="G115" s="37">
        <v>0.88</v>
      </c>
      <c r="H115" s="37">
        <v>0.98</v>
      </c>
      <c r="I115" s="37">
        <v>1</v>
      </c>
      <c r="J115" s="37">
        <v>0.96</v>
      </c>
      <c r="K115" s="37">
        <v>0.87</v>
      </c>
      <c r="L115" s="37">
        <v>0.74</v>
      </c>
      <c r="M115" s="37">
        <v>0.6</v>
      </c>
      <c r="N115" s="37">
        <v>0.48</v>
      </c>
      <c r="O115" s="37">
        <v>0.43</v>
      </c>
    </row>
    <row r="116" spans="1:15">
      <c r="A116" s="1">
        <f t="shared" si="1"/>
        <v>5.55</v>
      </c>
      <c r="B116" s="38">
        <v>5</v>
      </c>
      <c r="C116" s="37">
        <v>55</v>
      </c>
      <c r="D116" s="37">
        <v>0.39</v>
      </c>
      <c r="E116" s="37">
        <v>0.51</v>
      </c>
      <c r="F116" s="37">
        <v>0.67</v>
      </c>
      <c r="G116" s="37">
        <v>0.83</v>
      </c>
      <c r="H116" s="37">
        <v>0.94</v>
      </c>
      <c r="I116" s="37">
        <v>0.96</v>
      </c>
      <c r="J116" s="37">
        <v>0.92</v>
      </c>
      <c r="K116" s="37">
        <v>0.82</v>
      </c>
      <c r="L116" s="37">
        <v>0.68</v>
      </c>
      <c r="M116" s="37">
        <v>0.53</v>
      </c>
      <c r="N116" s="37">
        <v>0.4</v>
      </c>
      <c r="O116" s="37">
        <v>0.35</v>
      </c>
    </row>
    <row r="117" spans="1:15">
      <c r="A117" s="1">
        <f t="shared" si="1"/>
        <v>5.6</v>
      </c>
      <c r="B117" s="38">
        <v>5</v>
      </c>
      <c r="C117" s="37">
        <v>60</v>
      </c>
      <c r="D117" s="37">
        <v>0.31</v>
      </c>
      <c r="E117" s="37">
        <v>0.44</v>
      </c>
      <c r="F117" s="37">
        <v>0.61</v>
      </c>
      <c r="G117" s="37">
        <v>0.78</v>
      </c>
      <c r="H117" s="37">
        <v>0.89</v>
      </c>
      <c r="I117" s="37">
        <v>0.92</v>
      </c>
      <c r="J117" s="37">
        <v>0.87</v>
      </c>
      <c r="K117" s="37">
        <v>0.77</v>
      </c>
      <c r="L117" s="37">
        <v>0.62</v>
      </c>
      <c r="M117" s="37">
        <v>0.46</v>
      </c>
      <c r="N117" s="37">
        <v>0.33</v>
      </c>
      <c r="O117" s="37">
        <v>0.27</v>
      </c>
    </row>
    <row r="118" spans="1:15">
      <c r="A118" s="1">
        <f t="shared" si="1"/>
        <v>5.65</v>
      </c>
      <c r="B118" s="38">
        <v>5</v>
      </c>
      <c r="C118" s="37">
        <v>65</v>
      </c>
      <c r="D118" s="37">
        <v>0.23</v>
      </c>
      <c r="E118" s="37">
        <v>0.36</v>
      </c>
      <c r="F118" s="37">
        <v>0.54</v>
      </c>
      <c r="G118" s="37">
        <v>0.72</v>
      </c>
      <c r="H118" s="37">
        <v>0.84</v>
      </c>
      <c r="I118" s="37">
        <v>0.87</v>
      </c>
      <c r="J118" s="37">
        <v>0.82</v>
      </c>
      <c r="K118" s="37">
        <v>0.72</v>
      </c>
      <c r="L118" s="37">
        <v>0.56000000000000005</v>
      </c>
      <c r="M118" s="37">
        <v>0.39</v>
      </c>
      <c r="N118" s="37">
        <v>0.25</v>
      </c>
      <c r="O118" s="37">
        <v>0.18</v>
      </c>
    </row>
    <row r="119" spans="1:15">
      <c r="A119" s="1">
        <f t="shared" si="1"/>
        <v>5.7</v>
      </c>
      <c r="B119" s="38">
        <v>5</v>
      </c>
      <c r="C119" s="37">
        <v>70</v>
      </c>
      <c r="D119" s="37">
        <v>0.15</v>
      </c>
      <c r="E119" s="37">
        <v>0.28000000000000003</v>
      </c>
      <c r="F119" s="37">
        <v>0.47</v>
      </c>
      <c r="G119" s="37">
        <v>0.66</v>
      </c>
      <c r="H119" s="37">
        <v>0.79</v>
      </c>
      <c r="I119" s="37">
        <v>0.82</v>
      </c>
      <c r="J119" s="37">
        <v>0.77</v>
      </c>
      <c r="K119" s="37">
        <v>0.66</v>
      </c>
      <c r="L119" s="37">
        <v>0.49</v>
      </c>
      <c r="M119" s="37">
        <v>0.31</v>
      </c>
      <c r="N119" s="37">
        <v>0.16</v>
      </c>
      <c r="O119" s="37">
        <v>0.12</v>
      </c>
    </row>
    <row r="120" spans="1:15">
      <c r="A120" s="1">
        <f t="shared" si="1"/>
        <v>5.75</v>
      </c>
      <c r="B120" s="38">
        <v>5</v>
      </c>
      <c r="C120" s="37">
        <v>75</v>
      </c>
      <c r="D120" s="37">
        <v>0.1</v>
      </c>
      <c r="E120" s="37">
        <v>0.21</v>
      </c>
      <c r="F120" s="37">
        <v>0.4</v>
      </c>
      <c r="G120" s="37">
        <v>0.59</v>
      </c>
      <c r="H120" s="37">
        <v>0.72</v>
      </c>
      <c r="I120" s="37">
        <v>0.76</v>
      </c>
      <c r="J120" s="37">
        <v>0.71</v>
      </c>
      <c r="K120" s="37">
        <v>0.59</v>
      </c>
      <c r="L120" s="37">
        <v>0.42</v>
      </c>
      <c r="M120" s="37">
        <v>0.23</v>
      </c>
      <c r="N120" s="37">
        <v>0.12</v>
      </c>
      <c r="O120" s="37">
        <v>0.11</v>
      </c>
    </row>
    <row r="121" spans="1:15">
      <c r="A121" s="1">
        <f t="shared" si="1"/>
        <v>5.8</v>
      </c>
      <c r="B121" s="38">
        <v>5</v>
      </c>
      <c r="C121" s="37">
        <v>80</v>
      </c>
      <c r="D121" s="37">
        <v>0.1</v>
      </c>
      <c r="E121" s="37">
        <v>0.13</v>
      </c>
      <c r="F121" s="37">
        <v>0.32</v>
      </c>
      <c r="G121" s="37">
        <v>0.52</v>
      </c>
      <c r="H121" s="37">
        <v>0.66</v>
      </c>
      <c r="I121" s="37">
        <v>0.7</v>
      </c>
      <c r="J121" s="37">
        <v>0.65</v>
      </c>
      <c r="K121" s="37">
        <v>0.53</v>
      </c>
      <c r="L121" s="37">
        <v>0.35</v>
      </c>
      <c r="M121" s="37">
        <v>0.16</v>
      </c>
      <c r="N121" s="37">
        <v>0.11</v>
      </c>
      <c r="O121" s="37">
        <v>0.1</v>
      </c>
    </row>
    <row r="122" spans="1:15">
      <c r="A122" s="1">
        <f t="shared" si="1"/>
        <v>5.85</v>
      </c>
      <c r="B122" s="38">
        <v>5</v>
      </c>
      <c r="C122" s="37">
        <v>85</v>
      </c>
      <c r="D122" s="37">
        <v>0.09</v>
      </c>
      <c r="E122" s="37">
        <v>0.09</v>
      </c>
      <c r="F122" s="37">
        <v>0.24</v>
      </c>
      <c r="G122" s="37">
        <v>0.44</v>
      </c>
      <c r="H122" s="37">
        <v>0.59</v>
      </c>
      <c r="I122" s="37">
        <v>0.63</v>
      </c>
      <c r="J122" s="37">
        <v>0.57999999999999996</v>
      </c>
      <c r="K122" s="37">
        <v>0.46</v>
      </c>
      <c r="L122" s="37">
        <v>0.28000000000000003</v>
      </c>
      <c r="M122" s="37">
        <v>0.12</v>
      </c>
      <c r="N122" s="37">
        <v>0.1</v>
      </c>
      <c r="O122" s="37">
        <v>0.09</v>
      </c>
    </row>
    <row r="123" spans="1:15">
      <c r="A123" s="1">
        <f t="shared" si="1"/>
        <v>5.9</v>
      </c>
      <c r="B123" s="38">
        <v>5</v>
      </c>
      <c r="C123" s="37">
        <v>90</v>
      </c>
      <c r="D123" s="37">
        <v>0.08</v>
      </c>
      <c r="E123" s="37">
        <v>0.08</v>
      </c>
      <c r="F123" s="37">
        <v>0.16</v>
      </c>
      <c r="G123" s="37">
        <v>0.37</v>
      </c>
      <c r="H123" s="37">
        <v>0.52</v>
      </c>
      <c r="I123" s="37">
        <v>0.56000000000000005</v>
      </c>
      <c r="J123" s="37">
        <v>0.51</v>
      </c>
      <c r="K123" s="37">
        <v>0.39</v>
      </c>
      <c r="L123" s="37">
        <v>0.2</v>
      </c>
      <c r="M123" s="37">
        <v>0.11</v>
      </c>
      <c r="N123" s="37">
        <v>0.1</v>
      </c>
      <c r="O123" s="37">
        <v>0.09</v>
      </c>
    </row>
    <row r="124" spans="1:15">
      <c r="A124" s="1">
        <f t="shared" si="1"/>
        <v>6</v>
      </c>
      <c r="B124" s="38">
        <v>6</v>
      </c>
      <c r="C124" s="37">
        <v>0</v>
      </c>
      <c r="D124" s="37">
        <v>1</v>
      </c>
      <c r="E124" s="37">
        <v>1</v>
      </c>
      <c r="F124" s="37">
        <v>1</v>
      </c>
      <c r="G124" s="37">
        <v>1</v>
      </c>
      <c r="H124" s="37">
        <v>1</v>
      </c>
      <c r="I124" s="37">
        <v>1</v>
      </c>
      <c r="J124" s="37">
        <v>1</v>
      </c>
      <c r="K124" s="37">
        <v>1</v>
      </c>
      <c r="L124" s="37">
        <v>1</v>
      </c>
      <c r="M124" s="37">
        <v>1</v>
      </c>
      <c r="N124" s="37">
        <v>1</v>
      </c>
      <c r="O124" s="37">
        <v>1</v>
      </c>
    </row>
    <row r="125" spans="1:15">
      <c r="A125" s="1">
        <f t="shared" si="1"/>
        <v>6.05</v>
      </c>
      <c r="B125" s="38">
        <v>6</v>
      </c>
      <c r="C125" s="37">
        <v>5</v>
      </c>
      <c r="D125" s="37">
        <v>0.97</v>
      </c>
      <c r="E125" s="37">
        <v>0.99</v>
      </c>
      <c r="F125" s="37">
        <v>1</v>
      </c>
      <c r="G125" s="37">
        <v>1.02</v>
      </c>
      <c r="H125" s="37">
        <v>1.03</v>
      </c>
      <c r="I125" s="37">
        <v>1.03</v>
      </c>
      <c r="J125" s="37">
        <v>1.03</v>
      </c>
      <c r="K125" s="37">
        <v>1.02</v>
      </c>
      <c r="L125" s="37">
        <v>1</v>
      </c>
      <c r="M125" s="37">
        <v>0.99</v>
      </c>
      <c r="N125" s="37">
        <v>0.98</v>
      </c>
      <c r="O125" s="37">
        <v>0.97</v>
      </c>
    </row>
    <row r="126" spans="1:15">
      <c r="A126" s="1">
        <f t="shared" si="1"/>
        <v>6.1</v>
      </c>
      <c r="B126" s="38">
        <v>6</v>
      </c>
      <c r="C126" s="37">
        <v>10</v>
      </c>
      <c r="D126" s="37">
        <v>0.94</v>
      </c>
      <c r="E126" s="37">
        <v>0.97</v>
      </c>
      <c r="F126" s="37">
        <v>1</v>
      </c>
      <c r="G126" s="37">
        <v>1.03</v>
      </c>
      <c r="H126" s="37">
        <v>1.05</v>
      </c>
      <c r="I126" s="37">
        <v>1.06</v>
      </c>
      <c r="J126" s="37">
        <v>1.05</v>
      </c>
      <c r="K126" s="37">
        <v>1.03</v>
      </c>
      <c r="L126" s="37">
        <v>1</v>
      </c>
      <c r="M126" s="37">
        <v>0.97</v>
      </c>
      <c r="N126" s="37">
        <v>0.94</v>
      </c>
      <c r="O126" s="37">
        <v>0.93</v>
      </c>
    </row>
    <row r="127" spans="1:15">
      <c r="A127" s="1">
        <f t="shared" si="1"/>
        <v>6.15</v>
      </c>
      <c r="B127" s="38">
        <v>6</v>
      </c>
      <c r="C127" s="37">
        <v>15</v>
      </c>
      <c r="D127" s="37">
        <v>0.9</v>
      </c>
      <c r="E127" s="37">
        <v>0.94</v>
      </c>
      <c r="F127" s="37">
        <v>0.99</v>
      </c>
      <c r="G127" s="37">
        <v>1.04</v>
      </c>
      <c r="H127" s="37">
        <v>1.07</v>
      </c>
      <c r="I127" s="37">
        <v>1.07</v>
      </c>
      <c r="J127" s="37">
        <v>1.06</v>
      </c>
      <c r="K127" s="37">
        <v>1.03</v>
      </c>
      <c r="L127" s="37">
        <v>0.99</v>
      </c>
      <c r="M127" s="37">
        <v>0.94</v>
      </c>
      <c r="N127" s="37">
        <v>0.91</v>
      </c>
      <c r="O127" s="37">
        <v>0.89</v>
      </c>
    </row>
    <row r="128" spans="1:15">
      <c r="A128" s="1">
        <f t="shared" si="1"/>
        <v>6.2</v>
      </c>
      <c r="B128" s="38">
        <v>6</v>
      </c>
      <c r="C128" s="37">
        <v>20</v>
      </c>
      <c r="D128" s="37">
        <v>0.86</v>
      </c>
      <c r="E128" s="37">
        <v>0.91</v>
      </c>
      <c r="F128" s="37">
        <v>0.97</v>
      </c>
      <c r="G128" s="37">
        <v>1.04</v>
      </c>
      <c r="H128" s="37">
        <v>1.08</v>
      </c>
      <c r="I128" s="37">
        <v>1.0900000000000001</v>
      </c>
      <c r="J128" s="37">
        <v>1.07</v>
      </c>
      <c r="K128" s="37">
        <v>1.03</v>
      </c>
      <c r="L128" s="37">
        <v>0.97</v>
      </c>
      <c r="M128" s="37">
        <v>0.91</v>
      </c>
      <c r="N128" s="37">
        <v>0.86</v>
      </c>
      <c r="O128" s="37">
        <v>0.84</v>
      </c>
    </row>
    <row r="129" spans="1:15">
      <c r="A129" s="1">
        <f t="shared" si="1"/>
        <v>6.25</v>
      </c>
      <c r="B129" s="38">
        <v>6</v>
      </c>
      <c r="C129" s="37">
        <v>25</v>
      </c>
      <c r="D129" s="37">
        <v>0.81</v>
      </c>
      <c r="E129" s="37">
        <v>0.87</v>
      </c>
      <c r="F129" s="37">
        <v>0.95</v>
      </c>
      <c r="G129" s="37">
        <v>1.03</v>
      </c>
      <c r="H129" s="37">
        <v>1.08</v>
      </c>
      <c r="I129" s="37">
        <v>1.0900000000000001</v>
      </c>
      <c r="J129" s="37">
        <v>1.06</v>
      </c>
      <c r="K129" s="37">
        <v>1.02</v>
      </c>
      <c r="L129" s="37">
        <v>0.95</v>
      </c>
      <c r="M129" s="37">
        <v>0.88</v>
      </c>
      <c r="N129" s="37">
        <v>0.81</v>
      </c>
      <c r="O129" s="37">
        <v>0.79</v>
      </c>
    </row>
    <row r="130" spans="1:15">
      <c r="A130" s="1">
        <f t="shared" si="1"/>
        <v>6.3</v>
      </c>
      <c r="B130" s="38">
        <v>6</v>
      </c>
      <c r="C130" s="37">
        <v>30</v>
      </c>
      <c r="D130" s="37">
        <v>0.75</v>
      </c>
      <c r="E130" s="37">
        <v>0.82</v>
      </c>
      <c r="F130" s="37">
        <v>0.92</v>
      </c>
      <c r="G130" s="37">
        <v>1.01</v>
      </c>
      <c r="H130" s="37">
        <v>1.08</v>
      </c>
      <c r="I130" s="37">
        <v>1.0900000000000001</v>
      </c>
      <c r="J130" s="37">
        <v>1.06</v>
      </c>
      <c r="K130" s="37">
        <v>1</v>
      </c>
      <c r="L130" s="37">
        <v>0.92</v>
      </c>
      <c r="M130" s="37">
        <v>0.83</v>
      </c>
      <c r="N130" s="37">
        <v>0.76</v>
      </c>
      <c r="O130" s="37">
        <v>0.73</v>
      </c>
    </row>
    <row r="131" spans="1:15">
      <c r="A131" s="1">
        <f t="shared" si="1"/>
        <v>6.35</v>
      </c>
      <c r="B131" s="38">
        <v>6</v>
      </c>
      <c r="C131" s="37">
        <v>35</v>
      </c>
      <c r="D131" s="37">
        <v>0.69</v>
      </c>
      <c r="E131" s="37">
        <v>0.77</v>
      </c>
      <c r="F131" s="37">
        <v>0.89</v>
      </c>
      <c r="G131" s="37">
        <v>0.99</v>
      </c>
      <c r="H131" s="37">
        <v>1.07</v>
      </c>
      <c r="I131" s="37">
        <v>1.08</v>
      </c>
      <c r="J131" s="37">
        <v>1.04</v>
      </c>
      <c r="K131" s="37">
        <v>0.98</v>
      </c>
      <c r="L131" s="37">
        <v>0.89</v>
      </c>
      <c r="M131" s="37">
        <v>0.78</v>
      </c>
      <c r="N131" s="37">
        <v>0.7</v>
      </c>
      <c r="O131" s="37">
        <v>0.66</v>
      </c>
    </row>
    <row r="132" spans="1:15">
      <c r="A132" s="1">
        <f t="shared" si="1"/>
        <v>6.4</v>
      </c>
      <c r="B132" s="38">
        <v>6</v>
      </c>
      <c r="C132" s="37">
        <v>40</v>
      </c>
      <c r="D132" s="37">
        <v>0.62</v>
      </c>
      <c r="E132" s="37">
        <v>0.72</v>
      </c>
      <c r="F132" s="37">
        <v>0.84</v>
      </c>
      <c r="G132" s="37">
        <v>0.96</v>
      </c>
      <c r="H132" s="37">
        <v>1.05</v>
      </c>
      <c r="I132" s="37">
        <v>1.06</v>
      </c>
      <c r="J132" s="37">
        <v>1.03</v>
      </c>
      <c r="K132" s="37">
        <v>0.95</v>
      </c>
      <c r="L132" s="37">
        <v>0.85</v>
      </c>
      <c r="M132" s="37">
        <v>0.73</v>
      </c>
      <c r="N132" s="37">
        <v>0.63</v>
      </c>
      <c r="O132" s="37">
        <v>0.59</v>
      </c>
    </row>
    <row r="133" spans="1:15">
      <c r="A133" s="1">
        <f t="shared" si="1"/>
        <v>6.45</v>
      </c>
      <c r="B133" s="38">
        <v>6</v>
      </c>
      <c r="C133" s="37">
        <v>45</v>
      </c>
      <c r="D133" s="37">
        <v>0.55000000000000004</v>
      </c>
      <c r="E133" s="37">
        <v>0.66</v>
      </c>
      <c r="F133" s="37">
        <v>0.79</v>
      </c>
      <c r="G133" s="37">
        <v>0.93</v>
      </c>
      <c r="H133" s="37">
        <v>1.02</v>
      </c>
      <c r="I133" s="37">
        <v>1.04</v>
      </c>
      <c r="J133" s="37">
        <v>1</v>
      </c>
      <c r="K133" s="37">
        <v>0.92</v>
      </c>
      <c r="L133" s="37">
        <v>0.8</v>
      </c>
      <c r="M133" s="37">
        <v>0.67</v>
      </c>
      <c r="N133" s="37">
        <v>0.56000000000000005</v>
      </c>
      <c r="O133" s="37">
        <v>0.52</v>
      </c>
    </row>
    <row r="134" spans="1:15">
      <c r="A134" s="1">
        <f t="shared" si="1"/>
        <v>6.5</v>
      </c>
      <c r="B134" s="38">
        <v>6</v>
      </c>
      <c r="C134" s="37">
        <v>50</v>
      </c>
      <c r="D134" s="37">
        <v>0.48</v>
      </c>
      <c r="E134" s="37">
        <v>0.59</v>
      </c>
      <c r="F134" s="37">
        <v>0.74</v>
      </c>
      <c r="G134" s="37">
        <v>0.89</v>
      </c>
      <c r="H134" s="37">
        <v>0.99</v>
      </c>
      <c r="I134" s="37">
        <v>1.01</v>
      </c>
      <c r="J134" s="37">
        <v>0.97</v>
      </c>
      <c r="K134" s="37">
        <v>0.88</v>
      </c>
      <c r="L134" s="37">
        <v>0.75</v>
      </c>
      <c r="M134" s="37">
        <v>0.61</v>
      </c>
      <c r="N134" s="37">
        <v>0.49</v>
      </c>
      <c r="O134" s="37">
        <v>0.44</v>
      </c>
    </row>
    <row r="135" spans="1:15">
      <c r="A135" s="1">
        <f t="shared" si="1"/>
        <v>6.55</v>
      </c>
      <c r="B135" s="38">
        <v>6</v>
      </c>
      <c r="C135" s="37">
        <v>55</v>
      </c>
      <c r="D135" s="37">
        <v>0.4</v>
      </c>
      <c r="E135" s="37">
        <v>0.52</v>
      </c>
      <c r="F135" s="37">
        <v>0.68</v>
      </c>
      <c r="G135" s="37">
        <v>0.84</v>
      </c>
      <c r="H135" s="37">
        <v>0.95</v>
      </c>
      <c r="I135" s="37">
        <v>0.98</v>
      </c>
      <c r="J135" s="37">
        <v>0.93</v>
      </c>
      <c r="K135" s="37">
        <v>0.83</v>
      </c>
      <c r="L135" s="37">
        <v>0.7</v>
      </c>
      <c r="M135" s="37">
        <v>0.54</v>
      </c>
      <c r="N135" s="37">
        <v>0.42</v>
      </c>
      <c r="O135" s="37">
        <v>0.36</v>
      </c>
    </row>
    <row r="136" spans="1:15">
      <c r="A136" s="1">
        <f t="shared" si="1"/>
        <v>6.6</v>
      </c>
      <c r="B136" s="38">
        <v>6</v>
      </c>
      <c r="C136" s="37">
        <v>60</v>
      </c>
      <c r="D136" s="37">
        <v>0.33</v>
      </c>
      <c r="E136" s="37">
        <v>0.45</v>
      </c>
      <c r="F136" s="37">
        <v>0.62</v>
      </c>
      <c r="G136" s="37">
        <v>0.79</v>
      </c>
      <c r="H136" s="37">
        <v>0.91</v>
      </c>
      <c r="I136" s="37">
        <v>0.93</v>
      </c>
      <c r="J136" s="37">
        <v>0.89</v>
      </c>
      <c r="K136" s="37">
        <v>0.78</v>
      </c>
      <c r="L136" s="37">
        <v>0.64</v>
      </c>
      <c r="M136" s="37">
        <v>0.47</v>
      </c>
      <c r="N136" s="37">
        <v>0.34</v>
      </c>
      <c r="O136" s="37">
        <v>0.28000000000000003</v>
      </c>
    </row>
    <row r="137" spans="1:15">
      <c r="A137" s="1">
        <f t="shared" si="1"/>
        <v>6.65</v>
      </c>
      <c r="B137" s="38">
        <v>6</v>
      </c>
      <c r="C137" s="37">
        <v>65</v>
      </c>
      <c r="D137" s="37">
        <v>0.24</v>
      </c>
      <c r="E137" s="37">
        <v>0.38</v>
      </c>
      <c r="F137" s="37">
        <v>0.55000000000000004</v>
      </c>
      <c r="G137" s="37">
        <v>0.73</v>
      </c>
      <c r="H137" s="37">
        <v>0.86</v>
      </c>
      <c r="I137" s="37">
        <v>0.89</v>
      </c>
      <c r="J137" s="37">
        <v>0.84</v>
      </c>
      <c r="K137" s="37">
        <v>0.73</v>
      </c>
      <c r="L137" s="37">
        <v>0.56999999999999995</v>
      </c>
      <c r="M137" s="37">
        <v>0.4</v>
      </c>
      <c r="N137" s="37">
        <v>0.26</v>
      </c>
      <c r="O137" s="37">
        <v>0.2</v>
      </c>
    </row>
    <row r="138" spans="1:15">
      <c r="A138" s="1">
        <f t="shared" ref="A138:A201" si="2">B138+C138/100</f>
        <v>6.7</v>
      </c>
      <c r="B138" s="38">
        <v>6</v>
      </c>
      <c r="C138" s="37">
        <v>70</v>
      </c>
      <c r="D138" s="37">
        <v>0.16</v>
      </c>
      <c r="E138" s="37">
        <v>0.3</v>
      </c>
      <c r="F138" s="37">
        <v>0.48</v>
      </c>
      <c r="G138" s="37">
        <v>0.67</v>
      </c>
      <c r="H138" s="37">
        <v>0.8</v>
      </c>
      <c r="I138" s="37">
        <v>0.83</v>
      </c>
      <c r="J138" s="37">
        <v>0.78</v>
      </c>
      <c r="K138" s="37">
        <v>0.67</v>
      </c>
      <c r="L138" s="37">
        <v>0.5</v>
      </c>
      <c r="M138" s="37">
        <v>0.32</v>
      </c>
      <c r="N138" s="37">
        <v>0.18</v>
      </c>
      <c r="O138" s="37">
        <v>0.12</v>
      </c>
    </row>
    <row r="139" spans="1:15">
      <c r="A139" s="1">
        <f t="shared" si="2"/>
        <v>6.75</v>
      </c>
      <c r="B139" s="38">
        <v>6</v>
      </c>
      <c r="C139" s="37">
        <v>75</v>
      </c>
      <c r="D139" s="37">
        <v>0.1</v>
      </c>
      <c r="E139" s="37">
        <v>0.22</v>
      </c>
      <c r="F139" s="37">
        <v>0.41</v>
      </c>
      <c r="G139" s="37">
        <v>0.6</v>
      </c>
      <c r="H139" s="37">
        <v>0.74</v>
      </c>
      <c r="I139" s="37">
        <v>0.78</v>
      </c>
      <c r="J139" s="37">
        <v>0.72</v>
      </c>
      <c r="K139" s="37">
        <v>0.61</v>
      </c>
      <c r="L139" s="37">
        <v>0.44</v>
      </c>
      <c r="M139" s="37">
        <v>0.25</v>
      </c>
      <c r="N139" s="37">
        <v>0.12</v>
      </c>
      <c r="O139" s="37">
        <v>0.11</v>
      </c>
    </row>
    <row r="140" spans="1:15">
      <c r="A140" s="1">
        <f t="shared" si="2"/>
        <v>6.8</v>
      </c>
      <c r="B140" s="38">
        <v>6</v>
      </c>
      <c r="C140" s="37">
        <v>80</v>
      </c>
      <c r="D140" s="37">
        <v>0.1</v>
      </c>
      <c r="E140" s="37">
        <v>0.14000000000000001</v>
      </c>
      <c r="F140" s="37">
        <v>0.34</v>
      </c>
      <c r="G140" s="37">
        <v>0.53</v>
      </c>
      <c r="H140" s="37">
        <v>0.67</v>
      </c>
      <c r="I140" s="37">
        <v>0.71</v>
      </c>
      <c r="J140" s="37">
        <v>0.66</v>
      </c>
      <c r="K140" s="37">
        <v>0.54</v>
      </c>
      <c r="L140" s="37">
        <v>0.36</v>
      </c>
      <c r="M140" s="37">
        <v>0.17</v>
      </c>
      <c r="N140" s="37">
        <v>0.11</v>
      </c>
      <c r="O140" s="37">
        <v>0.1</v>
      </c>
    </row>
    <row r="141" spans="1:15">
      <c r="A141" s="1">
        <f t="shared" si="2"/>
        <v>6.85</v>
      </c>
      <c r="B141" s="38">
        <v>6</v>
      </c>
      <c r="C141" s="37">
        <v>85</v>
      </c>
      <c r="D141" s="37">
        <v>0.09</v>
      </c>
      <c r="E141" s="37">
        <v>0.09</v>
      </c>
      <c r="F141" s="37">
        <v>0.26</v>
      </c>
      <c r="G141" s="37">
        <v>0.46</v>
      </c>
      <c r="H141" s="37">
        <v>0.6</v>
      </c>
      <c r="I141" s="37">
        <v>0.65</v>
      </c>
      <c r="J141" s="37">
        <v>0.6</v>
      </c>
      <c r="K141" s="37">
        <v>0.47</v>
      </c>
      <c r="L141" s="37">
        <v>0.28999999999999998</v>
      </c>
      <c r="M141" s="37">
        <v>0.12</v>
      </c>
      <c r="N141" s="37">
        <v>0.1</v>
      </c>
      <c r="O141" s="37">
        <v>0.09</v>
      </c>
    </row>
    <row r="142" spans="1:15">
      <c r="A142" s="1">
        <f t="shared" si="2"/>
        <v>6.9</v>
      </c>
      <c r="B142" s="38">
        <v>6</v>
      </c>
      <c r="C142" s="37">
        <v>90</v>
      </c>
      <c r="D142" s="37">
        <v>0.08</v>
      </c>
      <c r="E142" s="37">
        <v>0.08</v>
      </c>
      <c r="F142" s="37">
        <v>0.18</v>
      </c>
      <c r="G142" s="37">
        <v>0.38</v>
      </c>
      <c r="H142" s="37">
        <v>0.53</v>
      </c>
      <c r="I142" s="37">
        <v>0.57999999999999996</v>
      </c>
      <c r="J142" s="37">
        <v>0.53</v>
      </c>
      <c r="K142" s="37">
        <v>0.4</v>
      </c>
      <c r="L142" s="37">
        <v>0.21</v>
      </c>
      <c r="M142" s="37">
        <v>0.11</v>
      </c>
      <c r="N142" s="37">
        <v>0.1</v>
      </c>
      <c r="O142" s="37">
        <v>0.09</v>
      </c>
    </row>
    <row r="143" spans="1:15">
      <c r="A143" s="1">
        <f t="shared" si="2"/>
        <v>7</v>
      </c>
      <c r="B143" s="38">
        <v>7</v>
      </c>
      <c r="C143" s="37">
        <v>0</v>
      </c>
      <c r="D143" s="37">
        <v>1</v>
      </c>
      <c r="E143" s="37">
        <v>1</v>
      </c>
      <c r="F143" s="37">
        <v>1</v>
      </c>
      <c r="G143" s="37">
        <v>1</v>
      </c>
      <c r="H143" s="37">
        <v>1</v>
      </c>
      <c r="I143" s="37">
        <v>1</v>
      </c>
      <c r="J143" s="37">
        <v>1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</row>
    <row r="144" spans="1:15">
      <c r="A144" s="1">
        <f t="shared" si="2"/>
        <v>7.05</v>
      </c>
      <c r="B144" s="38">
        <v>7</v>
      </c>
      <c r="C144" s="37">
        <v>5</v>
      </c>
      <c r="D144" s="37">
        <v>0.99</v>
      </c>
      <c r="E144" s="37">
        <v>0.99</v>
      </c>
      <c r="F144" s="37">
        <v>1.01</v>
      </c>
      <c r="G144" s="37">
        <v>1.02</v>
      </c>
      <c r="H144" s="37">
        <v>1.03</v>
      </c>
      <c r="I144" s="37">
        <v>1.03</v>
      </c>
      <c r="J144" s="37">
        <v>1.03</v>
      </c>
      <c r="K144" s="37">
        <v>1.02</v>
      </c>
      <c r="L144" s="37">
        <v>1</v>
      </c>
      <c r="M144" s="37">
        <v>0.99</v>
      </c>
      <c r="N144" s="37">
        <v>0.98</v>
      </c>
      <c r="O144" s="37">
        <v>0.97</v>
      </c>
    </row>
    <row r="145" spans="1:15">
      <c r="A145" s="1">
        <f t="shared" si="2"/>
        <v>7.1</v>
      </c>
      <c r="B145" s="38">
        <v>7</v>
      </c>
      <c r="C145" s="37">
        <v>10</v>
      </c>
      <c r="D145" s="37">
        <v>0.97</v>
      </c>
      <c r="E145" s="37">
        <v>0.97</v>
      </c>
      <c r="F145" s="37">
        <v>1</v>
      </c>
      <c r="G145" s="37">
        <v>1.04</v>
      </c>
      <c r="H145" s="37">
        <v>1.06</v>
      </c>
      <c r="I145" s="37">
        <v>1.06</v>
      </c>
      <c r="J145" s="37">
        <v>1.05</v>
      </c>
      <c r="K145" s="37">
        <v>1.03</v>
      </c>
      <c r="L145" s="37">
        <v>1</v>
      </c>
      <c r="M145" s="37">
        <v>0.97</v>
      </c>
      <c r="N145" s="37">
        <v>0.95</v>
      </c>
      <c r="O145" s="37">
        <v>0.94</v>
      </c>
    </row>
    <row r="146" spans="1:15">
      <c r="A146" s="1">
        <f t="shared" si="2"/>
        <v>7.15</v>
      </c>
      <c r="B146" s="38">
        <v>7</v>
      </c>
      <c r="C146" s="37">
        <v>15</v>
      </c>
      <c r="D146" s="37">
        <v>0.95</v>
      </c>
      <c r="E146" s="37">
        <v>0.95</v>
      </c>
      <c r="F146" s="37">
        <v>0.99</v>
      </c>
      <c r="G146" s="37">
        <v>1.04</v>
      </c>
      <c r="H146" s="37">
        <v>1.07</v>
      </c>
      <c r="I146" s="37">
        <v>1.08</v>
      </c>
      <c r="J146" s="37">
        <v>1.06</v>
      </c>
      <c r="K146" s="37">
        <v>1.03</v>
      </c>
      <c r="L146" s="37">
        <v>0.99</v>
      </c>
      <c r="M146" s="37">
        <v>0.95</v>
      </c>
      <c r="N146" s="37">
        <v>0.91</v>
      </c>
      <c r="O146" s="37">
        <v>0.89</v>
      </c>
    </row>
    <row r="147" spans="1:15">
      <c r="A147" s="1">
        <f t="shared" si="2"/>
        <v>7.2</v>
      </c>
      <c r="B147" s="38">
        <v>7</v>
      </c>
      <c r="C147" s="37">
        <v>20</v>
      </c>
      <c r="D147" s="37">
        <v>0.91</v>
      </c>
      <c r="E147" s="37">
        <v>0.91</v>
      </c>
      <c r="F147" s="37">
        <v>0.98</v>
      </c>
      <c r="G147" s="37">
        <v>1.04</v>
      </c>
      <c r="H147" s="37">
        <v>1.08</v>
      </c>
      <c r="I147" s="37">
        <v>1.0900000000000001</v>
      </c>
      <c r="J147" s="37">
        <v>1.07</v>
      </c>
      <c r="K147" s="37">
        <v>1.03</v>
      </c>
      <c r="L147" s="37">
        <v>0.98</v>
      </c>
      <c r="M147" s="37">
        <v>0.92</v>
      </c>
      <c r="N147" s="37">
        <v>0.87</v>
      </c>
      <c r="O147" s="37">
        <v>0.85</v>
      </c>
    </row>
    <row r="148" spans="1:15">
      <c r="A148" s="1">
        <f t="shared" si="2"/>
        <v>7.25</v>
      </c>
      <c r="B148" s="38">
        <v>7</v>
      </c>
      <c r="C148" s="37">
        <v>25</v>
      </c>
      <c r="D148" s="37">
        <v>0.88</v>
      </c>
      <c r="E148" s="37">
        <v>0.88</v>
      </c>
      <c r="F148" s="37">
        <v>0.96</v>
      </c>
      <c r="G148" s="37">
        <v>1.04</v>
      </c>
      <c r="H148" s="37">
        <v>1.0900000000000001</v>
      </c>
      <c r="I148" s="37">
        <v>1.1000000000000001</v>
      </c>
      <c r="J148" s="37">
        <v>1.07</v>
      </c>
      <c r="K148" s="37">
        <v>1.02</v>
      </c>
      <c r="L148" s="37">
        <v>0.96</v>
      </c>
      <c r="M148" s="37">
        <v>0.88</v>
      </c>
      <c r="N148" s="37">
        <v>0.82</v>
      </c>
      <c r="O148" s="37">
        <v>0.79</v>
      </c>
    </row>
    <row r="149" spans="1:15">
      <c r="A149" s="1">
        <f t="shared" si="2"/>
        <v>7.3</v>
      </c>
      <c r="B149" s="38">
        <v>7</v>
      </c>
      <c r="C149" s="37">
        <v>30</v>
      </c>
      <c r="D149" s="37">
        <v>0.83</v>
      </c>
      <c r="E149" s="37">
        <v>0.83</v>
      </c>
      <c r="F149" s="37">
        <v>0.93</v>
      </c>
      <c r="G149" s="37">
        <v>1.02</v>
      </c>
      <c r="H149" s="37">
        <v>1.08</v>
      </c>
      <c r="I149" s="37">
        <v>1.1000000000000001</v>
      </c>
      <c r="J149" s="37">
        <v>1.06</v>
      </c>
      <c r="K149" s="37">
        <v>1.01</v>
      </c>
      <c r="L149" s="37">
        <v>0.93</v>
      </c>
      <c r="M149" s="37">
        <v>0.84</v>
      </c>
      <c r="N149" s="37">
        <v>0.77</v>
      </c>
      <c r="O149" s="37">
        <v>0.73</v>
      </c>
    </row>
    <row r="150" spans="1:15">
      <c r="A150" s="1">
        <f t="shared" si="2"/>
        <v>7.35</v>
      </c>
      <c r="B150" s="38">
        <v>7</v>
      </c>
      <c r="C150" s="37">
        <v>35</v>
      </c>
      <c r="D150" s="37">
        <v>0.78</v>
      </c>
      <c r="E150" s="37">
        <v>0.78</v>
      </c>
      <c r="F150" s="37">
        <v>0.89</v>
      </c>
      <c r="G150" s="37">
        <v>1</v>
      </c>
      <c r="H150" s="37">
        <v>1.07</v>
      </c>
      <c r="I150" s="37">
        <v>1.0900000000000001</v>
      </c>
      <c r="J150" s="37">
        <v>1.05</v>
      </c>
      <c r="K150" s="37">
        <v>0.99</v>
      </c>
      <c r="L150" s="37">
        <v>0.9</v>
      </c>
      <c r="M150" s="37">
        <v>0.79</v>
      </c>
      <c r="N150" s="37">
        <v>0.71</v>
      </c>
      <c r="O150" s="37">
        <v>0.67</v>
      </c>
    </row>
    <row r="151" spans="1:15">
      <c r="A151" s="1">
        <f t="shared" si="2"/>
        <v>7.4</v>
      </c>
      <c r="B151" s="38">
        <v>7</v>
      </c>
      <c r="C151" s="37">
        <v>40</v>
      </c>
      <c r="D151" s="37">
        <v>0.73</v>
      </c>
      <c r="E151" s="37">
        <v>0.73</v>
      </c>
      <c r="F151" s="37">
        <v>0.85</v>
      </c>
      <c r="G151" s="37">
        <v>0.97</v>
      </c>
      <c r="H151" s="37">
        <v>1.06</v>
      </c>
      <c r="I151" s="37">
        <v>1.07</v>
      </c>
      <c r="J151" s="37">
        <v>1.03</v>
      </c>
      <c r="K151" s="37">
        <v>0.96</v>
      </c>
      <c r="L151" s="37">
        <v>0.86</v>
      </c>
      <c r="M151" s="37">
        <v>0.74</v>
      </c>
      <c r="N151" s="37">
        <v>0.64</v>
      </c>
      <c r="O151" s="37">
        <v>0.6</v>
      </c>
    </row>
    <row r="152" spans="1:15">
      <c r="A152" s="1">
        <f t="shared" si="2"/>
        <v>7.45</v>
      </c>
      <c r="B152" s="38">
        <v>7</v>
      </c>
      <c r="C152" s="37">
        <v>45</v>
      </c>
      <c r="D152" s="37">
        <v>0.67</v>
      </c>
      <c r="E152" s="37">
        <v>0.67</v>
      </c>
      <c r="F152" s="37">
        <v>0.81</v>
      </c>
      <c r="G152" s="37">
        <v>0.94</v>
      </c>
      <c r="H152" s="37">
        <v>1.03</v>
      </c>
      <c r="I152" s="37">
        <v>1.05</v>
      </c>
      <c r="J152" s="37">
        <v>1.01</v>
      </c>
      <c r="K152" s="37">
        <v>0.93</v>
      </c>
      <c r="L152" s="37">
        <v>0.81</v>
      </c>
      <c r="M152" s="37">
        <v>0.68</v>
      </c>
      <c r="N152" s="37">
        <v>0.56999999999999995</v>
      </c>
      <c r="O152" s="37">
        <v>0.53</v>
      </c>
    </row>
    <row r="153" spans="1:15">
      <c r="A153" s="1">
        <f t="shared" si="2"/>
        <v>7.5</v>
      </c>
      <c r="B153" s="38">
        <v>7</v>
      </c>
      <c r="C153" s="37">
        <v>50</v>
      </c>
      <c r="D153" s="37">
        <v>0.6</v>
      </c>
      <c r="E153" s="37">
        <v>0.6</v>
      </c>
      <c r="F153" s="37">
        <v>0.75</v>
      </c>
      <c r="G153" s="37">
        <v>0.9</v>
      </c>
      <c r="H153" s="37">
        <v>1</v>
      </c>
      <c r="I153" s="37">
        <v>1.02</v>
      </c>
      <c r="J153" s="37">
        <v>0.98</v>
      </c>
      <c r="K153" s="37">
        <v>0.89</v>
      </c>
      <c r="L153" s="37">
        <v>0.76</v>
      </c>
      <c r="M153" s="37">
        <v>0.62</v>
      </c>
      <c r="N153" s="37">
        <v>0.5</v>
      </c>
      <c r="O153" s="37">
        <v>0.45</v>
      </c>
    </row>
    <row r="154" spans="1:15">
      <c r="A154" s="1">
        <f t="shared" si="2"/>
        <v>7.55</v>
      </c>
      <c r="B154" s="38">
        <v>7</v>
      </c>
      <c r="C154" s="37">
        <v>55</v>
      </c>
      <c r="D154" s="37">
        <v>0.54</v>
      </c>
      <c r="E154" s="37">
        <v>0.54</v>
      </c>
      <c r="F154" s="37">
        <v>0.7</v>
      </c>
      <c r="G154" s="37">
        <v>0.85</v>
      </c>
      <c r="H154" s="37">
        <v>0.96</v>
      </c>
      <c r="I154" s="37">
        <v>0.99</v>
      </c>
      <c r="J154" s="37">
        <v>0.94</v>
      </c>
      <c r="K154" s="37">
        <v>0.84</v>
      </c>
      <c r="L154" s="37">
        <v>0.71</v>
      </c>
      <c r="M154" s="37">
        <v>0.55000000000000004</v>
      </c>
      <c r="N154" s="37">
        <v>0.43</v>
      </c>
      <c r="O154" s="37">
        <v>0.38</v>
      </c>
    </row>
    <row r="155" spans="1:15">
      <c r="A155" s="1">
        <f t="shared" si="2"/>
        <v>7.6</v>
      </c>
      <c r="B155" s="38">
        <v>7</v>
      </c>
      <c r="C155" s="37">
        <v>60</v>
      </c>
      <c r="D155" s="37">
        <v>0.46</v>
      </c>
      <c r="E155" s="37">
        <v>0.46</v>
      </c>
      <c r="F155" s="37">
        <v>0.63</v>
      </c>
      <c r="G155" s="37">
        <v>0.8</v>
      </c>
      <c r="H155" s="37">
        <v>0.92</v>
      </c>
      <c r="I155" s="37">
        <v>0.95</v>
      </c>
      <c r="J155" s="37">
        <v>0.9</v>
      </c>
      <c r="K155" s="37">
        <v>0.79</v>
      </c>
      <c r="L155" s="37">
        <v>0.65</v>
      </c>
      <c r="M155" s="37">
        <v>0.48</v>
      </c>
      <c r="N155" s="37">
        <v>0.35</v>
      </c>
      <c r="O155" s="37">
        <v>0.3</v>
      </c>
    </row>
    <row r="156" spans="1:15">
      <c r="A156" s="1">
        <f t="shared" si="2"/>
        <v>7.65</v>
      </c>
      <c r="B156" s="38">
        <v>7</v>
      </c>
      <c r="C156" s="37">
        <v>65</v>
      </c>
      <c r="D156" s="37">
        <v>0.39</v>
      </c>
      <c r="E156" s="37">
        <v>0.39</v>
      </c>
      <c r="F156" s="37">
        <v>0.56999999999999995</v>
      </c>
      <c r="G156" s="37">
        <v>0.75</v>
      </c>
      <c r="H156" s="37">
        <v>0.87</v>
      </c>
      <c r="I156" s="37">
        <v>0.9</v>
      </c>
      <c r="J156" s="37">
        <v>0.85</v>
      </c>
      <c r="K156" s="37">
        <v>0.74</v>
      </c>
      <c r="L156" s="37">
        <v>0.57999999999999996</v>
      </c>
      <c r="M156" s="37">
        <v>0.41</v>
      </c>
      <c r="N156" s="37">
        <v>0.27</v>
      </c>
      <c r="O156" s="37">
        <v>0.21</v>
      </c>
    </row>
    <row r="157" spans="1:15">
      <c r="A157" s="1">
        <f t="shared" si="2"/>
        <v>7.7</v>
      </c>
      <c r="B157" s="38">
        <v>7</v>
      </c>
      <c r="C157" s="37">
        <v>70</v>
      </c>
      <c r="D157" s="37">
        <v>0.31</v>
      </c>
      <c r="E157" s="37">
        <v>0.31</v>
      </c>
      <c r="F157" s="37">
        <v>0.5</v>
      </c>
      <c r="G157" s="37">
        <v>0.68</v>
      </c>
      <c r="H157" s="37">
        <v>0.81</v>
      </c>
      <c r="I157" s="37">
        <v>0.85</v>
      </c>
      <c r="J157" s="37">
        <v>0.8</v>
      </c>
      <c r="K157" s="37">
        <v>0.68</v>
      </c>
      <c r="L157" s="37">
        <v>0.52</v>
      </c>
      <c r="M157" s="37">
        <v>0.34</v>
      </c>
      <c r="N157" s="37">
        <v>0.19</v>
      </c>
      <c r="O157" s="37">
        <v>0.13</v>
      </c>
    </row>
    <row r="158" spans="1:15">
      <c r="A158" s="1">
        <f t="shared" si="2"/>
        <v>7.75</v>
      </c>
      <c r="B158" s="38">
        <v>7</v>
      </c>
      <c r="C158" s="37">
        <v>75</v>
      </c>
      <c r="D158" s="37">
        <v>0.23</v>
      </c>
      <c r="E158" s="37">
        <v>0.23</v>
      </c>
      <c r="F158" s="37">
        <v>0.42</v>
      </c>
      <c r="G158" s="37">
        <v>0.62</v>
      </c>
      <c r="H158" s="37">
        <v>0.75</v>
      </c>
      <c r="I158" s="37">
        <v>0.79</v>
      </c>
      <c r="J158" s="37">
        <v>0.74</v>
      </c>
      <c r="K158" s="37">
        <v>0.62</v>
      </c>
      <c r="L158" s="37">
        <v>0.45</v>
      </c>
      <c r="M158" s="37">
        <v>0.26</v>
      </c>
      <c r="N158" s="37">
        <v>0.12</v>
      </c>
      <c r="O158" s="37">
        <v>0.11</v>
      </c>
    </row>
    <row r="159" spans="1:15">
      <c r="A159" s="1">
        <f t="shared" si="2"/>
        <v>7.8</v>
      </c>
      <c r="B159" s="38">
        <v>7</v>
      </c>
      <c r="C159" s="37">
        <v>80</v>
      </c>
      <c r="D159" s="37">
        <v>0.15</v>
      </c>
      <c r="E159" s="37">
        <v>0.15</v>
      </c>
      <c r="F159" s="37">
        <v>0.35</v>
      </c>
      <c r="G159" s="37">
        <v>0.55000000000000004</v>
      </c>
      <c r="H159" s="37">
        <v>0.69</v>
      </c>
      <c r="I159" s="37">
        <v>0.73</v>
      </c>
      <c r="J159" s="37">
        <v>0.68</v>
      </c>
      <c r="K159" s="37">
        <v>0.55000000000000004</v>
      </c>
      <c r="L159" s="37">
        <v>0.38</v>
      </c>
      <c r="M159" s="37">
        <v>0.18</v>
      </c>
      <c r="N159" s="37">
        <v>0.11</v>
      </c>
      <c r="O159" s="37">
        <v>0.1</v>
      </c>
    </row>
    <row r="160" spans="1:15">
      <c r="A160" s="1">
        <f t="shared" si="2"/>
        <v>7.85</v>
      </c>
      <c r="B160" s="38">
        <v>7</v>
      </c>
      <c r="C160" s="37">
        <v>85</v>
      </c>
      <c r="D160" s="37">
        <v>0.09</v>
      </c>
      <c r="E160" s="37">
        <v>0.09</v>
      </c>
      <c r="F160" s="37">
        <v>0.27</v>
      </c>
      <c r="G160" s="37">
        <v>0.47</v>
      </c>
      <c r="H160" s="37">
        <v>0.62</v>
      </c>
      <c r="I160" s="37">
        <v>0.66</v>
      </c>
      <c r="J160" s="37">
        <v>0.61</v>
      </c>
      <c r="K160" s="37">
        <v>0.48</v>
      </c>
      <c r="L160" s="37">
        <v>0.3</v>
      </c>
      <c r="M160" s="37">
        <v>0.12</v>
      </c>
      <c r="N160" s="37">
        <v>0.1</v>
      </c>
      <c r="O160" s="37">
        <v>0.09</v>
      </c>
    </row>
    <row r="161" spans="1:15">
      <c r="A161" s="1">
        <f t="shared" si="2"/>
        <v>7.9</v>
      </c>
      <c r="B161" s="38">
        <v>7</v>
      </c>
      <c r="C161" s="37">
        <v>90</v>
      </c>
      <c r="D161" s="37">
        <v>0.08</v>
      </c>
      <c r="E161" s="37">
        <v>0.08</v>
      </c>
      <c r="F161" s="37">
        <v>0.19</v>
      </c>
      <c r="G161" s="37">
        <v>0.4</v>
      </c>
      <c r="H161" s="37">
        <v>0.55000000000000004</v>
      </c>
      <c r="I161" s="37">
        <v>0.59</v>
      </c>
      <c r="J161" s="37">
        <v>0.54</v>
      </c>
      <c r="K161" s="37">
        <v>0.41</v>
      </c>
      <c r="L161" s="37">
        <v>0.23</v>
      </c>
      <c r="M161" s="37">
        <v>0.11</v>
      </c>
      <c r="N161" s="37">
        <v>0.09</v>
      </c>
      <c r="O161" s="37">
        <v>0.09</v>
      </c>
    </row>
    <row r="162" spans="1:15">
      <c r="A162" s="1">
        <f t="shared" si="2"/>
        <v>8</v>
      </c>
      <c r="B162" s="38">
        <v>8</v>
      </c>
      <c r="C162" s="37">
        <v>0</v>
      </c>
      <c r="D162" s="37">
        <v>1</v>
      </c>
      <c r="E162" s="37">
        <v>1</v>
      </c>
      <c r="F162" s="37">
        <v>1</v>
      </c>
      <c r="G162" s="37">
        <v>1</v>
      </c>
      <c r="H162" s="37">
        <v>1</v>
      </c>
      <c r="I162" s="37">
        <v>1</v>
      </c>
      <c r="J162" s="37">
        <v>1</v>
      </c>
      <c r="K162" s="37">
        <v>1</v>
      </c>
      <c r="L162" s="37">
        <v>1</v>
      </c>
      <c r="M162" s="37">
        <v>1</v>
      </c>
      <c r="N162" s="37">
        <v>1</v>
      </c>
      <c r="O162" s="37">
        <v>1</v>
      </c>
    </row>
    <row r="163" spans="1:15">
      <c r="A163" s="1">
        <f t="shared" si="2"/>
        <v>8.0500000000000007</v>
      </c>
      <c r="B163" s="38">
        <v>8</v>
      </c>
      <c r="C163" s="37">
        <v>5</v>
      </c>
      <c r="D163" s="37">
        <v>0.98</v>
      </c>
      <c r="E163" s="37">
        <v>0.99</v>
      </c>
      <c r="F163" s="37">
        <v>1.01</v>
      </c>
      <c r="G163" s="37">
        <v>1.02</v>
      </c>
      <c r="H163" s="37">
        <v>1.03</v>
      </c>
      <c r="I163" s="37">
        <v>1.03</v>
      </c>
      <c r="J163" s="37">
        <v>1.03</v>
      </c>
      <c r="K163" s="37">
        <v>1.02</v>
      </c>
      <c r="L163" s="37">
        <v>1.01</v>
      </c>
      <c r="M163" s="37">
        <v>0.99</v>
      </c>
      <c r="N163" s="37">
        <v>0.98</v>
      </c>
      <c r="O163" s="37">
        <v>0.97</v>
      </c>
    </row>
    <row r="164" spans="1:15">
      <c r="A164" s="1">
        <f t="shared" si="2"/>
        <v>8.1</v>
      </c>
      <c r="B164" s="38">
        <v>8</v>
      </c>
      <c r="C164" s="37">
        <v>10</v>
      </c>
      <c r="D164" s="37">
        <v>0.95</v>
      </c>
      <c r="E164" s="37">
        <v>0.97</v>
      </c>
      <c r="F164" s="37">
        <v>1.01</v>
      </c>
      <c r="G164" s="37">
        <v>1.04</v>
      </c>
      <c r="H164" s="37">
        <v>1.06</v>
      </c>
      <c r="I164" s="37">
        <v>1.06</v>
      </c>
      <c r="J164" s="37">
        <v>1.05</v>
      </c>
      <c r="K164" s="37">
        <v>1.03</v>
      </c>
      <c r="L164" s="37">
        <v>1</v>
      </c>
      <c r="M164" s="37">
        <v>0.97</v>
      </c>
      <c r="N164" s="37">
        <v>0.95</v>
      </c>
      <c r="O164" s="37">
        <v>0.94</v>
      </c>
    </row>
    <row r="165" spans="1:15">
      <c r="A165" s="1">
        <f t="shared" si="2"/>
        <v>8.15</v>
      </c>
      <c r="B165" s="38">
        <v>8</v>
      </c>
      <c r="C165" s="37">
        <v>15</v>
      </c>
      <c r="D165" s="37">
        <v>0.91</v>
      </c>
      <c r="E165" s="37">
        <v>0.95</v>
      </c>
      <c r="F165" s="37">
        <v>1</v>
      </c>
      <c r="G165" s="37">
        <v>1.05</v>
      </c>
      <c r="H165" s="37">
        <v>1.08</v>
      </c>
      <c r="I165" s="37">
        <v>1.08</v>
      </c>
      <c r="J165" s="37">
        <v>1.07</v>
      </c>
      <c r="K165" s="37">
        <v>1.04</v>
      </c>
      <c r="L165" s="37">
        <v>1</v>
      </c>
      <c r="M165" s="37">
        <v>0.95</v>
      </c>
      <c r="N165" s="37">
        <v>0.91</v>
      </c>
      <c r="O165" s="37">
        <v>0.9</v>
      </c>
    </row>
    <row r="166" spans="1:15">
      <c r="A166" s="1">
        <f t="shared" si="2"/>
        <v>8.1999999999999993</v>
      </c>
      <c r="B166" s="38">
        <v>8</v>
      </c>
      <c r="C166" s="37">
        <v>20</v>
      </c>
      <c r="D166" s="37">
        <v>0.87</v>
      </c>
      <c r="E166" s="37">
        <v>0.92</v>
      </c>
      <c r="F166" s="37">
        <v>0.98</v>
      </c>
      <c r="G166" s="37">
        <v>1.05</v>
      </c>
      <c r="H166" s="37">
        <v>1.0900000000000001</v>
      </c>
      <c r="I166" s="37">
        <v>1.1000000000000001</v>
      </c>
      <c r="J166" s="37">
        <v>1.07</v>
      </c>
      <c r="K166" s="37">
        <v>1.04</v>
      </c>
      <c r="L166" s="37">
        <v>0.98</v>
      </c>
      <c r="M166" s="37">
        <v>0.92</v>
      </c>
      <c r="N166" s="37">
        <v>0.87</v>
      </c>
      <c r="O166" s="37">
        <v>0.85</v>
      </c>
    </row>
    <row r="167" spans="1:15">
      <c r="A167" s="1">
        <f t="shared" si="2"/>
        <v>8.25</v>
      </c>
      <c r="B167" s="38">
        <v>8</v>
      </c>
      <c r="C167" s="37">
        <v>25</v>
      </c>
      <c r="D167" s="37">
        <v>0.82</v>
      </c>
      <c r="E167" s="37">
        <v>0.88</v>
      </c>
      <c r="F167" s="37">
        <v>0.96</v>
      </c>
      <c r="G167" s="37">
        <v>1.04</v>
      </c>
      <c r="H167" s="37">
        <v>1.0900000000000001</v>
      </c>
      <c r="I167" s="37">
        <v>1.1000000000000001</v>
      </c>
      <c r="J167" s="37">
        <v>1.08</v>
      </c>
      <c r="K167" s="37">
        <v>1.03</v>
      </c>
      <c r="L167" s="37">
        <v>0.96</v>
      </c>
      <c r="M167" s="37">
        <v>0.89</v>
      </c>
      <c r="N167" s="37">
        <v>0.83</v>
      </c>
      <c r="O167" s="37">
        <v>0.8</v>
      </c>
    </row>
    <row r="168" spans="1:15">
      <c r="A168" s="1">
        <f t="shared" si="2"/>
        <v>8.3000000000000007</v>
      </c>
      <c r="B168" s="38">
        <v>8</v>
      </c>
      <c r="C168" s="37">
        <v>30</v>
      </c>
      <c r="D168" s="37">
        <v>0.77</v>
      </c>
      <c r="E168" s="37">
        <v>0.84</v>
      </c>
      <c r="F168" s="37">
        <v>0.94</v>
      </c>
      <c r="G168" s="37">
        <v>1.03</v>
      </c>
      <c r="H168" s="37">
        <v>1.0900000000000001</v>
      </c>
      <c r="I168" s="37">
        <v>1.1000000000000001</v>
      </c>
      <c r="J168" s="37">
        <v>1.07</v>
      </c>
      <c r="K168" s="37">
        <v>1.02</v>
      </c>
      <c r="L168" s="37">
        <v>0.94</v>
      </c>
      <c r="M168" s="37">
        <v>0.85</v>
      </c>
      <c r="N168" s="37">
        <v>0.77</v>
      </c>
      <c r="O168" s="37">
        <v>0.74</v>
      </c>
    </row>
    <row r="169" spans="1:15">
      <c r="A169" s="1">
        <f t="shared" si="2"/>
        <v>8.35</v>
      </c>
      <c r="B169" s="38">
        <v>8</v>
      </c>
      <c r="C169" s="37">
        <v>35</v>
      </c>
      <c r="D169" s="37">
        <v>0.71</v>
      </c>
      <c r="E169" s="37">
        <v>0.79</v>
      </c>
      <c r="F169" s="37">
        <v>0.9</v>
      </c>
      <c r="G169" s="37">
        <v>1.01</v>
      </c>
      <c r="H169" s="37">
        <v>1.08</v>
      </c>
      <c r="I169" s="37">
        <v>1.1000000000000001</v>
      </c>
      <c r="J169" s="37">
        <v>1.06</v>
      </c>
      <c r="K169" s="37">
        <v>1</v>
      </c>
      <c r="L169" s="37">
        <v>0.9</v>
      </c>
      <c r="M169" s="37">
        <v>0.8</v>
      </c>
      <c r="N169" s="37">
        <v>0.72</v>
      </c>
      <c r="O169" s="37">
        <v>0.68</v>
      </c>
    </row>
    <row r="170" spans="1:15">
      <c r="A170" s="1">
        <f t="shared" si="2"/>
        <v>8.4</v>
      </c>
      <c r="B170" s="38">
        <v>8</v>
      </c>
      <c r="C170" s="37">
        <v>40</v>
      </c>
      <c r="D170" s="37">
        <v>0.64</v>
      </c>
      <c r="E170" s="37">
        <v>0.74</v>
      </c>
      <c r="F170" s="37">
        <v>0.86</v>
      </c>
      <c r="G170" s="37">
        <v>0.98</v>
      </c>
      <c r="H170" s="37">
        <v>1.07</v>
      </c>
      <c r="I170" s="37">
        <v>1.08</v>
      </c>
      <c r="J170" s="37">
        <v>1.04</v>
      </c>
      <c r="K170" s="37">
        <v>0.97</v>
      </c>
      <c r="L170" s="37">
        <v>0.86</v>
      </c>
      <c r="M170" s="37">
        <v>0.75</v>
      </c>
      <c r="N170" s="37">
        <v>0.65</v>
      </c>
      <c r="O170" s="37">
        <v>0.61</v>
      </c>
    </row>
    <row r="171" spans="1:15">
      <c r="A171" s="1">
        <f t="shared" si="2"/>
        <v>8.4499999999999993</v>
      </c>
      <c r="B171" s="38">
        <v>8</v>
      </c>
      <c r="C171" s="37">
        <v>45</v>
      </c>
      <c r="D171" s="37">
        <v>0.57999999999999996</v>
      </c>
      <c r="E171" s="37">
        <v>0.68</v>
      </c>
      <c r="F171" s="37">
        <v>0.82</v>
      </c>
      <c r="G171" s="37">
        <v>0.95</v>
      </c>
      <c r="H171" s="37">
        <v>1.04</v>
      </c>
      <c r="I171" s="37">
        <v>1.06</v>
      </c>
      <c r="J171" s="37">
        <v>1.02</v>
      </c>
      <c r="K171" s="37">
        <v>0.94</v>
      </c>
      <c r="L171" s="37">
        <v>0.82</v>
      </c>
      <c r="M171" s="37">
        <v>0.69</v>
      </c>
      <c r="N171" s="37">
        <v>0.59</v>
      </c>
      <c r="O171" s="37">
        <v>0.54</v>
      </c>
    </row>
    <row r="172" spans="1:15">
      <c r="A172" s="1">
        <f t="shared" si="2"/>
        <v>8.5</v>
      </c>
      <c r="B172" s="38">
        <v>8</v>
      </c>
      <c r="C172" s="37">
        <v>50</v>
      </c>
      <c r="D172" s="37">
        <v>0.5</v>
      </c>
      <c r="E172" s="37">
        <v>0.61</v>
      </c>
      <c r="F172" s="37">
        <v>0.76</v>
      </c>
      <c r="G172" s="37">
        <v>0.91</v>
      </c>
      <c r="H172" s="37">
        <v>1.01</v>
      </c>
      <c r="I172" s="37">
        <v>1.03</v>
      </c>
      <c r="J172" s="37">
        <v>0.99</v>
      </c>
      <c r="K172" s="37">
        <v>0.9</v>
      </c>
      <c r="L172" s="37">
        <v>0.77</v>
      </c>
      <c r="M172" s="37">
        <v>0.63</v>
      </c>
      <c r="N172" s="37">
        <v>0.51</v>
      </c>
      <c r="O172" s="37">
        <v>0.47</v>
      </c>
    </row>
    <row r="173" spans="1:15">
      <c r="A173" s="1">
        <f t="shared" si="2"/>
        <v>8.5500000000000007</v>
      </c>
      <c r="B173" s="38">
        <v>8</v>
      </c>
      <c r="C173" s="37">
        <v>55</v>
      </c>
      <c r="D173" s="37">
        <v>0.43</v>
      </c>
      <c r="E173" s="37">
        <v>0.55000000000000004</v>
      </c>
      <c r="F173" s="37">
        <v>0.71</v>
      </c>
      <c r="G173" s="37">
        <v>0.87</v>
      </c>
      <c r="H173" s="37">
        <v>0.98</v>
      </c>
      <c r="I173" s="37">
        <v>1</v>
      </c>
      <c r="J173" s="37">
        <v>0.95</v>
      </c>
      <c r="K173" s="37">
        <v>0.85</v>
      </c>
      <c r="L173" s="37">
        <v>0.72</v>
      </c>
      <c r="M173" s="37">
        <v>0.56000000000000005</v>
      </c>
      <c r="N173" s="37">
        <v>0.44</v>
      </c>
      <c r="O173" s="37">
        <v>0.39</v>
      </c>
    </row>
    <row r="174" spans="1:15">
      <c r="A174" s="1">
        <f t="shared" si="2"/>
        <v>8.6</v>
      </c>
      <c r="B174" s="38">
        <v>8</v>
      </c>
      <c r="C174" s="37">
        <v>60</v>
      </c>
      <c r="D174" s="37">
        <v>0.35</v>
      </c>
      <c r="E174" s="37">
        <v>0.48</v>
      </c>
      <c r="F174" s="37">
        <v>0.65</v>
      </c>
      <c r="G174" s="37">
        <v>0.82</v>
      </c>
      <c r="H174" s="37">
        <v>0.93</v>
      </c>
      <c r="I174" s="37">
        <v>0.96</v>
      </c>
      <c r="J174" s="37">
        <v>0.91</v>
      </c>
      <c r="K174" s="37">
        <v>0.81</v>
      </c>
      <c r="L174" s="37">
        <v>0.66</v>
      </c>
      <c r="M174" s="37">
        <v>0.49</v>
      </c>
      <c r="N174" s="37">
        <v>0.36</v>
      </c>
      <c r="O174" s="37">
        <v>0.31</v>
      </c>
    </row>
    <row r="175" spans="1:15">
      <c r="A175" s="1">
        <f t="shared" si="2"/>
        <v>8.65</v>
      </c>
      <c r="B175" s="38">
        <v>8</v>
      </c>
      <c r="C175" s="37">
        <v>65</v>
      </c>
      <c r="D175" s="37">
        <v>0.27</v>
      </c>
      <c r="E175" s="37">
        <v>0.4</v>
      </c>
      <c r="F175" s="37">
        <v>0.57999999999999996</v>
      </c>
      <c r="G175" s="37">
        <v>0.76</v>
      </c>
      <c r="H175" s="37">
        <v>0.88</v>
      </c>
      <c r="I175" s="37">
        <v>0.91</v>
      </c>
      <c r="J175" s="37">
        <v>0.86</v>
      </c>
      <c r="K175" s="37">
        <v>0.75</v>
      </c>
      <c r="L175" s="37">
        <v>0.59</v>
      </c>
      <c r="M175" s="37">
        <v>0.42</v>
      </c>
      <c r="N175" s="37">
        <v>0.28999999999999998</v>
      </c>
      <c r="O175" s="37">
        <v>0.23</v>
      </c>
    </row>
    <row r="176" spans="1:15">
      <c r="A176" s="1">
        <f t="shared" si="2"/>
        <v>8.6999999999999993</v>
      </c>
      <c r="B176" s="38">
        <v>8</v>
      </c>
      <c r="C176" s="37">
        <v>70</v>
      </c>
      <c r="D176" s="37">
        <v>0.19</v>
      </c>
      <c r="E176" s="37">
        <v>0.33</v>
      </c>
      <c r="F176" s="37">
        <v>0.51</v>
      </c>
      <c r="G176" s="37">
        <v>0.7</v>
      </c>
      <c r="H176" s="37">
        <v>0.83</v>
      </c>
      <c r="I176" s="37">
        <v>0.86</v>
      </c>
      <c r="J176" s="37">
        <v>0.81</v>
      </c>
      <c r="K176" s="37">
        <v>0.69</v>
      </c>
      <c r="L176" s="37">
        <v>0.53</v>
      </c>
      <c r="M176" s="37">
        <v>0.35</v>
      </c>
      <c r="N176" s="37">
        <v>0.21</v>
      </c>
      <c r="O176" s="37">
        <v>0.14000000000000001</v>
      </c>
    </row>
    <row r="177" spans="1:15">
      <c r="A177" s="1">
        <f t="shared" si="2"/>
        <v>8.75</v>
      </c>
      <c r="B177" s="38">
        <v>8</v>
      </c>
      <c r="C177" s="37">
        <v>75</v>
      </c>
      <c r="D177" s="37">
        <v>0.11</v>
      </c>
      <c r="E177" s="37">
        <v>0.25</v>
      </c>
      <c r="F177" s="37">
        <v>0.44</v>
      </c>
      <c r="G177" s="37">
        <v>0.63</v>
      </c>
      <c r="H177" s="37">
        <v>0.77</v>
      </c>
      <c r="I177" s="37">
        <v>0.81</v>
      </c>
      <c r="J177" s="37">
        <v>0.75</v>
      </c>
      <c r="K177" s="37">
        <v>0.63</v>
      </c>
      <c r="L177" s="37">
        <v>0.46</v>
      </c>
      <c r="M177" s="37">
        <v>0.27</v>
      </c>
      <c r="N177" s="37">
        <v>0.12</v>
      </c>
      <c r="O177" s="37">
        <v>0.11</v>
      </c>
    </row>
    <row r="178" spans="1:15">
      <c r="A178" s="1">
        <f t="shared" si="2"/>
        <v>8.8000000000000007</v>
      </c>
      <c r="B178" s="38">
        <v>8</v>
      </c>
      <c r="C178" s="37">
        <v>80</v>
      </c>
      <c r="D178" s="37">
        <v>0.1</v>
      </c>
      <c r="E178" s="37">
        <v>0.17</v>
      </c>
      <c r="F178" s="37">
        <v>0.36</v>
      </c>
      <c r="G178" s="37">
        <v>0.56000000000000005</v>
      </c>
      <c r="H178" s="37">
        <v>0.7</v>
      </c>
      <c r="I178" s="37">
        <v>0.74</v>
      </c>
      <c r="J178" s="37">
        <v>0.69</v>
      </c>
      <c r="K178" s="37">
        <v>0.56999999999999995</v>
      </c>
      <c r="L178" s="37">
        <v>0.39</v>
      </c>
      <c r="M178" s="37">
        <v>0.2</v>
      </c>
      <c r="N178" s="37">
        <v>0.11</v>
      </c>
      <c r="O178" s="37">
        <v>0.1</v>
      </c>
    </row>
    <row r="179" spans="1:15">
      <c r="A179" s="1">
        <f t="shared" si="2"/>
        <v>8.85</v>
      </c>
      <c r="B179" s="38">
        <v>8</v>
      </c>
      <c r="C179" s="37">
        <v>85</v>
      </c>
      <c r="D179" s="37">
        <v>0.09</v>
      </c>
      <c r="E179" s="37">
        <v>0.09</v>
      </c>
      <c r="F179" s="37">
        <v>0.28999999999999998</v>
      </c>
      <c r="G179" s="37">
        <v>0.49</v>
      </c>
      <c r="H179" s="37">
        <v>0.64</v>
      </c>
      <c r="I179" s="37">
        <v>0.68</v>
      </c>
      <c r="J179" s="37">
        <v>0.62</v>
      </c>
      <c r="K179" s="37">
        <v>0.5</v>
      </c>
      <c r="L179" s="37">
        <v>0.32</v>
      </c>
      <c r="M179" s="37">
        <v>0.12</v>
      </c>
      <c r="N179" s="37">
        <v>0.1</v>
      </c>
      <c r="O179" s="37">
        <v>0.09</v>
      </c>
    </row>
    <row r="180" spans="1:15">
      <c r="A180" s="1">
        <f t="shared" si="2"/>
        <v>8.9</v>
      </c>
      <c r="B180" s="38">
        <v>8</v>
      </c>
      <c r="C180" s="37">
        <v>90</v>
      </c>
      <c r="D180" s="37">
        <v>0.08</v>
      </c>
      <c r="E180" s="37">
        <v>0.08</v>
      </c>
      <c r="F180" s="37">
        <v>0.21</v>
      </c>
      <c r="G180" s="37">
        <v>0.41</v>
      </c>
      <c r="H180" s="37">
        <v>0.56000000000000005</v>
      </c>
      <c r="I180" s="37">
        <v>0.61</v>
      </c>
      <c r="J180" s="37">
        <v>0.56000000000000005</v>
      </c>
      <c r="K180" s="37">
        <v>0.43</v>
      </c>
      <c r="L180" s="37">
        <v>0.24</v>
      </c>
      <c r="M180" s="37">
        <v>0.11</v>
      </c>
      <c r="N180" s="37">
        <v>0.09</v>
      </c>
      <c r="O180" s="37">
        <v>0.09</v>
      </c>
    </row>
    <row r="181" spans="1:15">
      <c r="A181" s="1">
        <f t="shared" si="2"/>
        <v>9</v>
      </c>
      <c r="B181" s="38">
        <v>9</v>
      </c>
      <c r="C181" s="37">
        <v>0</v>
      </c>
      <c r="D181" s="37">
        <v>1</v>
      </c>
      <c r="E181" s="37">
        <v>1</v>
      </c>
      <c r="F181" s="37">
        <v>1</v>
      </c>
      <c r="G181" s="37">
        <v>1</v>
      </c>
      <c r="H181" s="37">
        <v>1</v>
      </c>
      <c r="I181" s="37">
        <v>1</v>
      </c>
      <c r="J181" s="37">
        <v>1</v>
      </c>
      <c r="K181" s="37">
        <v>1</v>
      </c>
      <c r="L181" s="37">
        <v>1</v>
      </c>
      <c r="M181" s="37">
        <v>1</v>
      </c>
      <c r="N181" s="37">
        <v>1</v>
      </c>
      <c r="O181" s="37">
        <v>1</v>
      </c>
    </row>
    <row r="182" spans="1:15">
      <c r="A182" s="1">
        <f t="shared" si="2"/>
        <v>9.0500000000000007</v>
      </c>
      <c r="B182" s="38">
        <v>9</v>
      </c>
      <c r="C182" s="37">
        <v>5</v>
      </c>
      <c r="D182" s="37">
        <v>0.98</v>
      </c>
      <c r="E182" s="37">
        <v>0.99</v>
      </c>
      <c r="F182" s="37">
        <v>1.01</v>
      </c>
      <c r="G182" s="37">
        <v>1.02</v>
      </c>
      <c r="H182" s="37">
        <v>1.03</v>
      </c>
      <c r="I182" s="37">
        <v>1.03</v>
      </c>
      <c r="J182" s="37">
        <v>1.03</v>
      </c>
      <c r="K182" s="37">
        <v>1.02</v>
      </c>
      <c r="L182" s="37">
        <v>1.01</v>
      </c>
      <c r="M182" s="37">
        <v>0.99</v>
      </c>
      <c r="N182" s="37">
        <v>0.98</v>
      </c>
      <c r="O182" s="37">
        <v>0.97</v>
      </c>
    </row>
    <row r="183" spans="1:15">
      <c r="A183" s="1">
        <f t="shared" si="2"/>
        <v>9.1</v>
      </c>
      <c r="B183" s="38">
        <v>9</v>
      </c>
      <c r="C183" s="37">
        <v>10</v>
      </c>
      <c r="D183" s="37">
        <v>0.95</v>
      </c>
      <c r="E183" s="37">
        <v>0.98</v>
      </c>
      <c r="F183" s="37">
        <v>1.01</v>
      </c>
      <c r="G183" s="37">
        <v>1.04</v>
      </c>
      <c r="H183" s="37">
        <v>1.06</v>
      </c>
      <c r="I183" s="37">
        <v>1.06</v>
      </c>
      <c r="J183" s="37">
        <v>1.05</v>
      </c>
      <c r="K183" s="37">
        <v>1.03</v>
      </c>
      <c r="L183" s="37">
        <v>1.01</v>
      </c>
      <c r="M183" s="37">
        <v>0.98</v>
      </c>
      <c r="N183" s="37">
        <v>0.95</v>
      </c>
      <c r="O183" s="37">
        <v>0.94</v>
      </c>
    </row>
    <row r="184" spans="1:15">
      <c r="A184" s="1">
        <f t="shared" si="2"/>
        <v>9.15</v>
      </c>
      <c r="B184" s="38">
        <v>9</v>
      </c>
      <c r="C184" s="37">
        <v>15</v>
      </c>
      <c r="D184" s="37">
        <v>0.92</v>
      </c>
      <c r="E184" s="37">
        <v>0.95</v>
      </c>
      <c r="F184" s="37">
        <v>1</v>
      </c>
      <c r="G184" s="37">
        <v>1.05</v>
      </c>
      <c r="H184" s="37">
        <v>1.08</v>
      </c>
      <c r="I184" s="37">
        <v>1.0900000000000001</v>
      </c>
      <c r="J184" s="37">
        <v>1.07</v>
      </c>
      <c r="K184" s="37">
        <v>1.04</v>
      </c>
      <c r="L184" s="37">
        <v>1</v>
      </c>
      <c r="M184" s="37">
        <v>0.96</v>
      </c>
      <c r="N184" s="37">
        <v>0.92</v>
      </c>
      <c r="O184" s="37">
        <v>0.9</v>
      </c>
    </row>
    <row r="185" spans="1:15">
      <c r="A185" s="1">
        <f t="shared" si="2"/>
        <v>9.1999999999999993</v>
      </c>
      <c r="B185" s="38">
        <v>9</v>
      </c>
      <c r="C185" s="37">
        <v>20</v>
      </c>
      <c r="D185" s="37">
        <v>0.88</v>
      </c>
      <c r="E185" s="37">
        <v>0.92</v>
      </c>
      <c r="F185" s="37">
        <v>0.99</v>
      </c>
      <c r="G185" s="37">
        <v>1.05</v>
      </c>
      <c r="H185" s="37">
        <v>1.0900000000000001</v>
      </c>
      <c r="I185" s="37">
        <v>1.1000000000000001</v>
      </c>
      <c r="J185" s="37">
        <v>1.08</v>
      </c>
      <c r="K185" s="37">
        <v>1.04</v>
      </c>
      <c r="L185" s="37">
        <v>0.99</v>
      </c>
      <c r="M185" s="37">
        <v>0.93</v>
      </c>
      <c r="N185" s="37">
        <v>0.88</v>
      </c>
      <c r="O185" s="37">
        <v>0.86</v>
      </c>
    </row>
    <row r="186" spans="1:15">
      <c r="A186" s="1">
        <f t="shared" si="2"/>
        <v>9.25</v>
      </c>
      <c r="B186" s="38">
        <v>9</v>
      </c>
      <c r="C186" s="37">
        <v>25</v>
      </c>
      <c r="D186" s="37">
        <v>0.83</v>
      </c>
      <c r="E186" s="37">
        <v>0.89</v>
      </c>
      <c r="F186" s="37">
        <v>0.97</v>
      </c>
      <c r="G186" s="37">
        <v>1.05</v>
      </c>
      <c r="H186" s="37">
        <v>1.1000000000000001</v>
      </c>
      <c r="I186" s="37">
        <v>1.1100000000000001</v>
      </c>
      <c r="J186" s="37">
        <v>1.08</v>
      </c>
      <c r="K186" s="37">
        <v>1.03</v>
      </c>
      <c r="L186" s="37">
        <v>0.97</v>
      </c>
      <c r="M186" s="37">
        <v>0.89</v>
      </c>
      <c r="N186" s="37">
        <v>0.83</v>
      </c>
      <c r="O186" s="37">
        <v>0.81</v>
      </c>
    </row>
    <row r="187" spans="1:15">
      <c r="A187" s="1">
        <f t="shared" si="2"/>
        <v>9.3000000000000007</v>
      </c>
      <c r="B187" s="38">
        <v>9</v>
      </c>
      <c r="C187" s="37">
        <v>30</v>
      </c>
      <c r="D187" s="37">
        <v>0.78</v>
      </c>
      <c r="E187" s="37">
        <v>0.85</v>
      </c>
      <c r="F187" s="37">
        <v>0.94</v>
      </c>
      <c r="G187" s="37">
        <v>1.04</v>
      </c>
      <c r="H187" s="37">
        <v>1.1000000000000001</v>
      </c>
      <c r="I187" s="37">
        <v>1.1100000000000001</v>
      </c>
      <c r="J187" s="37">
        <v>1.08</v>
      </c>
      <c r="K187" s="37">
        <v>1.02</v>
      </c>
      <c r="L187" s="37">
        <v>0.94</v>
      </c>
      <c r="M187" s="37">
        <v>0.85</v>
      </c>
      <c r="N187" s="37">
        <v>0.78</v>
      </c>
      <c r="O187" s="37">
        <v>0.75</v>
      </c>
    </row>
    <row r="188" spans="1:15">
      <c r="A188" s="1">
        <f t="shared" si="2"/>
        <v>9.35</v>
      </c>
      <c r="B188" s="38">
        <v>9</v>
      </c>
      <c r="C188" s="37">
        <v>35</v>
      </c>
      <c r="D188" s="37">
        <v>0.72</v>
      </c>
      <c r="E188" s="37">
        <v>0.8</v>
      </c>
      <c r="F188" s="37">
        <v>0.91</v>
      </c>
      <c r="G188" s="37">
        <v>1.02</v>
      </c>
      <c r="H188" s="37">
        <v>1.0900000000000001</v>
      </c>
      <c r="I188" s="37">
        <v>1.1000000000000001</v>
      </c>
      <c r="J188" s="37">
        <v>1.07</v>
      </c>
      <c r="K188" s="37">
        <v>1</v>
      </c>
      <c r="L188" s="37">
        <v>0.91</v>
      </c>
      <c r="M188" s="37">
        <v>0.81</v>
      </c>
      <c r="N188" s="37">
        <v>0.72</v>
      </c>
      <c r="O188" s="37">
        <v>0.69</v>
      </c>
    </row>
    <row r="189" spans="1:15">
      <c r="A189" s="1">
        <f t="shared" si="2"/>
        <v>9.4</v>
      </c>
      <c r="B189" s="38">
        <v>9</v>
      </c>
      <c r="C189" s="37">
        <v>40</v>
      </c>
      <c r="D189" s="37">
        <v>0.65</v>
      </c>
      <c r="E189" s="37">
        <v>0.75</v>
      </c>
      <c r="F189" s="37">
        <v>0.87</v>
      </c>
      <c r="G189" s="37">
        <v>0.99</v>
      </c>
      <c r="H189" s="37">
        <v>1.08</v>
      </c>
      <c r="I189" s="37">
        <v>1.0900000000000001</v>
      </c>
      <c r="J189" s="37">
        <v>1.05</v>
      </c>
      <c r="K189" s="37">
        <v>0.98</v>
      </c>
      <c r="L189" s="37">
        <v>0.87</v>
      </c>
      <c r="M189" s="37">
        <v>0.76</v>
      </c>
      <c r="N189" s="37">
        <v>0.66</v>
      </c>
      <c r="O189" s="37">
        <v>0.62</v>
      </c>
    </row>
    <row r="190" spans="1:15">
      <c r="A190" s="1">
        <f t="shared" si="2"/>
        <v>9.4499999999999993</v>
      </c>
      <c r="B190" s="38">
        <v>9</v>
      </c>
      <c r="C190" s="37">
        <v>45</v>
      </c>
      <c r="D190" s="37">
        <v>0.59</v>
      </c>
      <c r="E190" s="37">
        <v>0.69</v>
      </c>
      <c r="F190" s="37">
        <v>0.83</v>
      </c>
      <c r="G190" s="37">
        <v>0.96</v>
      </c>
      <c r="H190" s="37">
        <v>1.05</v>
      </c>
      <c r="I190" s="37">
        <v>1.07</v>
      </c>
      <c r="J190" s="37">
        <v>1.03</v>
      </c>
      <c r="K190" s="37">
        <v>0.95</v>
      </c>
      <c r="L190" s="37">
        <v>0.83</v>
      </c>
      <c r="M190" s="37">
        <v>0.7</v>
      </c>
      <c r="N190" s="37">
        <v>0.6</v>
      </c>
      <c r="O190" s="37">
        <v>0.55000000000000004</v>
      </c>
    </row>
    <row r="191" spans="1:15">
      <c r="A191" s="1">
        <f t="shared" si="2"/>
        <v>9.5</v>
      </c>
      <c r="B191" s="38">
        <v>9</v>
      </c>
      <c r="C191" s="37">
        <v>50</v>
      </c>
      <c r="D191" s="37">
        <v>0.52</v>
      </c>
      <c r="E191" s="37">
        <v>0.63</v>
      </c>
      <c r="F191" s="37">
        <v>0.77</v>
      </c>
      <c r="G191" s="37">
        <v>0.92</v>
      </c>
      <c r="H191" s="37">
        <v>1.02</v>
      </c>
      <c r="I191" s="37">
        <v>1.04</v>
      </c>
      <c r="J191" s="37">
        <v>1</v>
      </c>
      <c r="K191" s="37">
        <v>0.91</v>
      </c>
      <c r="L191" s="37">
        <v>0.78</v>
      </c>
      <c r="M191" s="37">
        <v>0.64</v>
      </c>
      <c r="N191" s="37">
        <v>0.53</v>
      </c>
      <c r="O191" s="37">
        <v>0.48</v>
      </c>
    </row>
    <row r="192" spans="1:15">
      <c r="A192" s="1">
        <f t="shared" si="2"/>
        <v>9.5500000000000007</v>
      </c>
      <c r="B192" s="38">
        <v>9</v>
      </c>
      <c r="C192" s="37">
        <v>55</v>
      </c>
      <c r="D192" s="37">
        <v>0.44</v>
      </c>
      <c r="E192" s="37">
        <v>0.54600000000000004</v>
      </c>
      <c r="F192" s="37">
        <v>0.72</v>
      </c>
      <c r="G192" s="37">
        <v>0.88</v>
      </c>
      <c r="H192" s="37">
        <v>0.99</v>
      </c>
      <c r="I192" s="37">
        <v>1.01</v>
      </c>
      <c r="J192" s="37">
        <v>0.96</v>
      </c>
      <c r="K192" s="37">
        <v>0.876</v>
      </c>
      <c r="L192" s="37">
        <v>0.73</v>
      </c>
      <c r="M192" s="37">
        <v>0.56999999999999995</v>
      </c>
      <c r="N192" s="37">
        <v>0.45</v>
      </c>
      <c r="O192" s="37">
        <v>0.4</v>
      </c>
    </row>
    <row r="193" spans="1:15">
      <c r="A193" s="1">
        <f t="shared" si="2"/>
        <v>9.6</v>
      </c>
      <c r="B193" s="38">
        <v>9</v>
      </c>
      <c r="C193" s="37">
        <v>60</v>
      </c>
      <c r="D193" s="37">
        <v>0.36</v>
      </c>
      <c r="E193" s="37">
        <v>0.49</v>
      </c>
      <c r="F193" s="37">
        <v>0.66</v>
      </c>
      <c r="G193" s="37">
        <v>0.83</v>
      </c>
      <c r="H193" s="37">
        <v>0.95</v>
      </c>
      <c r="I193" s="37">
        <v>0.97</v>
      </c>
      <c r="J193" s="37">
        <v>0.92</v>
      </c>
      <c r="K193" s="37">
        <v>0.82</v>
      </c>
      <c r="L193" s="37">
        <v>0.67</v>
      </c>
      <c r="M193" s="37">
        <v>0.51</v>
      </c>
      <c r="N193" s="37">
        <v>0.38</v>
      </c>
      <c r="O193" s="37">
        <v>0.32</v>
      </c>
    </row>
    <row r="194" spans="1:15">
      <c r="A194" s="1">
        <f t="shared" si="2"/>
        <v>9.65</v>
      </c>
      <c r="B194" s="38">
        <v>9</v>
      </c>
      <c r="C194" s="37">
        <v>65</v>
      </c>
      <c r="D194" s="37">
        <v>0.28999999999999998</v>
      </c>
      <c r="E194" s="37">
        <v>0.42</v>
      </c>
      <c r="F194" s="37">
        <v>0.59</v>
      </c>
      <c r="G194" s="37">
        <v>0.77</v>
      </c>
      <c r="H194" s="37">
        <v>0.9</v>
      </c>
      <c r="I194" s="37">
        <v>0.93</v>
      </c>
      <c r="J194" s="37">
        <v>0.87</v>
      </c>
      <c r="K194" s="37">
        <v>0.76</v>
      </c>
      <c r="L194" s="37">
        <v>0.61</v>
      </c>
      <c r="M194" s="37">
        <v>0.44</v>
      </c>
      <c r="N194" s="37">
        <v>0.3</v>
      </c>
      <c r="O194" s="37">
        <v>0.24</v>
      </c>
    </row>
    <row r="195" spans="1:15">
      <c r="A195" s="1">
        <f t="shared" si="2"/>
        <v>9.6999999999999993</v>
      </c>
      <c r="B195" s="38">
        <v>9</v>
      </c>
      <c r="C195" s="37">
        <v>70</v>
      </c>
      <c r="D195" s="37">
        <v>0.2</v>
      </c>
      <c r="E195" s="37">
        <v>0.34</v>
      </c>
      <c r="F195" s="37">
        <v>0.52</v>
      </c>
      <c r="G195" s="37">
        <v>0.71</v>
      </c>
      <c r="H195" s="37">
        <v>0.84</v>
      </c>
      <c r="I195" s="37">
        <v>0.88</v>
      </c>
      <c r="J195" s="37">
        <v>0.82</v>
      </c>
      <c r="K195" s="37">
        <v>0.71</v>
      </c>
      <c r="L195" s="37">
        <v>0.54</v>
      </c>
      <c r="M195" s="37">
        <v>0.36</v>
      </c>
      <c r="N195" s="37">
        <v>0.22</v>
      </c>
      <c r="O195" s="37">
        <v>0.16</v>
      </c>
    </row>
    <row r="196" spans="1:15">
      <c r="A196" s="1">
        <f t="shared" si="2"/>
        <v>9.75</v>
      </c>
      <c r="B196" s="38">
        <v>9</v>
      </c>
      <c r="C196" s="37">
        <v>75</v>
      </c>
      <c r="D196" s="37">
        <v>0.12</v>
      </c>
      <c r="E196" s="37">
        <v>0.26</v>
      </c>
      <c r="F196" s="37">
        <v>0.45</v>
      </c>
      <c r="G196" s="37">
        <v>0.65</v>
      </c>
      <c r="H196" s="37">
        <v>0.78</v>
      </c>
      <c r="I196" s="37">
        <v>0.82</v>
      </c>
      <c r="J196" s="37">
        <v>0.76</v>
      </c>
      <c r="K196" s="37">
        <v>0.64</v>
      </c>
      <c r="L196" s="37">
        <v>0.47</v>
      </c>
      <c r="M196" s="37">
        <v>0.28999999999999998</v>
      </c>
      <c r="N196" s="37">
        <v>0.14000000000000001</v>
      </c>
      <c r="O196" s="37">
        <v>0.11</v>
      </c>
    </row>
    <row r="197" spans="1:15">
      <c r="A197" s="1">
        <f t="shared" si="2"/>
        <v>9.8000000000000007</v>
      </c>
      <c r="B197" s="38">
        <v>9</v>
      </c>
      <c r="C197" s="37">
        <v>80</v>
      </c>
      <c r="D197" s="37">
        <v>0.1</v>
      </c>
      <c r="E197" s="37">
        <v>0.18</v>
      </c>
      <c r="F197" s="37">
        <v>0.38</v>
      </c>
      <c r="G197" s="37">
        <v>0.57999999999999996</v>
      </c>
      <c r="H197" s="37">
        <v>0.72</v>
      </c>
      <c r="I197" s="37">
        <v>0.76</v>
      </c>
      <c r="J197" s="37">
        <v>0.7</v>
      </c>
      <c r="K197" s="37">
        <v>0.57999999999999996</v>
      </c>
      <c r="L197" s="37">
        <v>0.4</v>
      </c>
      <c r="M197" s="37">
        <v>0.21</v>
      </c>
      <c r="N197" s="37">
        <v>0.11</v>
      </c>
      <c r="O197" s="37">
        <v>0.1</v>
      </c>
    </row>
    <row r="198" spans="1:15">
      <c r="A198" s="1">
        <f t="shared" si="2"/>
        <v>9.85</v>
      </c>
      <c r="B198" s="38">
        <v>9</v>
      </c>
      <c r="C198" s="37">
        <v>85</v>
      </c>
      <c r="D198" s="37">
        <v>0.09</v>
      </c>
      <c r="E198" s="37">
        <v>0.1</v>
      </c>
      <c r="F198" s="37">
        <v>0.3</v>
      </c>
      <c r="G198" s="37">
        <v>0.5</v>
      </c>
      <c r="H198" s="37">
        <v>0.65</v>
      </c>
      <c r="I198" s="37">
        <v>0.69</v>
      </c>
      <c r="J198" s="37">
        <v>0.64</v>
      </c>
      <c r="K198" s="37">
        <v>0.51</v>
      </c>
      <c r="L198" s="37">
        <v>0.33</v>
      </c>
      <c r="M198" s="37">
        <v>0.13</v>
      </c>
      <c r="N198" s="37">
        <v>0.1</v>
      </c>
      <c r="O198" s="37">
        <v>0.09</v>
      </c>
    </row>
    <row r="199" spans="1:15">
      <c r="A199" s="1">
        <f t="shared" si="2"/>
        <v>9.9</v>
      </c>
      <c r="B199" s="38">
        <v>9</v>
      </c>
      <c r="C199" s="37">
        <v>90</v>
      </c>
      <c r="D199" s="37">
        <v>0.08</v>
      </c>
      <c r="E199" s="37">
        <v>0.08</v>
      </c>
      <c r="F199" s="37">
        <v>0.22</v>
      </c>
      <c r="G199" s="37">
        <v>0.43</v>
      </c>
      <c r="H199" s="37">
        <v>0.57999999999999996</v>
      </c>
      <c r="I199" s="37">
        <v>0.62</v>
      </c>
      <c r="J199" s="37">
        <v>0.56999999999999995</v>
      </c>
      <c r="K199" s="37">
        <v>0.44</v>
      </c>
      <c r="L199" s="37">
        <v>0.25</v>
      </c>
      <c r="M199" s="37">
        <v>0.11</v>
      </c>
      <c r="N199" s="37">
        <v>0.09</v>
      </c>
      <c r="O199" s="37">
        <v>0.08</v>
      </c>
    </row>
    <row r="200" spans="1:15">
      <c r="A200" s="1">
        <f t="shared" si="2"/>
        <v>10</v>
      </c>
      <c r="B200" s="38">
        <v>10</v>
      </c>
      <c r="C200" s="37">
        <v>0</v>
      </c>
      <c r="D200" s="37">
        <v>1</v>
      </c>
      <c r="E200" s="37">
        <v>1</v>
      </c>
      <c r="F200" s="37">
        <v>1</v>
      </c>
      <c r="G200" s="37">
        <v>1</v>
      </c>
      <c r="H200" s="37">
        <v>1</v>
      </c>
      <c r="I200" s="37">
        <v>1</v>
      </c>
      <c r="J200" s="37">
        <v>1</v>
      </c>
      <c r="K200" s="37">
        <v>1</v>
      </c>
      <c r="L200" s="37">
        <v>1</v>
      </c>
      <c r="M200" s="37">
        <v>1</v>
      </c>
      <c r="N200" s="37">
        <v>1</v>
      </c>
      <c r="O200" s="37">
        <v>1</v>
      </c>
    </row>
    <row r="201" spans="1:15">
      <c r="A201" s="1">
        <f t="shared" si="2"/>
        <v>10.050000000000001</v>
      </c>
      <c r="B201" s="38">
        <v>10</v>
      </c>
      <c r="C201" s="37">
        <v>5</v>
      </c>
      <c r="D201" s="37">
        <v>0.98</v>
      </c>
      <c r="E201" s="37">
        <v>0.99</v>
      </c>
      <c r="F201" s="37">
        <v>1.01</v>
      </c>
      <c r="G201" s="37">
        <v>1.03</v>
      </c>
      <c r="H201" s="37">
        <v>1.04</v>
      </c>
      <c r="I201" s="37">
        <v>1.04</v>
      </c>
      <c r="J201" s="37">
        <v>1.03</v>
      </c>
      <c r="K201" s="37">
        <v>1.02</v>
      </c>
      <c r="L201" s="37">
        <v>1.01</v>
      </c>
      <c r="M201" s="37">
        <v>0.99</v>
      </c>
      <c r="N201" s="37">
        <v>0.98</v>
      </c>
      <c r="O201" s="37">
        <v>0.98</v>
      </c>
    </row>
    <row r="202" spans="1:15">
      <c r="A202" s="1">
        <f t="shared" ref="A202:A265" si="3">B202+C202/100</f>
        <v>10.1</v>
      </c>
      <c r="B202" s="38">
        <v>10</v>
      </c>
      <c r="C202" s="37">
        <v>10</v>
      </c>
      <c r="D202" s="37">
        <v>0.95</v>
      </c>
      <c r="E202" s="37">
        <v>0.98</v>
      </c>
      <c r="F202" s="37">
        <v>1.01</v>
      </c>
      <c r="G202" s="37">
        <v>1.04</v>
      </c>
      <c r="H202" s="37">
        <v>1.06</v>
      </c>
      <c r="I202" s="37">
        <v>1.07</v>
      </c>
      <c r="J202" s="37">
        <v>1.05</v>
      </c>
      <c r="K202" s="37">
        <v>1.04</v>
      </c>
      <c r="L202" s="37">
        <v>1.01</v>
      </c>
      <c r="M202" s="37">
        <v>0.98</v>
      </c>
      <c r="N202" s="37">
        <v>0.95</v>
      </c>
      <c r="O202" s="37">
        <v>0.94</v>
      </c>
    </row>
    <row r="203" spans="1:15">
      <c r="A203" s="1">
        <f t="shared" si="3"/>
        <v>10.15</v>
      </c>
      <c r="B203" s="38">
        <v>10</v>
      </c>
      <c r="C203" s="37">
        <v>15</v>
      </c>
      <c r="D203" s="37">
        <v>0.92</v>
      </c>
      <c r="E203" s="37">
        <v>0.96</v>
      </c>
      <c r="F203" s="37">
        <v>1.01</v>
      </c>
      <c r="G203" s="37">
        <v>1.05</v>
      </c>
      <c r="H203" s="37">
        <v>1.0900000000000001</v>
      </c>
      <c r="I203" s="37">
        <v>1.0900000000000001</v>
      </c>
      <c r="J203" s="37">
        <v>1.07</v>
      </c>
      <c r="K203" s="37">
        <v>1.04</v>
      </c>
      <c r="L203" s="37">
        <v>1</v>
      </c>
      <c r="M203" s="37">
        <v>0.96</v>
      </c>
      <c r="N203" s="37">
        <v>0.92</v>
      </c>
      <c r="O203" s="37">
        <v>0.91</v>
      </c>
    </row>
    <row r="204" spans="1:15">
      <c r="A204" s="1">
        <f t="shared" si="3"/>
        <v>10.199999999999999</v>
      </c>
      <c r="B204" s="38">
        <v>10</v>
      </c>
      <c r="C204" s="37">
        <v>20</v>
      </c>
      <c r="D204" s="37">
        <v>0.88</v>
      </c>
      <c r="E204" s="37">
        <v>0.93</v>
      </c>
      <c r="F204" s="37">
        <v>0.99</v>
      </c>
      <c r="G204" s="37">
        <v>1.06</v>
      </c>
      <c r="H204" s="37">
        <v>1.1000000000000001</v>
      </c>
      <c r="I204" s="37">
        <v>1.1100000000000001</v>
      </c>
      <c r="J204" s="37">
        <v>1.08</v>
      </c>
      <c r="K204" s="37">
        <v>1.04</v>
      </c>
      <c r="L204" s="37">
        <v>0.99</v>
      </c>
      <c r="M204" s="37">
        <v>0.94</v>
      </c>
      <c r="N204" s="37">
        <v>0.88</v>
      </c>
      <c r="O204" s="37">
        <v>0.86</v>
      </c>
    </row>
    <row r="205" spans="1:15">
      <c r="A205" s="1">
        <f t="shared" si="3"/>
        <v>10.25</v>
      </c>
      <c r="B205" s="38">
        <v>10</v>
      </c>
      <c r="C205" s="37">
        <v>25</v>
      </c>
      <c r="D205" s="37">
        <v>0.83</v>
      </c>
      <c r="E205" s="37">
        <v>0.89</v>
      </c>
      <c r="F205" s="37">
        <v>0.98</v>
      </c>
      <c r="G205" s="37">
        <v>1.06</v>
      </c>
      <c r="H205" s="37">
        <v>1.1100000000000001</v>
      </c>
      <c r="I205" s="37">
        <v>1.1100000000000001</v>
      </c>
      <c r="J205" s="37">
        <v>1.0900000000000001</v>
      </c>
      <c r="K205" s="37">
        <v>1.04</v>
      </c>
      <c r="L205" s="37">
        <v>0.97</v>
      </c>
      <c r="M205" s="37">
        <v>0.9</v>
      </c>
      <c r="N205" s="37">
        <v>0.84</v>
      </c>
      <c r="O205" s="37">
        <v>0.81</v>
      </c>
    </row>
    <row r="206" spans="1:15">
      <c r="A206" s="1">
        <f t="shared" si="3"/>
        <v>10.3</v>
      </c>
      <c r="B206" s="38">
        <v>10</v>
      </c>
      <c r="C206" s="37">
        <v>30</v>
      </c>
      <c r="D206" s="37">
        <v>0.78</v>
      </c>
      <c r="E206" s="37">
        <v>0.85</v>
      </c>
      <c r="F206" s="37">
        <v>0.95</v>
      </c>
      <c r="G206" s="37">
        <v>1.05</v>
      </c>
      <c r="H206" s="37">
        <v>1.1100000000000001</v>
      </c>
      <c r="I206" s="37">
        <v>1.1200000000000001</v>
      </c>
      <c r="J206" s="37">
        <v>1.08</v>
      </c>
      <c r="K206" s="37">
        <v>1.03</v>
      </c>
      <c r="L206" s="37">
        <v>0.95</v>
      </c>
      <c r="M206" s="37">
        <v>0.87</v>
      </c>
      <c r="N206" s="37">
        <v>0.79</v>
      </c>
      <c r="O206" s="37">
        <v>0.76</v>
      </c>
    </row>
    <row r="207" spans="1:15">
      <c r="A207" s="1">
        <f t="shared" si="3"/>
        <v>10.35</v>
      </c>
      <c r="B207" s="38">
        <v>10</v>
      </c>
      <c r="C207" s="37">
        <v>35</v>
      </c>
      <c r="D207" s="37">
        <v>0.73</v>
      </c>
      <c r="E207" s="37">
        <v>0.81</v>
      </c>
      <c r="F207" s="37">
        <v>0.92</v>
      </c>
      <c r="G207" s="37">
        <v>1.03</v>
      </c>
      <c r="H207" s="37">
        <v>1.1000000000000001</v>
      </c>
      <c r="I207" s="37">
        <v>1.1100000000000001</v>
      </c>
      <c r="J207" s="37">
        <v>1.08</v>
      </c>
      <c r="K207" s="37">
        <v>1.01</v>
      </c>
      <c r="L207" s="37">
        <v>0.92</v>
      </c>
      <c r="M207" s="37">
        <v>0.82</v>
      </c>
      <c r="N207" s="37">
        <v>0.73</v>
      </c>
      <c r="O207" s="37">
        <v>0.7</v>
      </c>
    </row>
    <row r="208" spans="1:15">
      <c r="A208" s="1">
        <f t="shared" si="3"/>
        <v>10.4</v>
      </c>
      <c r="B208" s="38">
        <v>10</v>
      </c>
      <c r="C208" s="37">
        <v>40</v>
      </c>
      <c r="D208" s="37">
        <v>0.66</v>
      </c>
      <c r="E208" s="37">
        <v>0.76</v>
      </c>
      <c r="F208" s="37">
        <v>0.88</v>
      </c>
      <c r="G208" s="37">
        <v>1</v>
      </c>
      <c r="H208" s="37">
        <v>1.0900000000000001</v>
      </c>
      <c r="I208" s="37">
        <v>1.1000000000000001</v>
      </c>
      <c r="J208" s="37">
        <v>1.06</v>
      </c>
      <c r="K208" s="37">
        <v>0.99</v>
      </c>
      <c r="L208" s="37">
        <v>0.88</v>
      </c>
      <c r="M208" s="37">
        <v>0.77</v>
      </c>
      <c r="N208" s="37">
        <v>0.67</v>
      </c>
      <c r="O208" s="37">
        <v>0.63</v>
      </c>
    </row>
    <row r="209" spans="1:15">
      <c r="A209" s="1">
        <f t="shared" si="3"/>
        <v>10.45</v>
      </c>
      <c r="B209" s="38">
        <v>10</v>
      </c>
      <c r="C209" s="37">
        <v>45</v>
      </c>
      <c r="D209" s="37">
        <v>0.6</v>
      </c>
      <c r="E209" s="37">
        <v>0.7</v>
      </c>
      <c r="F209" s="37">
        <v>0.84</v>
      </c>
      <c r="G209" s="37">
        <v>0.97</v>
      </c>
      <c r="H209" s="37">
        <v>1.07</v>
      </c>
      <c r="I209" s="37">
        <v>1.08</v>
      </c>
      <c r="J209" s="37">
        <v>1.04</v>
      </c>
      <c r="K209" s="37">
        <v>0.95</v>
      </c>
      <c r="L209" s="37">
        <v>0.84</v>
      </c>
      <c r="M209" s="37">
        <v>0.72</v>
      </c>
      <c r="N209" s="37">
        <v>0.61</v>
      </c>
      <c r="O209" s="37">
        <v>0.56000000000000005</v>
      </c>
    </row>
    <row r="210" spans="1:15">
      <c r="A210" s="1">
        <f t="shared" si="3"/>
        <v>10.5</v>
      </c>
      <c r="B210" s="38">
        <v>10</v>
      </c>
      <c r="C210" s="37">
        <v>50</v>
      </c>
      <c r="D210" s="37">
        <v>0.53</v>
      </c>
      <c r="E210" s="37">
        <v>0.64</v>
      </c>
      <c r="F210" s="37">
        <v>0.79</v>
      </c>
      <c r="G210" s="37">
        <v>0.94</v>
      </c>
      <c r="H210" s="37">
        <v>1.04</v>
      </c>
      <c r="I210" s="37">
        <v>1.06</v>
      </c>
      <c r="J210" s="37">
        <v>1.01</v>
      </c>
      <c r="K210" s="37">
        <v>0.92</v>
      </c>
      <c r="L210" s="37">
        <v>0.79</v>
      </c>
      <c r="M210" s="37">
        <v>0.66</v>
      </c>
      <c r="N210" s="37">
        <v>0.54</v>
      </c>
      <c r="O210" s="37">
        <v>0.49</v>
      </c>
    </row>
    <row r="211" spans="1:15">
      <c r="A211" s="1">
        <f t="shared" si="3"/>
        <v>10.55</v>
      </c>
      <c r="B211" s="38">
        <v>10</v>
      </c>
      <c r="C211" s="37">
        <v>55</v>
      </c>
      <c r="D211" s="37">
        <v>0.45</v>
      </c>
      <c r="E211" s="37">
        <v>0.56999999999999995</v>
      </c>
      <c r="F211" s="37">
        <v>0.73</v>
      </c>
      <c r="G211" s="37">
        <v>0.89</v>
      </c>
      <c r="H211" s="37">
        <v>1</v>
      </c>
      <c r="I211" s="37">
        <v>1.02</v>
      </c>
      <c r="J211" s="37">
        <v>0.97</v>
      </c>
      <c r="K211" s="37">
        <v>0.88</v>
      </c>
      <c r="L211" s="37">
        <v>0.74</v>
      </c>
      <c r="M211" s="37">
        <v>0.6</v>
      </c>
      <c r="N211" s="37">
        <v>0.46</v>
      </c>
      <c r="O211" s="37">
        <v>0.41</v>
      </c>
    </row>
    <row r="212" spans="1:15">
      <c r="A212" s="1">
        <f t="shared" si="3"/>
        <v>10.6</v>
      </c>
      <c r="B212" s="38">
        <v>10</v>
      </c>
      <c r="C212" s="37">
        <v>60</v>
      </c>
      <c r="D212" s="37">
        <v>0.38</v>
      </c>
      <c r="E212" s="37">
        <v>0.5</v>
      </c>
      <c r="F212" s="37">
        <v>0.67</v>
      </c>
      <c r="G212" s="37">
        <v>0.84</v>
      </c>
      <c r="H212" s="37">
        <v>0.96</v>
      </c>
      <c r="I212" s="37">
        <v>0.99</v>
      </c>
      <c r="J212" s="37">
        <v>0.93</v>
      </c>
      <c r="K212" s="37">
        <v>0.83</v>
      </c>
      <c r="L212" s="37">
        <v>0.68</v>
      </c>
      <c r="M212" s="37">
        <v>0.53</v>
      </c>
      <c r="N212" s="37">
        <v>0.39</v>
      </c>
      <c r="O212" s="37">
        <v>0.34</v>
      </c>
    </row>
    <row r="213" spans="1:15">
      <c r="A213" s="1">
        <f t="shared" si="3"/>
        <v>10.65</v>
      </c>
      <c r="B213" s="38">
        <v>10</v>
      </c>
      <c r="C213" s="37">
        <v>65</v>
      </c>
      <c r="D213" s="37">
        <v>0.3</v>
      </c>
      <c r="E213" s="37">
        <v>0.43</v>
      </c>
      <c r="F213" s="37">
        <v>0.61</v>
      </c>
      <c r="G213" s="37">
        <v>0.79</v>
      </c>
      <c r="H213" s="37">
        <v>0.91</v>
      </c>
      <c r="I213" s="37">
        <v>0.94</v>
      </c>
      <c r="J213" s="37">
        <v>0.89</v>
      </c>
      <c r="K213" s="37">
        <v>0.78</v>
      </c>
      <c r="L213" s="37">
        <v>0.62</v>
      </c>
      <c r="M213" s="37">
        <v>0.46</v>
      </c>
      <c r="N213" s="37">
        <v>0.31</v>
      </c>
      <c r="O213" s="37">
        <v>0.26</v>
      </c>
    </row>
    <row r="214" spans="1:15">
      <c r="A214" s="1">
        <f t="shared" si="3"/>
        <v>10.7</v>
      </c>
      <c r="B214" s="38">
        <v>10</v>
      </c>
      <c r="C214" s="37">
        <v>70</v>
      </c>
      <c r="D214" s="37">
        <v>0.22</v>
      </c>
      <c r="E214" s="37">
        <v>0.35</v>
      </c>
      <c r="F214" s="37">
        <v>0.54</v>
      </c>
      <c r="G214" s="37">
        <v>0.73</v>
      </c>
      <c r="H214" s="37">
        <v>0.86</v>
      </c>
      <c r="I214" s="37">
        <v>0.89</v>
      </c>
      <c r="J214" s="37">
        <v>0.83</v>
      </c>
      <c r="K214" s="37">
        <v>0.72</v>
      </c>
      <c r="L214" s="37">
        <v>0.55000000000000004</v>
      </c>
      <c r="M214" s="37">
        <v>0.39</v>
      </c>
      <c r="N214" s="37">
        <v>0.23</v>
      </c>
      <c r="O214" s="37">
        <v>0.17</v>
      </c>
    </row>
    <row r="215" spans="1:15">
      <c r="A215" s="1">
        <f t="shared" si="3"/>
        <v>10.75</v>
      </c>
      <c r="B215" s="38">
        <v>10</v>
      </c>
      <c r="C215" s="37">
        <v>75</v>
      </c>
      <c r="D215" s="37">
        <v>0.14000000000000001</v>
      </c>
      <c r="E215" s="37">
        <v>0.28000000000000003</v>
      </c>
      <c r="F215" s="37">
        <v>0.47</v>
      </c>
      <c r="G215" s="37">
        <v>0.66</v>
      </c>
      <c r="H215" s="37">
        <v>0.8</v>
      </c>
      <c r="I215" s="37">
        <v>0.84</v>
      </c>
      <c r="J215" s="37">
        <v>0.78</v>
      </c>
      <c r="K215" s="37">
        <v>0.66</v>
      </c>
      <c r="L215" s="37">
        <v>0.49</v>
      </c>
      <c r="M215" s="37">
        <v>0.31</v>
      </c>
      <c r="N215" s="37">
        <v>0.15</v>
      </c>
      <c r="O215" s="37">
        <v>0.11</v>
      </c>
    </row>
    <row r="216" spans="1:15">
      <c r="A216" s="1">
        <f t="shared" si="3"/>
        <v>10.8</v>
      </c>
      <c r="B216" s="38">
        <v>10</v>
      </c>
      <c r="C216" s="37">
        <v>80</v>
      </c>
      <c r="D216" s="37">
        <v>0.09</v>
      </c>
      <c r="E216" s="37">
        <v>0.2</v>
      </c>
      <c r="F216" s="37">
        <v>0.39</v>
      </c>
      <c r="G216" s="37">
        <v>0.59</v>
      </c>
      <c r="H216" s="37">
        <v>0.74</v>
      </c>
      <c r="I216" s="37">
        <v>0.77</v>
      </c>
      <c r="J216" s="37">
        <v>0.72</v>
      </c>
      <c r="K216" s="37">
        <v>0.59</v>
      </c>
      <c r="L216" s="37">
        <v>0.41</v>
      </c>
      <c r="M216" s="37">
        <v>0.24</v>
      </c>
      <c r="N216" s="37">
        <v>0.11</v>
      </c>
      <c r="O216" s="37">
        <v>0.1</v>
      </c>
    </row>
    <row r="217" spans="1:15">
      <c r="A217" s="1">
        <f t="shared" si="3"/>
        <v>10.85</v>
      </c>
      <c r="B217" s="38">
        <v>10</v>
      </c>
      <c r="C217" s="37">
        <v>85</v>
      </c>
      <c r="D217" s="37">
        <v>0.09</v>
      </c>
      <c r="E217" s="37">
        <v>0.12</v>
      </c>
      <c r="F217" s="37">
        <v>0.32</v>
      </c>
      <c r="G217" s="37">
        <v>0.52</v>
      </c>
      <c r="H217" s="37">
        <v>0.67</v>
      </c>
      <c r="I217" s="37">
        <v>0.71</v>
      </c>
      <c r="J217" s="37">
        <v>0.65</v>
      </c>
      <c r="K217" s="37">
        <v>0.52</v>
      </c>
      <c r="L217" s="37">
        <v>0.34</v>
      </c>
      <c r="M217" s="37">
        <v>0.16</v>
      </c>
      <c r="N217" s="37">
        <v>0.1</v>
      </c>
      <c r="O217" s="37">
        <v>0.09</v>
      </c>
    </row>
    <row r="218" spans="1:15">
      <c r="A218" s="1">
        <f t="shared" si="3"/>
        <v>10.9</v>
      </c>
      <c r="B218" s="38">
        <v>10</v>
      </c>
      <c r="C218" s="37">
        <v>90</v>
      </c>
      <c r="D218" s="37">
        <v>0.08</v>
      </c>
      <c r="E218" s="37">
        <v>0.08</v>
      </c>
      <c r="F218" s="37">
        <v>0.24</v>
      </c>
      <c r="G218" s="37">
        <v>0.44</v>
      </c>
      <c r="H218" s="37">
        <v>0.6</v>
      </c>
      <c r="I218" s="37">
        <v>0.64</v>
      </c>
      <c r="J218" s="37">
        <v>0.57999999999999996</v>
      </c>
      <c r="K218" s="37">
        <v>0.45</v>
      </c>
      <c r="L218" s="37">
        <v>0.27</v>
      </c>
      <c r="M218" s="37">
        <v>0.11</v>
      </c>
      <c r="N218" s="37">
        <v>0.09</v>
      </c>
      <c r="O218" s="37">
        <v>0.08</v>
      </c>
    </row>
    <row r="219" spans="1:15">
      <c r="A219" s="1">
        <f t="shared" si="3"/>
        <v>11</v>
      </c>
      <c r="B219" s="38">
        <v>11</v>
      </c>
      <c r="C219" s="37">
        <v>0</v>
      </c>
      <c r="D219" s="37">
        <v>1</v>
      </c>
      <c r="E219" s="37">
        <v>1</v>
      </c>
      <c r="F219" s="37">
        <v>1</v>
      </c>
      <c r="G219" s="37">
        <v>1</v>
      </c>
      <c r="H219" s="37">
        <v>1</v>
      </c>
      <c r="I219" s="37">
        <v>1</v>
      </c>
      <c r="J219" s="37">
        <v>1</v>
      </c>
      <c r="K219" s="37">
        <v>1</v>
      </c>
      <c r="L219" s="37">
        <v>1</v>
      </c>
      <c r="M219" s="37">
        <v>1</v>
      </c>
      <c r="N219" s="37">
        <v>1</v>
      </c>
      <c r="O219" s="37">
        <v>1</v>
      </c>
    </row>
    <row r="220" spans="1:15">
      <c r="A220" s="1">
        <f t="shared" si="3"/>
        <v>11.05</v>
      </c>
      <c r="B220" s="38">
        <v>11</v>
      </c>
      <c r="C220" s="37">
        <v>5</v>
      </c>
      <c r="D220" s="37">
        <v>0.98</v>
      </c>
      <c r="E220" s="37">
        <v>0.99</v>
      </c>
      <c r="F220" s="37">
        <v>1.01</v>
      </c>
      <c r="G220" s="37">
        <v>1.03</v>
      </c>
      <c r="H220" s="37">
        <v>1.04</v>
      </c>
      <c r="I220" s="37">
        <v>1.04</v>
      </c>
      <c r="J220" s="37">
        <v>1.03</v>
      </c>
      <c r="K220" s="37">
        <v>1.02</v>
      </c>
      <c r="L220" s="37">
        <v>1.01</v>
      </c>
      <c r="M220" s="37">
        <v>0.99</v>
      </c>
      <c r="N220" s="37">
        <v>0.98</v>
      </c>
      <c r="O220" s="37">
        <v>0.98</v>
      </c>
    </row>
    <row r="221" spans="1:15">
      <c r="A221" s="1">
        <f t="shared" si="3"/>
        <v>11.1</v>
      </c>
      <c r="B221" s="38">
        <v>11</v>
      </c>
      <c r="C221" s="37">
        <v>10</v>
      </c>
      <c r="D221" s="37">
        <v>0.96</v>
      </c>
      <c r="E221" s="37">
        <v>0.98</v>
      </c>
      <c r="F221" s="37">
        <v>1.01</v>
      </c>
      <c r="G221" s="37">
        <v>1.05</v>
      </c>
      <c r="H221" s="37">
        <v>1.07</v>
      </c>
      <c r="I221" s="37">
        <v>1.07</v>
      </c>
      <c r="J221" s="37">
        <v>1.06</v>
      </c>
      <c r="K221" s="37">
        <v>1.04</v>
      </c>
      <c r="L221" s="37">
        <v>1.01</v>
      </c>
      <c r="M221" s="37">
        <v>0.98</v>
      </c>
      <c r="N221" s="37">
        <v>0.96</v>
      </c>
      <c r="O221" s="37">
        <v>0.95</v>
      </c>
    </row>
    <row r="222" spans="1:15">
      <c r="A222" s="1">
        <f t="shared" si="3"/>
        <v>11.15</v>
      </c>
      <c r="B222" s="38">
        <v>11</v>
      </c>
      <c r="C222" s="37">
        <v>15</v>
      </c>
      <c r="D222" s="37">
        <v>0.92</v>
      </c>
      <c r="E222" s="37">
        <v>0.96</v>
      </c>
      <c r="F222" s="37">
        <v>1.01</v>
      </c>
      <c r="G222" s="37">
        <v>1.06</v>
      </c>
      <c r="H222" s="37">
        <v>1.0900000000000001</v>
      </c>
      <c r="I222" s="37">
        <v>1.0900000000000001</v>
      </c>
      <c r="J222" s="37">
        <v>1.08</v>
      </c>
      <c r="K222" s="37">
        <v>1.05</v>
      </c>
      <c r="L222" s="37">
        <v>1.01</v>
      </c>
      <c r="M222" s="37">
        <v>0.96</v>
      </c>
      <c r="N222" s="37">
        <v>0.93</v>
      </c>
      <c r="O222" s="37">
        <v>0.91</v>
      </c>
    </row>
    <row r="223" spans="1:15">
      <c r="A223" s="1">
        <f t="shared" si="3"/>
        <v>11.2</v>
      </c>
      <c r="B223" s="38">
        <v>11</v>
      </c>
      <c r="C223" s="37">
        <v>20</v>
      </c>
      <c r="D223" s="37">
        <v>0.89</v>
      </c>
      <c r="E223" s="37">
        <v>0.93</v>
      </c>
      <c r="F223" s="37">
        <v>1</v>
      </c>
      <c r="G223" s="37">
        <v>1.06</v>
      </c>
      <c r="H223" s="37">
        <v>1.1100000000000001</v>
      </c>
      <c r="I223" s="37">
        <v>1.1100000000000001</v>
      </c>
      <c r="J223" s="37">
        <v>1.0900000000000001</v>
      </c>
      <c r="K223" s="37">
        <v>1.05</v>
      </c>
      <c r="L223" s="37">
        <v>1</v>
      </c>
      <c r="M223" s="37">
        <v>0.94</v>
      </c>
      <c r="N223" s="37">
        <v>0.89</v>
      </c>
      <c r="O223" s="37">
        <v>0.87</v>
      </c>
    </row>
    <row r="224" spans="1:15">
      <c r="A224" s="1">
        <f t="shared" si="3"/>
        <v>11.25</v>
      </c>
      <c r="B224" s="38">
        <v>11</v>
      </c>
      <c r="C224" s="37">
        <v>25</v>
      </c>
      <c r="D224" s="37">
        <v>0.84</v>
      </c>
      <c r="E224" s="37">
        <v>0.9</v>
      </c>
      <c r="F224" s="37">
        <v>0.98</v>
      </c>
      <c r="G224" s="37">
        <v>1.06</v>
      </c>
      <c r="H224" s="37">
        <v>1.1100000000000001</v>
      </c>
      <c r="I224" s="37">
        <v>1.1200000000000001</v>
      </c>
      <c r="J224" s="37">
        <v>1.0900000000000001</v>
      </c>
      <c r="K224" s="37">
        <v>1.05</v>
      </c>
      <c r="L224" s="37">
        <v>0.98</v>
      </c>
      <c r="M224" s="37">
        <v>0.9</v>
      </c>
      <c r="N224" s="37">
        <v>0.84</v>
      </c>
      <c r="O224" s="37">
        <v>0.82</v>
      </c>
    </row>
    <row r="225" spans="1:15">
      <c r="A225" s="1">
        <f t="shared" si="3"/>
        <v>11.3</v>
      </c>
      <c r="B225" s="38">
        <v>11</v>
      </c>
      <c r="C225" s="37">
        <v>30</v>
      </c>
      <c r="D225" s="37">
        <v>0.79</v>
      </c>
      <c r="E225" s="37">
        <v>0.86</v>
      </c>
      <c r="F225" s="37">
        <v>0.96</v>
      </c>
      <c r="G225" s="37">
        <v>1.05</v>
      </c>
      <c r="H225" s="37">
        <v>1.1200000000000001</v>
      </c>
      <c r="I225" s="37">
        <v>1.1200000000000001</v>
      </c>
      <c r="J225" s="37">
        <v>1.0900000000000001</v>
      </c>
      <c r="K225" s="37">
        <v>1.03</v>
      </c>
      <c r="L225" s="37">
        <v>0.95</v>
      </c>
      <c r="M225" s="37">
        <v>0.87</v>
      </c>
      <c r="N225" s="37">
        <v>0.8</v>
      </c>
      <c r="O225" s="37">
        <v>0.77</v>
      </c>
    </row>
    <row r="226" spans="1:15">
      <c r="A226" s="1">
        <f t="shared" si="3"/>
        <v>11.35</v>
      </c>
      <c r="B226" s="38">
        <v>11</v>
      </c>
      <c r="C226" s="37">
        <v>35</v>
      </c>
      <c r="D226" s="37">
        <v>0.73</v>
      </c>
      <c r="E226" s="37">
        <v>0.82</v>
      </c>
      <c r="F226" s="37">
        <v>0.93</v>
      </c>
      <c r="G226" s="37">
        <v>1.04</v>
      </c>
      <c r="H226" s="37">
        <v>1.1100000000000001</v>
      </c>
      <c r="I226" s="37">
        <v>1.1200000000000001</v>
      </c>
      <c r="J226" s="37">
        <v>1.08</v>
      </c>
      <c r="K226" s="37">
        <v>1.02</v>
      </c>
      <c r="L226" s="37">
        <v>0.92</v>
      </c>
      <c r="M226" s="37">
        <v>0.82</v>
      </c>
      <c r="N226" s="37">
        <v>0.74</v>
      </c>
      <c r="O226" s="37">
        <v>0.71</v>
      </c>
    </row>
    <row r="227" spans="1:15">
      <c r="A227" s="1">
        <f t="shared" si="3"/>
        <v>11.4</v>
      </c>
      <c r="B227" s="38">
        <v>11</v>
      </c>
      <c r="C227" s="37">
        <v>40</v>
      </c>
      <c r="D227" s="37">
        <v>0.67</v>
      </c>
      <c r="E227" s="37">
        <v>0.77</v>
      </c>
      <c r="F227" s="37">
        <v>0.89</v>
      </c>
      <c r="G227" s="37">
        <v>1.01</v>
      </c>
      <c r="H227" s="37">
        <v>1.1000000000000001</v>
      </c>
      <c r="I227" s="37">
        <v>1.1100000000000001</v>
      </c>
      <c r="J227" s="37">
        <v>1.07</v>
      </c>
      <c r="K227" s="37">
        <v>0.99</v>
      </c>
      <c r="L227" s="37">
        <v>0.89</v>
      </c>
      <c r="M227" s="37">
        <v>0.77</v>
      </c>
      <c r="N227" s="37">
        <v>0.68</v>
      </c>
      <c r="O227" s="37">
        <v>0.64</v>
      </c>
    </row>
    <row r="228" spans="1:15">
      <c r="A228" s="1">
        <f t="shared" si="3"/>
        <v>11.45</v>
      </c>
      <c r="B228" s="38">
        <v>11</v>
      </c>
      <c r="C228" s="37">
        <v>45</v>
      </c>
      <c r="D228" s="37">
        <v>0.61</v>
      </c>
      <c r="E228" s="37">
        <v>0.71</v>
      </c>
      <c r="F228" s="37">
        <v>0.85</v>
      </c>
      <c r="G228" s="37">
        <v>0.98</v>
      </c>
      <c r="H228" s="37">
        <v>1.08</v>
      </c>
      <c r="I228" s="37">
        <v>1.0900000000000001</v>
      </c>
      <c r="J228" s="37">
        <v>1.05</v>
      </c>
      <c r="K228" s="37">
        <v>0.96</v>
      </c>
      <c r="L228" s="37">
        <v>0.85</v>
      </c>
      <c r="M228" s="37">
        <v>0.72</v>
      </c>
      <c r="N228" s="37">
        <v>0.62</v>
      </c>
      <c r="O228" s="37">
        <v>0.56999999999999995</v>
      </c>
    </row>
    <row r="229" spans="1:15">
      <c r="A229" s="1">
        <f t="shared" si="3"/>
        <v>11.5</v>
      </c>
      <c r="B229" s="38">
        <v>11</v>
      </c>
      <c r="C229" s="37">
        <v>50</v>
      </c>
      <c r="D229" s="37">
        <v>0.54</v>
      </c>
      <c r="E229" s="37">
        <v>0.65</v>
      </c>
      <c r="F229" s="37">
        <v>0.8</v>
      </c>
      <c r="G229" s="37">
        <v>0.95</v>
      </c>
      <c r="H229" s="37">
        <v>1.05</v>
      </c>
      <c r="I229" s="37">
        <v>1.07</v>
      </c>
      <c r="J229" s="37">
        <v>1.02</v>
      </c>
      <c r="K229" s="37">
        <v>0.93</v>
      </c>
      <c r="L229" s="37">
        <v>0.8</v>
      </c>
      <c r="M229" s="37">
        <v>0.66</v>
      </c>
      <c r="N229" s="37">
        <v>0.55000000000000004</v>
      </c>
      <c r="O229" s="37">
        <v>0.5</v>
      </c>
    </row>
    <row r="230" spans="1:15">
      <c r="A230" s="1">
        <f t="shared" si="3"/>
        <v>11.55</v>
      </c>
      <c r="B230" s="38">
        <v>11</v>
      </c>
      <c r="C230" s="37">
        <v>55</v>
      </c>
      <c r="D230" s="37">
        <v>0.47</v>
      </c>
      <c r="E230" s="37">
        <v>0.57999999999999996</v>
      </c>
      <c r="F230" s="37">
        <v>0.74</v>
      </c>
      <c r="G230" s="37">
        <v>0.9</v>
      </c>
      <c r="H230" s="37">
        <v>1.01</v>
      </c>
      <c r="I230" s="37">
        <v>1.04</v>
      </c>
      <c r="J230" s="37">
        <v>0.98</v>
      </c>
      <c r="K230" s="37">
        <v>0.89</v>
      </c>
      <c r="L230" s="37">
        <v>0.75</v>
      </c>
      <c r="M230" s="37">
        <v>0.6</v>
      </c>
      <c r="N230" s="37">
        <v>0.48</v>
      </c>
      <c r="O230" s="37">
        <v>0.43</v>
      </c>
    </row>
    <row r="231" spans="1:15">
      <c r="A231" s="1">
        <f t="shared" si="3"/>
        <v>11.6</v>
      </c>
      <c r="B231" s="38">
        <v>11</v>
      </c>
      <c r="C231" s="37">
        <v>60</v>
      </c>
      <c r="D231" s="37">
        <v>0.39</v>
      </c>
      <c r="E231" s="37">
        <v>0.51</v>
      </c>
      <c r="F231" s="37">
        <v>0.68</v>
      </c>
      <c r="G231" s="37">
        <v>0.86</v>
      </c>
      <c r="H231" s="37">
        <v>0.97</v>
      </c>
      <c r="I231" s="37">
        <v>1</v>
      </c>
      <c r="J231" s="37">
        <v>0.94</v>
      </c>
      <c r="K231" s="37">
        <v>0.84</v>
      </c>
      <c r="L231" s="37">
        <v>0.69</v>
      </c>
      <c r="M231" s="37">
        <v>0.53</v>
      </c>
      <c r="N231" s="37">
        <v>0.4</v>
      </c>
      <c r="O231" s="37">
        <v>0.35</v>
      </c>
    </row>
    <row r="232" spans="1:15">
      <c r="A232" s="1">
        <f t="shared" si="3"/>
        <v>11.65</v>
      </c>
      <c r="B232" s="38">
        <v>11</v>
      </c>
      <c r="C232" s="37">
        <v>65</v>
      </c>
      <c r="D232" s="37">
        <v>0.31</v>
      </c>
      <c r="E232" s="37">
        <v>0.44</v>
      </c>
      <c r="F232" s="37">
        <v>0.62</v>
      </c>
      <c r="G232" s="37">
        <v>0.8</v>
      </c>
      <c r="H232" s="37">
        <v>0.93</v>
      </c>
      <c r="I232" s="37">
        <v>0.95</v>
      </c>
      <c r="J232" s="37">
        <v>0.9</v>
      </c>
      <c r="K232" s="37">
        <v>0.79</v>
      </c>
      <c r="L232" s="37">
        <v>0.63</v>
      </c>
      <c r="M232" s="37">
        <v>0.46</v>
      </c>
      <c r="N232" s="37">
        <v>0.33</v>
      </c>
      <c r="O232" s="37">
        <v>0.27</v>
      </c>
    </row>
    <row r="233" spans="1:15">
      <c r="A233" s="1">
        <f t="shared" si="3"/>
        <v>11.7</v>
      </c>
      <c r="B233" s="38">
        <v>11</v>
      </c>
      <c r="C233" s="37">
        <v>70</v>
      </c>
      <c r="D233" s="37">
        <v>0.23</v>
      </c>
      <c r="E233" s="37">
        <v>0.37</v>
      </c>
      <c r="F233" s="37">
        <v>0.55000000000000004</v>
      </c>
      <c r="G233" s="37">
        <v>0.74</v>
      </c>
      <c r="H233" s="37">
        <v>0.87</v>
      </c>
      <c r="I233" s="37">
        <v>0.91</v>
      </c>
      <c r="J233" s="37">
        <v>0.85</v>
      </c>
      <c r="K233" s="37">
        <v>0.73</v>
      </c>
      <c r="L233" s="37">
        <v>0.56999999999999995</v>
      </c>
      <c r="M233" s="37">
        <v>0.39</v>
      </c>
      <c r="N233" s="37">
        <v>0.25</v>
      </c>
      <c r="O233" s="37">
        <v>0.19</v>
      </c>
    </row>
    <row r="234" spans="1:15">
      <c r="A234" s="1">
        <f t="shared" si="3"/>
        <v>11.75</v>
      </c>
      <c r="B234" s="38">
        <v>11</v>
      </c>
      <c r="C234" s="37">
        <v>75</v>
      </c>
      <c r="D234" s="37">
        <v>0.15</v>
      </c>
      <c r="E234" s="37">
        <v>0.28999999999999998</v>
      </c>
      <c r="F234" s="37">
        <v>0.48</v>
      </c>
      <c r="G234" s="37">
        <v>0.68</v>
      </c>
      <c r="H234" s="37">
        <v>0.82</v>
      </c>
      <c r="I234" s="37">
        <v>0.85</v>
      </c>
      <c r="J234" s="37">
        <v>0.79</v>
      </c>
      <c r="K234" s="37">
        <v>0.67</v>
      </c>
      <c r="L234" s="37">
        <v>0.5</v>
      </c>
      <c r="M234" s="37">
        <v>0.31</v>
      </c>
      <c r="N234" s="37">
        <v>0.17</v>
      </c>
      <c r="O234" s="37">
        <v>0.11</v>
      </c>
    </row>
    <row r="235" spans="1:15">
      <c r="A235" s="1">
        <f t="shared" si="3"/>
        <v>11.8</v>
      </c>
      <c r="B235" s="38">
        <v>11</v>
      </c>
      <c r="C235" s="37">
        <v>80</v>
      </c>
      <c r="D235" s="37">
        <v>0.09</v>
      </c>
      <c r="E235" s="37">
        <v>0.21</v>
      </c>
      <c r="F235" s="37">
        <v>0.41</v>
      </c>
      <c r="G235" s="37">
        <v>0.61</v>
      </c>
      <c r="H235" s="37">
        <v>0.75</v>
      </c>
      <c r="I235" s="37">
        <v>0.79</v>
      </c>
      <c r="J235" s="37">
        <v>0.73</v>
      </c>
      <c r="K235" s="37">
        <v>0.61</v>
      </c>
      <c r="L235" s="37">
        <v>0.43</v>
      </c>
      <c r="M235" s="37">
        <v>0.24</v>
      </c>
      <c r="N235" s="37">
        <v>11</v>
      </c>
      <c r="O235" s="37">
        <v>0.1</v>
      </c>
    </row>
    <row r="236" spans="1:15">
      <c r="A236" s="1">
        <f t="shared" si="3"/>
        <v>11.85</v>
      </c>
      <c r="B236" s="38">
        <v>11</v>
      </c>
      <c r="C236" s="37">
        <v>85</v>
      </c>
      <c r="D236" s="37">
        <v>0.09</v>
      </c>
      <c r="E236" s="37">
        <v>0.13</v>
      </c>
      <c r="F236" s="37">
        <v>0.33</v>
      </c>
      <c r="G236" s="37">
        <v>0.54</v>
      </c>
      <c r="H236" s="37">
        <v>0.69</v>
      </c>
      <c r="I236" s="37">
        <v>0.73</v>
      </c>
      <c r="J236" s="37">
        <v>0.67</v>
      </c>
      <c r="K236" s="37">
        <v>0.54</v>
      </c>
      <c r="L236" s="37">
        <v>0.35</v>
      </c>
      <c r="M236" s="37">
        <v>0.16</v>
      </c>
      <c r="N236" s="37">
        <v>0.1</v>
      </c>
      <c r="O236" s="37">
        <v>0.09</v>
      </c>
    </row>
    <row r="237" spans="1:15">
      <c r="A237" s="1">
        <f t="shared" si="3"/>
        <v>11.9</v>
      </c>
      <c r="B237" s="38">
        <v>11</v>
      </c>
      <c r="C237" s="37">
        <v>90</v>
      </c>
      <c r="D237" s="37">
        <v>0.08</v>
      </c>
      <c r="E237" s="37">
        <v>0.08</v>
      </c>
      <c r="F237" s="37">
        <v>0.25</v>
      </c>
      <c r="G237" s="37">
        <v>0.46</v>
      </c>
      <c r="H237" s="37">
        <v>0.61</v>
      </c>
      <c r="I237" s="37">
        <v>0.66</v>
      </c>
      <c r="J237" s="37">
        <v>0.6</v>
      </c>
      <c r="K237" s="37">
        <v>0.47</v>
      </c>
      <c r="L237" s="37">
        <v>0.28000000000000003</v>
      </c>
      <c r="M237" s="37">
        <v>0.11</v>
      </c>
      <c r="N237" s="37">
        <v>0.09</v>
      </c>
      <c r="O237" s="37">
        <v>0.08</v>
      </c>
    </row>
    <row r="238" spans="1:15">
      <c r="A238" s="1">
        <f t="shared" si="3"/>
        <v>12</v>
      </c>
      <c r="B238" s="38">
        <v>12</v>
      </c>
      <c r="C238" s="39">
        <v>0</v>
      </c>
      <c r="D238" s="37">
        <v>1</v>
      </c>
      <c r="E238" s="37">
        <v>1</v>
      </c>
      <c r="F238" s="37">
        <v>1</v>
      </c>
      <c r="G238" s="37">
        <v>1</v>
      </c>
      <c r="H238" s="37">
        <v>1</v>
      </c>
      <c r="I238" s="37">
        <v>1</v>
      </c>
      <c r="J238" s="37">
        <v>1</v>
      </c>
      <c r="K238" s="37">
        <v>1</v>
      </c>
      <c r="L238" s="37">
        <v>1</v>
      </c>
      <c r="M238" s="37">
        <v>1</v>
      </c>
      <c r="N238" s="37">
        <v>1</v>
      </c>
      <c r="O238" s="37">
        <v>1</v>
      </c>
    </row>
    <row r="239" spans="1:15">
      <c r="A239" s="1">
        <f t="shared" si="3"/>
        <v>12.05</v>
      </c>
      <c r="B239" s="38">
        <v>12</v>
      </c>
      <c r="C239" s="39">
        <v>5</v>
      </c>
      <c r="D239" s="37">
        <v>0.96</v>
      </c>
      <c r="E239" s="37">
        <v>0.97</v>
      </c>
      <c r="F239" s="37">
        <v>0.98</v>
      </c>
      <c r="G239" s="37">
        <v>1</v>
      </c>
      <c r="H239" s="37">
        <v>1.01</v>
      </c>
      <c r="I239" s="37">
        <v>1.02</v>
      </c>
      <c r="J239" s="37">
        <v>1.03</v>
      </c>
      <c r="K239" s="37">
        <v>1.02</v>
      </c>
      <c r="L239" s="37">
        <v>1.01</v>
      </c>
      <c r="M239" s="37">
        <v>1</v>
      </c>
      <c r="N239" s="37">
        <v>0.98</v>
      </c>
      <c r="O239" s="37">
        <v>0.97</v>
      </c>
    </row>
    <row r="240" spans="1:15">
      <c r="A240" s="1">
        <f t="shared" si="3"/>
        <v>12.1</v>
      </c>
      <c r="B240" s="38">
        <v>12</v>
      </c>
      <c r="C240" s="39">
        <v>10</v>
      </c>
      <c r="D240" s="37">
        <v>0.92</v>
      </c>
      <c r="E240" s="37">
        <v>0.93</v>
      </c>
      <c r="F240" s="37">
        <v>0.95</v>
      </c>
      <c r="G240" s="37">
        <v>0.99</v>
      </c>
      <c r="H240" s="37">
        <v>1.02</v>
      </c>
      <c r="I240" s="37">
        <v>1.04</v>
      </c>
      <c r="J240" s="37">
        <v>1.06</v>
      </c>
      <c r="K240" s="37">
        <v>1.03</v>
      </c>
      <c r="L240" s="37">
        <v>1.01</v>
      </c>
      <c r="M240" s="37">
        <v>0.99</v>
      </c>
      <c r="N240" s="37">
        <v>0.96</v>
      </c>
      <c r="O240" s="37">
        <v>0.93</v>
      </c>
    </row>
    <row r="241" spans="1:15">
      <c r="A241" s="1">
        <f t="shared" si="3"/>
        <v>12.15</v>
      </c>
      <c r="B241" s="38">
        <v>12</v>
      </c>
      <c r="C241" s="39">
        <v>15</v>
      </c>
      <c r="D241" s="37">
        <v>0.87</v>
      </c>
      <c r="E241" s="37">
        <v>0.88</v>
      </c>
      <c r="F241" s="37">
        <v>0.92</v>
      </c>
      <c r="G241" s="37">
        <v>0.97</v>
      </c>
      <c r="H241" s="37">
        <v>1.02</v>
      </c>
      <c r="I241" s="37">
        <v>1.05</v>
      </c>
      <c r="J241" s="37">
        <v>1.08</v>
      </c>
      <c r="K241" s="37">
        <v>1.04</v>
      </c>
      <c r="L241" s="37">
        <v>1.01</v>
      </c>
      <c r="M241" s="37">
        <v>0.97</v>
      </c>
      <c r="N241" s="37">
        <v>0.92</v>
      </c>
      <c r="O241" s="37">
        <v>0.88</v>
      </c>
    </row>
    <row r="242" spans="1:15">
      <c r="A242" s="1">
        <f t="shared" si="3"/>
        <v>12.2</v>
      </c>
      <c r="B242" s="38">
        <v>12</v>
      </c>
      <c r="C242" s="39">
        <v>20</v>
      </c>
      <c r="D242" s="37">
        <v>0.81</v>
      </c>
      <c r="E242" s="37">
        <v>0.83</v>
      </c>
      <c r="F242" s="37">
        <v>0.88</v>
      </c>
      <c r="G242" s="37">
        <v>0.95</v>
      </c>
      <c r="H242" s="37">
        <v>1.01</v>
      </c>
      <c r="I242" s="37">
        <v>1.05</v>
      </c>
      <c r="J242" s="37">
        <v>1.0900000000000001</v>
      </c>
      <c r="K242" s="37">
        <v>1.04</v>
      </c>
      <c r="L242" s="37">
        <v>1</v>
      </c>
      <c r="M242" s="37">
        <v>0.95</v>
      </c>
      <c r="N242" s="37">
        <v>0.88</v>
      </c>
      <c r="O242" s="37">
        <v>0.83</v>
      </c>
    </row>
    <row r="243" spans="1:15">
      <c r="A243" s="1">
        <f t="shared" si="3"/>
        <v>12.25</v>
      </c>
      <c r="B243" s="38">
        <v>12</v>
      </c>
      <c r="C243" s="39">
        <v>25</v>
      </c>
      <c r="D243" s="37">
        <v>0.75</v>
      </c>
      <c r="E243" s="37">
        <v>0.77</v>
      </c>
      <c r="F243" s="37">
        <v>0.83</v>
      </c>
      <c r="G243" s="37">
        <v>0.92</v>
      </c>
      <c r="H243" s="37">
        <v>0.99</v>
      </c>
      <c r="I243" s="37">
        <v>1.04</v>
      </c>
      <c r="J243" s="37">
        <v>1.1000000000000001</v>
      </c>
      <c r="K243" s="37">
        <v>1.03</v>
      </c>
      <c r="L243" s="37">
        <v>0.99</v>
      </c>
      <c r="M243" s="37">
        <v>0.92</v>
      </c>
      <c r="N243" s="37">
        <v>0.84</v>
      </c>
      <c r="O243" s="37">
        <v>0.77</v>
      </c>
    </row>
    <row r="244" spans="1:15">
      <c r="A244" s="1">
        <f t="shared" si="3"/>
        <v>12.3</v>
      </c>
      <c r="B244" s="38">
        <v>12</v>
      </c>
      <c r="C244" s="39">
        <v>30</v>
      </c>
      <c r="D244" s="37">
        <v>0.68</v>
      </c>
      <c r="E244" s="37">
        <v>0.7</v>
      </c>
      <c r="F244" s="37">
        <v>0.78</v>
      </c>
      <c r="G244" s="37">
        <v>0.88</v>
      </c>
      <c r="H244" s="37">
        <v>0.97</v>
      </c>
      <c r="I244" s="37">
        <v>1.03</v>
      </c>
      <c r="J244" s="37">
        <v>1.1000000000000001</v>
      </c>
      <c r="K244" s="37">
        <v>1.02</v>
      </c>
      <c r="L244" s="37">
        <v>0.97</v>
      </c>
      <c r="M244" s="37">
        <v>0.88</v>
      </c>
      <c r="N244" s="37">
        <v>0.79</v>
      </c>
      <c r="O244" s="37">
        <v>0.71</v>
      </c>
    </row>
    <row r="245" spans="1:15">
      <c r="A245" s="1">
        <f t="shared" si="3"/>
        <v>12.35</v>
      </c>
      <c r="B245" s="38">
        <v>12</v>
      </c>
      <c r="C245" s="39">
        <v>35</v>
      </c>
      <c r="D245" s="37">
        <v>0.61</v>
      </c>
      <c r="E245" s="37">
        <v>0.64</v>
      </c>
      <c r="F245" s="37">
        <v>0.72</v>
      </c>
      <c r="G245" s="37">
        <v>0.84</v>
      </c>
      <c r="H245" s="37">
        <v>0.94</v>
      </c>
      <c r="I245" s="37">
        <v>1.02</v>
      </c>
      <c r="J245" s="37">
        <v>1.0900000000000001</v>
      </c>
      <c r="K245" s="37">
        <v>1</v>
      </c>
      <c r="L245" s="37">
        <v>0.94</v>
      </c>
      <c r="M245" s="37">
        <v>0.84</v>
      </c>
      <c r="N245" s="37">
        <v>0.74</v>
      </c>
      <c r="O245" s="37">
        <v>0.64</v>
      </c>
    </row>
    <row r="246" spans="1:15">
      <c r="A246" s="1">
        <f t="shared" si="3"/>
        <v>12.4</v>
      </c>
      <c r="B246" s="38">
        <v>12</v>
      </c>
      <c r="C246" s="39">
        <v>40</v>
      </c>
      <c r="D246" s="37">
        <v>0.53</v>
      </c>
      <c r="E246" s="37">
        <v>0.56000000000000005</v>
      </c>
      <c r="F246" s="37">
        <v>0.66</v>
      </c>
      <c r="G246" s="37">
        <v>0.79</v>
      </c>
      <c r="H246" s="37">
        <v>0.91</v>
      </c>
      <c r="I246" s="37">
        <v>0.99</v>
      </c>
      <c r="J246" s="37">
        <v>1.08</v>
      </c>
      <c r="K246" s="37">
        <v>0.98</v>
      </c>
      <c r="L246" s="37">
        <v>0.9</v>
      </c>
      <c r="M246" s="37">
        <v>0.8</v>
      </c>
      <c r="N246" s="37">
        <v>0.68</v>
      </c>
      <c r="O246" s="37">
        <v>0.56999999999999995</v>
      </c>
    </row>
    <row r="247" spans="1:15">
      <c r="A247" s="1">
        <f t="shared" si="3"/>
        <v>12.45</v>
      </c>
      <c r="B247" s="38">
        <v>12</v>
      </c>
      <c r="C247" s="39">
        <v>45</v>
      </c>
      <c r="D247" s="37">
        <v>0.45</v>
      </c>
      <c r="E247" s="37">
        <v>0.49</v>
      </c>
      <c r="F247" s="37">
        <v>0.59</v>
      </c>
      <c r="G247" s="37">
        <v>0.73</v>
      </c>
      <c r="H247" s="37">
        <v>0.87</v>
      </c>
      <c r="I247" s="37">
        <v>0.96</v>
      </c>
      <c r="J247" s="37">
        <v>1.06</v>
      </c>
      <c r="K247" s="37">
        <v>0.95</v>
      </c>
      <c r="L247" s="37">
        <v>0.87</v>
      </c>
      <c r="M247" s="37">
        <v>0.75</v>
      </c>
      <c r="N247" s="37">
        <v>0.61</v>
      </c>
      <c r="O247" s="37">
        <v>0.5</v>
      </c>
    </row>
    <row r="248" spans="1:15">
      <c r="A248" s="1">
        <f t="shared" si="3"/>
        <v>12.5</v>
      </c>
      <c r="B248" s="38">
        <v>12</v>
      </c>
      <c r="C248" s="39">
        <v>50</v>
      </c>
      <c r="D248" s="37">
        <v>0.37</v>
      </c>
      <c r="E248" s="37">
        <v>0.41</v>
      </c>
      <c r="F248" s="37">
        <v>0.52</v>
      </c>
      <c r="G248" s="37">
        <v>0.68</v>
      </c>
      <c r="H248" s="37">
        <v>0.82</v>
      </c>
      <c r="I248" s="37">
        <v>0.92</v>
      </c>
      <c r="J248" s="37">
        <v>1.03</v>
      </c>
      <c r="K248" s="37">
        <v>0.91</v>
      </c>
      <c r="L248" s="37">
        <v>0.82</v>
      </c>
      <c r="M248" s="37">
        <v>0.69</v>
      </c>
      <c r="N248" s="37">
        <v>0.54</v>
      </c>
      <c r="O248" s="37">
        <v>0.42</v>
      </c>
    </row>
    <row r="249" spans="1:15">
      <c r="A249" s="1">
        <f t="shared" si="3"/>
        <v>12.55</v>
      </c>
      <c r="B249" s="38">
        <v>12</v>
      </c>
      <c r="C249" s="39">
        <v>55</v>
      </c>
      <c r="D249" s="37">
        <v>0.28000000000000003</v>
      </c>
      <c r="E249" s="37">
        <v>0.33</v>
      </c>
      <c r="F249" s="37">
        <v>0.45</v>
      </c>
      <c r="G249" s="37">
        <v>0.61</v>
      </c>
      <c r="H249" s="37">
        <v>0.77</v>
      </c>
      <c r="I249" s="37">
        <v>0.88</v>
      </c>
      <c r="J249" s="37">
        <v>1</v>
      </c>
      <c r="K249" s="37">
        <v>0.87</v>
      </c>
      <c r="L249" s="37">
        <v>0.77</v>
      </c>
      <c r="M249" s="37">
        <v>0.63</v>
      </c>
      <c r="N249" s="37">
        <v>0.47</v>
      </c>
      <c r="O249" s="37">
        <v>0.34</v>
      </c>
    </row>
    <row r="250" spans="1:15">
      <c r="A250" s="1">
        <f t="shared" si="3"/>
        <v>12.6</v>
      </c>
      <c r="B250" s="38">
        <v>12</v>
      </c>
      <c r="C250" s="39">
        <v>60</v>
      </c>
      <c r="D250" s="37">
        <v>0.2</v>
      </c>
      <c r="E250" s="37">
        <v>0.24</v>
      </c>
      <c r="F250" s="37">
        <v>0.37</v>
      </c>
      <c r="G250" s="37">
        <v>0.55000000000000004</v>
      </c>
      <c r="H250" s="37">
        <v>0.71</v>
      </c>
      <c r="I250" s="37">
        <v>0.83</v>
      </c>
      <c r="J250" s="37">
        <v>0.96</v>
      </c>
      <c r="K250" s="37">
        <v>0.82</v>
      </c>
      <c r="L250" s="37">
        <v>0.72</v>
      </c>
      <c r="M250" s="37">
        <v>0.56999999999999995</v>
      </c>
      <c r="N250" s="37">
        <v>0.4</v>
      </c>
      <c r="O250" s="37">
        <v>0.26</v>
      </c>
    </row>
    <row r="251" spans="1:15">
      <c r="A251" s="1">
        <f t="shared" si="3"/>
        <v>12.65</v>
      </c>
      <c r="B251" s="38">
        <v>12</v>
      </c>
      <c r="C251" s="39">
        <v>65</v>
      </c>
      <c r="D251" s="37">
        <v>0.13</v>
      </c>
      <c r="E251" s="37">
        <v>0.16</v>
      </c>
      <c r="F251" s="37">
        <v>0.3</v>
      </c>
      <c r="G251" s="37">
        <v>0.48</v>
      </c>
      <c r="H251" s="37">
        <v>0.65</v>
      </c>
      <c r="I251" s="37">
        <v>0.77</v>
      </c>
      <c r="J251" s="37">
        <v>0.91</v>
      </c>
      <c r="K251" s="37">
        <v>0.77</v>
      </c>
      <c r="L251" s="37">
        <v>0.66</v>
      </c>
      <c r="M251" s="37">
        <v>0.5</v>
      </c>
      <c r="N251" s="37">
        <v>0.32</v>
      </c>
      <c r="O251" s="37">
        <v>0.18</v>
      </c>
    </row>
    <row r="252" spans="1:15">
      <c r="A252" s="1">
        <f t="shared" si="3"/>
        <v>12.7</v>
      </c>
      <c r="B252" s="38">
        <v>12</v>
      </c>
      <c r="C252" s="39">
        <v>70</v>
      </c>
      <c r="D252" s="37">
        <v>0.12</v>
      </c>
      <c r="E252" s="37">
        <v>0.11</v>
      </c>
      <c r="F252" s="37">
        <v>0.22</v>
      </c>
      <c r="G252" s="37">
        <v>0.4</v>
      </c>
      <c r="H252" s="37">
        <v>0.59</v>
      </c>
      <c r="I252" s="37">
        <v>0.72</v>
      </c>
      <c r="J252" s="37">
        <v>0.86</v>
      </c>
      <c r="K252" s="37">
        <v>0.71</v>
      </c>
      <c r="L252" s="37">
        <v>0.6</v>
      </c>
      <c r="M252" s="37">
        <v>0.43</v>
      </c>
      <c r="N252" s="37">
        <v>0.25</v>
      </c>
      <c r="O252" s="37">
        <v>0.13</v>
      </c>
    </row>
    <row r="253" spans="1:15">
      <c r="A253" s="1">
        <f t="shared" si="3"/>
        <v>12.75</v>
      </c>
      <c r="B253" s="38">
        <v>12</v>
      </c>
      <c r="C253" s="39">
        <v>75</v>
      </c>
      <c r="D253" s="37">
        <v>0.11</v>
      </c>
      <c r="E253" s="37">
        <v>0.11</v>
      </c>
      <c r="F253" s="37">
        <v>0.13</v>
      </c>
      <c r="G253" s="37">
        <v>0.33</v>
      </c>
      <c r="H253" s="37">
        <v>0.52</v>
      </c>
      <c r="I253" s="37">
        <v>0.65</v>
      </c>
      <c r="J253" s="37">
        <v>0.81</v>
      </c>
      <c r="K253" s="37">
        <v>0.65</v>
      </c>
      <c r="L253" s="37">
        <v>0.53</v>
      </c>
      <c r="M253" s="37">
        <v>0.36</v>
      </c>
      <c r="N253" s="37">
        <v>0.17</v>
      </c>
      <c r="O253" s="37">
        <v>0.12</v>
      </c>
    </row>
    <row r="254" spans="1:15">
      <c r="A254" s="1">
        <f t="shared" si="3"/>
        <v>12.8</v>
      </c>
      <c r="B254" s="38">
        <v>12</v>
      </c>
      <c r="C254" s="39">
        <v>80</v>
      </c>
      <c r="D254" s="37">
        <v>0.1</v>
      </c>
      <c r="E254" s="37">
        <v>0.1</v>
      </c>
      <c r="F254" s="37">
        <v>0.1</v>
      </c>
      <c r="G254" s="37">
        <v>0.25</v>
      </c>
      <c r="H254" s="37">
        <v>0.45</v>
      </c>
      <c r="I254" s="37">
        <v>0.57999999999999996</v>
      </c>
      <c r="J254" s="37">
        <v>0.74</v>
      </c>
      <c r="K254" s="37">
        <v>0.57999999999999996</v>
      </c>
      <c r="L254" s="37">
        <v>0.47</v>
      </c>
      <c r="M254" s="37">
        <v>0.28999999999999998</v>
      </c>
      <c r="N254" s="37">
        <v>0.13</v>
      </c>
      <c r="O254" s="37">
        <v>0.12</v>
      </c>
    </row>
    <row r="255" spans="1:15">
      <c r="A255" s="1">
        <f t="shared" si="3"/>
        <v>12.85</v>
      </c>
      <c r="B255" s="38">
        <v>12</v>
      </c>
      <c r="C255" s="39">
        <v>85</v>
      </c>
      <c r="D255" s="37">
        <v>0.1</v>
      </c>
      <c r="E255" s="37">
        <v>0.09</v>
      </c>
      <c r="F255" s="37">
        <v>0.09</v>
      </c>
      <c r="G255" s="37">
        <v>0.17</v>
      </c>
      <c r="H255" s="37">
        <v>0.37</v>
      </c>
      <c r="I255" s="37">
        <v>0.51</v>
      </c>
      <c r="J255" s="37">
        <v>0.68</v>
      </c>
      <c r="K255" s="37">
        <v>0.52</v>
      </c>
      <c r="L255" s="37">
        <v>0.4</v>
      </c>
      <c r="M255" s="37">
        <v>0.21</v>
      </c>
      <c r="N255" s="37">
        <v>0.12</v>
      </c>
      <c r="O255" s="37">
        <v>0.11</v>
      </c>
    </row>
    <row r="256" spans="1:15">
      <c r="A256" s="1">
        <f t="shared" si="3"/>
        <v>12.9</v>
      </c>
      <c r="B256" s="38">
        <v>12</v>
      </c>
      <c r="C256" s="39">
        <v>90</v>
      </c>
      <c r="D256" s="37">
        <v>0.09</v>
      </c>
      <c r="E256" s="37">
        <v>0.08</v>
      </c>
      <c r="F256" s="37">
        <v>0.08</v>
      </c>
      <c r="G256" s="37">
        <v>0.09</v>
      </c>
      <c r="H256" s="37">
        <v>0.28999999999999998</v>
      </c>
      <c r="I256" s="37">
        <v>0.44</v>
      </c>
      <c r="J256" s="37">
        <v>0.61</v>
      </c>
      <c r="K256" s="37">
        <v>0.45</v>
      </c>
      <c r="L256" s="37">
        <v>0.32</v>
      </c>
      <c r="M256" s="37">
        <v>0.14000000000000001</v>
      </c>
      <c r="N256" s="37">
        <v>0.11</v>
      </c>
      <c r="O256" s="37">
        <v>0.1</v>
      </c>
    </row>
    <row r="257" spans="1:15">
      <c r="A257" s="1">
        <f t="shared" si="3"/>
        <v>13</v>
      </c>
      <c r="B257" s="38">
        <v>13</v>
      </c>
      <c r="C257" s="37">
        <v>0</v>
      </c>
      <c r="D257" s="37">
        <v>1</v>
      </c>
      <c r="E257" s="37">
        <v>1</v>
      </c>
      <c r="F257" s="37">
        <v>1</v>
      </c>
      <c r="G257" s="37">
        <v>1</v>
      </c>
      <c r="H257" s="37">
        <v>1</v>
      </c>
      <c r="I257" s="37">
        <v>1</v>
      </c>
      <c r="J257" s="37">
        <v>1</v>
      </c>
      <c r="K257" s="37">
        <v>1</v>
      </c>
      <c r="L257" s="37">
        <v>1</v>
      </c>
      <c r="M257" s="37">
        <v>1</v>
      </c>
      <c r="N257" s="37">
        <v>1</v>
      </c>
      <c r="O257" s="37">
        <v>1</v>
      </c>
    </row>
    <row r="258" spans="1:15">
      <c r="A258" s="1">
        <f t="shared" si="3"/>
        <v>13.05</v>
      </c>
      <c r="B258" s="38">
        <v>13</v>
      </c>
      <c r="C258" s="37">
        <v>5</v>
      </c>
      <c r="D258" s="37">
        <v>0.98</v>
      </c>
      <c r="E258" s="37">
        <v>1</v>
      </c>
      <c r="F258" s="37">
        <v>1.01</v>
      </c>
      <c r="G258" s="37">
        <v>1.03</v>
      </c>
      <c r="H258" s="37">
        <v>1.04</v>
      </c>
      <c r="I258" s="37">
        <v>1.04</v>
      </c>
      <c r="J258" s="37">
        <v>1.03</v>
      </c>
      <c r="K258" s="37">
        <v>1.02</v>
      </c>
      <c r="L258" s="37">
        <v>1.01</v>
      </c>
      <c r="M258" s="37">
        <v>1</v>
      </c>
      <c r="N258" s="37">
        <v>0.98</v>
      </c>
      <c r="O258" s="37">
        <v>0.98</v>
      </c>
    </row>
    <row r="259" spans="1:15">
      <c r="A259" s="1">
        <f t="shared" si="3"/>
        <v>13.1</v>
      </c>
      <c r="B259" s="38">
        <v>13</v>
      </c>
      <c r="C259" s="37">
        <v>10</v>
      </c>
      <c r="D259" s="37">
        <v>0.96</v>
      </c>
      <c r="E259" s="37">
        <v>0.99</v>
      </c>
      <c r="F259" s="37">
        <v>1.02</v>
      </c>
      <c r="G259" s="37">
        <v>1.05</v>
      </c>
      <c r="H259" s="37">
        <v>1.07</v>
      </c>
      <c r="I259" s="37">
        <v>1.07</v>
      </c>
      <c r="J259" s="37">
        <v>1.06</v>
      </c>
      <c r="K259" s="37">
        <v>1.04</v>
      </c>
      <c r="L259" s="37">
        <v>1.02</v>
      </c>
      <c r="M259" s="37">
        <v>0.99</v>
      </c>
      <c r="N259" s="37">
        <v>0.96</v>
      </c>
      <c r="O259" s="37">
        <v>0.95</v>
      </c>
    </row>
    <row r="260" spans="1:15">
      <c r="A260" s="1">
        <f t="shared" si="3"/>
        <v>13.15</v>
      </c>
      <c r="B260" s="38">
        <v>13</v>
      </c>
      <c r="C260" s="37">
        <v>15</v>
      </c>
      <c r="D260" s="37">
        <v>0.93</v>
      </c>
      <c r="E260" s="37">
        <v>0.97</v>
      </c>
      <c r="F260" s="37">
        <v>1.02</v>
      </c>
      <c r="G260" s="37">
        <v>1.07</v>
      </c>
      <c r="H260" s="37">
        <v>1.1000000000000001</v>
      </c>
      <c r="I260" s="37">
        <v>1.1000000000000001</v>
      </c>
      <c r="J260" s="37">
        <v>1.08</v>
      </c>
      <c r="K260" s="37">
        <v>1.05</v>
      </c>
      <c r="L260" s="37">
        <v>1.01</v>
      </c>
      <c r="M260" s="37">
        <v>0.97</v>
      </c>
      <c r="N260" s="37">
        <v>0.93</v>
      </c>
      <c r="O260" s="37">
        <v>0.92</v>
      </c>
    </row>
    <row r="261" spans="1:15">
      <c r="A261" s="1">
        <f t="shared" si="3"/>
        <v>13.2</v>
      </c>
      <c r="B261" s="38">
        <v>13</v>
      </c>
      <c r="C261" s="37">
        <v>20</v>
      </c>
      <c r="D261" s="37">
        <v>0.9</v>
      </c>
      <c r="E261" s="37">
        <v>0.94</v>
      </c>
      <c r="F261" s="37">
        <v>1.01</v>
      </c>
      <c r="G261" s="37">
        <v>1.07</v>
      </c>
      <c r="H261" s="37">
        <v>1.1200000000000001</v>
      </c>
      <c r="I261" s="37">
        <v>1.1200000000000001</v>
      </c>
      <c r="J261" s="37">
        <v>1.1000000000000001</v>
      </c>
      <c r="K261" s="37">
        <v>1.06</v>
      </c>
      <c r="L261" s="37">
        <v>1</v>
      </c>
      <c r="M261" s="37">
        <v>0.95</v>
      </c>
      <c r="N261" s="37">
        <v>0.9</v>
      </c>
      <c r="O261" s="37">
        <v>0.88</v>
      </c>
    </row>
    <row r="262" spans="1:15">
      <c r="A262" s="1">
        <f t="shared" si="3"/>
        <v>13.25</v>
      </c>
      <c r="B262" s="38">
        <v>13</v>
      </c>
      <c r="C262" s="37">
        <v>25</v>
      </c>
      <c r="D262" s="37">
        <v>0.85</v>
      </c>
      <c r="E262" s="37">
        <v>0.91</v>
      </c>
      <c r="F262" s="37">
        <v>0.99</v>
      </c>
      <c r="G262" s="37">
        <v>1.08</v>
      </c>
      <c r="H262" s="37">
        <v>1.1299999999999999</v>
      </c>
      <c r="I262" s="37">
        <v>1.1299999999999999</v>
      </c>
      <c r="J262" s="37">
        <v>1.1000000000000001</v>
      </c>
      <c r="K262" s="37">
        <v>1.06</v>
      </c>
      <c r="L262" s="37">
        <v>0.99</v>
      </c>
      <c r="M262" s="37">
        <v>0.92</v>
      </c>
      <c r="N262" s="37">
        <v>0.86</v>
      </c>
      <c r="O262" s="37">
        <v>0.83</v>
      </c>
    </row>
    <row r="263" spans="1:15">
      <c r="A263" s="1">
        <f t="shared" si="3"/>
        <v>13.3</v>
      </c>
      <c r="B263" s="38">
        <v>13</v>
      </c>
      <c r="C263" s="37">
        <v>30</v>
      </c>
      <c r="D263" s="37">
        <v>0.81</v>
      </c>
      <c r="E263" s="37">
        <v>0.88</v>
      </c>
      <c r="F263" s="37">
        <v>0.97</v>
      </c>
      <c r="G263" s="37">
        <v>1.07</v>
      </c>
      <c r="H263" s="37">
        <v>1.1299999999999999</v>
      </c>
      <c r="I263" s="37">
        <v>1.1399999999999999</v>
      </c>
      <c r="J263" s="37">
        <v>1.1000000000000001</v>
      </c>
      <c r="K263" s="37">
        <v>1.05</v>
      </c>
      <c r="L263" s="37">
        <v>0.97</v>
      </c>
      <c r="M263" s="37">
        <v>0.88</v>
      </c>
      <c r="N263" s="37">
        <v>0.81</v>
      </c>
      <c r="O263" s="37">
        <v>0.78</v>
      </c>
    </row>
    <row r="264" spans="1:15">
      <c r="A264" s="1">
        <f t="shared" si="3"/>
        <v>13.35</v>
      </c>
      <c r="B264" s="38">
        <v>13</v>
      </c>
      <c r="C264" s="37">
        <v>35</v>
      </c>
      <c r="D264" s="37">
        <v>0.75</v>
      </c>
      <c r="E264" s="37">
        <v>0.83</v>
      </c>
      <c r="F264" s="37">
        <v>0.94</v>
      </c>
      <c r="G264" s="37">
        <v>1.05</v>
      </c>
      <c r="H264" s="37">
        <v>1.1299999999999999</v>
      </c>
      <c r="I264" s="37">
        <v>1.1399999999999999</v>
      </c>
      <c r="J264" s="37">
        <v>1.1000000000000001</v>
      </c>
      <c r="K264" s="37">
        <v>1.03</v>
      </c>
      <c r="L264" s="37">
        <v>0.94</v>
      </c>
      <c r="M264" s="37">
        <v>0.84</v>
      </c>
      <c r="N264" s="37">
        <v>0.76</v>
      </c>
      <c r="O264" s="37">
        <v>0.72</v>
      </c>
    </row>
    <row r="265" spans="1:15">
      <c r="A265" s="1">
        <f t="shared" si="3"/>
        <v>13.4</v>
      </c>
      <c r="B265" s="38">
        <v>13</v>
      </c>
      <c r="C265" s="37">
        <v>40</v>
      </c>
      <c r="D265" s="37">
        <v>0.69</v>
      </c>
      <c r="E265" s="37">
        <v>0.78</v>
      </c>
      <c r="F265" s="37">
        <v>0.91</v>
      </c>
      <c r="G265" s="37">
        <v>1.03</v>
      </c>
      <c r="H265" s="37">
        <v>1.1200000000000001</v>
      </c>
      <c r="I265" s="37">
        <v>1.1299999999999999</v>
      </c>
      <c r="J265" s="37">
        <v>1.0900000000000001</v>
      </c>
      <c r="K265" s="37">
        <v>1.01</v>
      </c>
      <c r="L265" s="37">
        <v>0.91</v>
      </c>
      <c r="M265" s="37">
        <v>0.79</v>
      </c>
      <c r="N265" s="37">
        <v>0.7</v>
      </c>
      <c r="O265" s="37">
        <v>0.66</v>
      </c>
    </row>
    <row r="266" spans="1:15">
      <c r="A266" s="1">
        <f t="shared" ref="A266:A329" si="4">B266+C266/100</f>
        <v>13.45</v>
      </c>
      <c r="B266" s="38">
        <v>13</v>
      </c>
      <c r="C266" s="37">
        <v>45</v>
      </c>
      <c r="D266" s="37">
        <v>0.63</v>
      </c>
      <c r="E266" s="37">
        <v>0.73</v>
      </c>
      <c r="F266" s="37">
        <v>0.87</v>
      </c>
      <c r="G266" s="37">
        <v>1.01</v>
      </c>
      <c r="H266" s="37">
        <v>1.1000000000000001</v>
      </c>
      <c r="I266" s="37">
        <v>1.1100000000000001</v>
      </c>
      <c r="J266" s="37">
        <v>1.07</v>
      </c>
      <c r="K266" s="37">
        <v>0.98</v>
      </c>
      <c r="L266" s="37">
        <v>0.87</v>
      </c>
      <c r="M266" s="37">
        <v>0.74</v>
      </c>
      <c r="N266" s="37">
        <v>0.64</v>
      </c>
      <c r="O266" s="37">
        <v>0.6</v>
      </c>
    </row>
    <row r="267" spans="1:15">
      <c r="A267" s="1">
        <f t="shared" si="4"/>
        <v>13.5</v>
      </c>
      <c r="B267" s="38">
        <v>13</v>
      </c>
      <c r="C267" s="37">
        <v>50</v>
      </c>
      <c r="D267" s="37">
        <v>0.56000000000000005</v>
      </c>
      <c r="E267" s="37">
        <v>0.67</v>
      </c>
      <c r="F267" s="37">
        <v>0.82</v>
      </c>
      <c r="G267" s="37">
        <v>0.97</v>
      </c>
      <c r="H267" s="37">
        <v>1.07</v>
      </c>
      <c r="I267" s="37">
        <v>1.0900000000000001</v>
      </c>
      <c r="J267" s="37">
        <v>1.04</v>
      </c>
      <c r="K267" s="37">
        <v>0.95</v>
      </c>
      <c r="L267" s="37">
        <v>0.82</v>
      </c>
      <c r="M267" s="37">
        <v>0.68</v>
      </c>
      <c r="N267" s="37">
        <v>0.56999999999999995</v>
      </c>
      <c r="O267" s="37">
        <v>0.53</v>
      </c>
    </row>
    <row r="268" spans="1:15">
      <c r="A268" s="1">
        <f t="shared" si="4"/>
        <v>13.55</v>
      </c>
      <c r="B268" s="38">
        <v>13</v>
      </c>
      <c r="C268" s="37">
        <v>55</v>
      </c>
      <c r="D268" s="37">
        <v>0.49</v>
      </c>
      <c r="E268" s="37">
        <v>0.61</v>
      </c>
      <c r="F268" s="37">
        <v>0.77</v>
      </c>
      <c r="G268" s="37">
        <v>0.93</v>
      </c>
      <c r="H268" s="37">
        <v>1.04</v>
      </c>
      <c r="I268" s="37">
        <v>1.06</v>
      </c>
      <c r="J268" s="37">
        <v>1.01</v>
      </c>
      <c r="K268" s="37">
        <v>0.91</v>
      </c>
      <c r="L268" s="37">
        <v>0.77</v>
      </c>
      <c r="M268" s="37">
        <v>0.62</v>
      </c>
      <c r="N268" s="37">
        <v>0.5</v>
      </c>
      <c r="O268" s="37">
        <v>0.45</v>
      </c>
    </row>
    <row r="269" spans="1:15">
      <c r="A269" s="1">
        <f t="shared" si="4"/>
        <v>13.6</v>
      </c>
      <c r="B269" s="38">
        <v>13</v>
      </c>
      <c r="C269" s="37">
        <v>60</v>
      </c>
      <c r="D269" s="37">
        <v>0.42</v>
      </c>
      <c r="E269" s="37">
        <v>0.54</v>
      </c>
      <c r="F269" s="37">
        <v>0.71</v>
      </c>
      <c r="G269" s="37">
        <v>0.88</v>
      </c>
      <c r="H269" s="37">
        <v>1</v>
      </c>
      <c r="I269" s="37">
        <v>1.03</v>
      </c>
      <c r="J269" s="37">
        <v>0.97</v>
      </c>
      <c r="K269" s="37">
        <v>0.86</v>
      </c>
      <c r="L269" s="37">
        <v>0.71</v>
      </c>
      <c r="M269" s="37">
        <v>0.55000000000000004</v>
      </c>
      <c r="N269" s="37">
        <v>0.43</v>
      </c>
      <c r="O269" s="37">
        <v>0.38</v>
      </c>
    </row>
    <row r="270" spans="1:15">
      <c r="A270" s="1">
        <f t="shared" si="4"/>
        <v>13.65</v>
      </c>
      <c r="B270" s="38">
        <v>13</v>
      </c>
      <c r="C270" s="37">
        <v>65</v>
      </c>
      <c r="D270" s="37">
        <v>0.34</v>
      </c>
      <c r="E270" s="37">
        <v>0.47</v>
      </c>
      <c r="F270" s="37">
        <v>0.65</v>
      </c>
      <c r="G270" s="37">
        <v>0.83</v>
      </c>
      <c r="H270" s="37">
        <v>0.96</v>
      </c>
      <c r="I270" s="37">
        <v>0.98</v>
      </c>
      <c r="J270" s="37">
        <v>0.92</v>
      </c>
      <c r="K270" s="37">
        <v>0.81</v>
      </c>
      <c r="L270" s="37">
        <v>0.65</v>
      </c>
      <c r="M270" s="37">
        <v>0.48</v>
      </c>
      <c r="N270" s="37">
        <v>0.35</v>
      </c>
      <c r="O270" s="37">
        <v>0.3</v>
      </c>
    </row>
    <row r="271" spans="1:15">
      <c r="A271" s="1">
        <f t="shared" si="4"/>
        <v>13.7</v>
      </c>
      <c r="B271" s="38">
        <v>13</v>
      </c>
      <c r="C271" s="37">
        <v>70</v>
      </c>
      <c r="D271" s="37">
        <v>0.26</v>
      </c>
      <c r="E271" s="37">
        <v>0.39</v>
      </c>
      <c r="F271" s="37">
        <v>0.57999999999999996</v>
      </c>
      <c r="G271" s="37">
        <v>0.77</v>
      </c>
      <c r="H271" s="37">
        <v>0.91</v>
      </c>
      <c r="I271" s="37">
        <v>0.94</v>
      </c>
      <c r="J271" s="37">
        <v>0.87</v>
      </c>
      <c r="K271" s="37">
        <v>0.76</v>
      </c>
      <c r="L271" s="37">
        <v>0.59</v>
      </c>
      <c r="M271" s="37">
        <v>0.41</v>
      </c>
      <c r="N271" s="37">
        <v>0.27</v>
      </c>
      <c r="O271" s="37">
        <v>0.22</v>
      </c>
    </row>
    <row r="272" spans="1:15">
      <c r="A272" s="1">
        <f t="shared" si="4"/>
        <v>13.75</v>
      </c>
      <c r="B272" s="38">
        <v>13</v>
      </c>
      <c r="C272" s="37">
        <v>75</v>
      </c>
      <c r="D272" s="37">
        <v>0.18</v>
      </c>
      <c r="E272" s="37">
        <v>0.32</v>
      </c>
      <c r="F272" s="37">
        <v>0.51</v>
      </c>
      <c r="G272" s="37">
        <v>0.78100000000000003</v>
      </c>
      <c r="H272" s="37">
        <v>0.85</v>
      </c>
      <c r="I272" s="37">
        <v>0.88</v>
      </c>
      <c r="J272" s="37">
        <v>0.82</v>
      </c>
      <c r="K272" s="37">
        <v>0.7</v>
      </c>
      <c r="L272" s="37">
        <v>0.52</v>
      </c>
      <c r="M272" s="37">
        <v>0.34</v>
      </c>
      <c r="N272" s="37">
        <v>0.19</v>
      </c>
      <c r="O272" s="37">
        <v>0.14000000000000001</v>
      </c>
    </row>
    <row r="273" spans="1:15">
      <c r="A273" s="1">
        <f t="shared" si="4"/>
        <v>13.8</v>
      </c>
      <c r="B273" s="38">
        <v>13</v>
      </c>
      <c r="C273" s="37">
        <v>80</v>
      </c>
      <c r="D273" s="37">
        <v>0.1</v>
      </c>
      <c r="E273" s="37">
        <v>0.24</v>
      </c>
      <c r="F273" s="37">
        <v>0.44</v>
      </c>
      <c r="G273" s="37">
        <v>0.64</v>
      </c>
      <c r="H273" s="37">
        <v>0.79</v>
      </c>
      <c r="I273" s="37">
        <v>0.82</v>
      </c>
      <c r="J273" s="37">
        <v>0.76</v>
      </c>
      <c r="K273" s="37">
        <v>0.63</v>
      </c>
      <c r="L273" s="37">
        <v>0.45</v>
      </c>
      <c r="M273" s="37">
        <v>0.26</v>
      </c>
      <c r="N273" s="37">
        <v>0.11</v>
      </c>
      <c r="O273" s="37">
        <v>0.1</v>
      </c>
    </row>
    <row r="274" spans="1:15">
      <c r="A274" s="1">
        <f t="shared" si="4"/>
        <v>13.85</v>
      </c>
      <c r="B274" s="38">
        <v>13</v>
      </c>
      <c r="C274" s="37">
        <v>85</v>
      </c>
      <c r="D274" s="37">
        <v>0.09</v>
      </c>
      <c r="E274" s="37">
        <v>0.16</v>
      </c>
      <c r="F274" s="37">
        <v>0.36</v>
      </c>
      <c r="G274" s="37">
        <v>0.56999999999999995</v>
      </c>
      <c r="H274" s="37">
        <v>0.72</v>
      </c>
      <c r="I274" s="37">
        <v>0.76</v>
      </c>
      <c r="J274" s="37">
        <v>0.7</v>
      </c>
      <c r="K274" s="37">
        <v>0.56000000000000005</v>
      </c>
      <c r="L274" s="37">
        <v>0.38</v>
      </c>
      <c r="M274" s="37">
        <v>0.19</v>
      </c>
      <c r="N274" s="37">
        <v>0.1</v>
      </c>
      <c r="O274" s="37">
        <v>0.09</v>
      </c>
    </row>
    <row r="275" spans="1:15">
      <c r="A275" s="1">
        <f t="shared" si="4"/>
        <v>13.9</v>
      </c>
      <c r="B275" s="38">
        <v>13</v>
      </c>
      <c r="C275" s="37">
        <v>90</v>
      </c>
      <c r="D275" s="37">
        <v>0.08</v>
      </c>
      <c r="E275" s="37">
        <v>0.08</v>
      </c>
      <c r="F275" s="37">
        <v>0.28000000000000003</v>
      </c>
      <c r="G275" s="37">
        <v>0.49</v>
      </c>
      <c r="H275" s="37">
        <v>0.65</v>
      </c>
      <c r="I275" s="37">
        <v>0.69</v>
      </c>
      <c r="J275" s="37">
        <v>0.63</v>
      </c>
      <c r="K275" s="37">
        <v>0.49</v>
      </c>
      <c r="L275" s="37">
        <v>0.31</v>
      </c>
      <c r="M275" s="37">
        <v>0.11</v>
      </c>
      <c r="N275" s="37">
        <v>0.09</v>
      </c>
      <c r="O275" s="37">
        <v>0.08</v>
      </c>
    </row>
    <row r="276" spans="1:15">
      <c r="A276" s="1">
        <f t="shared" si="4"/>
        <v>14</v>
      </c>
      <c r="B276" s="38">
        <v>14</v>
      </c>
      <c r="C276" s="37">
        <v>0</v>
      </c>
      <c r="D276" s="37">
        <v>1</v>
      </c>
      <c r="E276" s="37">
        <v>1</v>
      </c>
      <c r="F276" s="37">
        <v>1</v>
      </c>
      <c r="G276" s="37">
        <v>1</v>
      </c>
      <c r="H276" s="37">
        <v>1</v>
      </c>
      <c r="I276" s="37">
        <v>1</v>
      </c>
      <c r="J276" s="37">
        <v>1</v>
      </c>
      <c r="K276" s="37">
        <v>1</v>
      </c>
      <c r="L276" s="37">
        <v>1</v>
      </c>
      <c r="M276" s="37">
        <v>1</v>
      </c>
      <c r="N276" s="37">
        <v>1</v>
      </c>
      <c r="O276" s="37">
        <v>1</v>
      </c>
    </row>
    <row r="277" spans="1:15">
      <c r="A277" s="1">
        <f t="shared" si="4"/>
        <v>14.05</v>
      </c>
      <c r="B277" s="38">
        <v>14</v>
      </c>
      <c r="C277" s="37">
        <v>5</v>
      </c>
      <c r="D277" s="37">
        <v>0.99</v>
      </c>
      <c r="E277" s="37">
        <v>1</v>
      </c>
      <c r="F277" s="37">
        <v>1.01</v>
      </c>
      <c r="G277" s="37">
        <v>1.03</v>
      </c>
      <c r="H277" s="37">
        <v>1.04</v>
      </c>
      <c r="I277" s="37">
        <v>1.04</v>
      </c>
      <c r="J277" s="37">
        <v>1.04</v>
      </c>
      <c r="K277" s="37">
        <v>1.03</v>
      </c>
      <c r="L277" s="37">
        <v>1.01</v>
      </c>
      <c r="M277" s="37">
        <v>1</v>
      </c>
      <c r="N277" s="37">
        <v>0.99</v>
      </c>
      <c r="O277" s="37">
        <v>0.98</v>
      </c>
    </row>
    <row r="278" spans="1:15">
      <c r="A278" s="1">
        <f t="shared" si="4"/>
        <v>14.1</v>
      </c>
      <c r="B278" s="38">
        <v>14</v>
      </c>
      <c r="C278" s="37">
        <v>10</v>
      </c>
      <c r="D278" s="37">
        <v>0.96</v>
      </c>
      <c r="E278" s="37">
        <v>0.99</v>
      </c>
      <c r="F278" s="37">
        <v>1.02</v>
      </c>
      <c r="G278" s="37">
        <v>1.05</v>
      </c>
      <c r="H278" s="37">
        <v>1.08</v>
      </c>
      <c r="I278" s="37">
        <v>1.08</v>
      </c>
      <c r="J278" s="37">
        <v>1.06</v>
      </c>
      <c r="K278" s="37">
        <v>1.04</v>
      </c>
      <c r="L278" s="37">
        <v>1.02</v>
      </c>
      <c r="M278" s="37">
        <v>0.99</v>
      </c>
      <c r="N278" s="37">
        <v>0.96</v>
      </c>
      <c r="O278" s="37">
        <v>0.96</v>
      </c>
    </row>
    <row r="279" spans="1:15">
      <c r="A279" s="1">
        <f t="shared" si="4"/>
        <v>14.15</v>
      </c>
      <c r="B279" s="38">
        <v>14</v>
      </c>
      <c r="C279" s="37">
        <v>15</v>
      </c>
      <c r="D279" s="37">
        <v>0.94</v>
      </c>
      <c r="E279" s="37">
        <v>0.97</v>
      </c>
      <c r="F279" s="37">
        <v>1.02</v>
      </c>
      <c r="G279" s="37">
        <v>1.07</v>
      </c>
      <c r="H279" s="37">
        <v>1.1000000000000001</v>
      </c>
      <c r="I279" s="37">
        <v>1.1000000000000001</v>
      </c>
      <c r="J279" s="37">
        <v>1.0900000000000001</v>
      </c>
      <c r="K279" s="37">
        <v>1.06</v>
      </c>
      <c r="L279" s="37">
        <v>1.02</v>
      </c>
      <c r="M279" s="37">
        <v>0.97</v>
      </c>
      <c r="N279" s="37">
        <v>0.94</v>
      </c>
      <c r="O279" s="37">
        <v>0.92</v>
      </c>
    </row>
    <row r="280" spans="1:15">
      <c r="A280" s="1">
        <f t="shared" si="4"/>
        <v>14.2</v>
      </c>
      <c r="B280" s="38">
        <v>14</v>
      </c>
      <c r="C280" s="37">
        <v>20</v>
      </c>
      <c r="D280" s="37">
        <v>0.9</v>
      </c>
      <c r="E280" s="37">
        <v>0.95</v>
      </c>
      <c r="F280" s="37">
        <v>1.01</v>
      </c>
      <c r="G280" s="37">
        <v>1.08</v>
      </c>
      <c r="H280" s="37">
        <v>1.1200000000000001</v>
      </c>
      <c r="I280" s="37">
        <v>1.1299999999999999</v>
      </c>
      <c r="J280" s="37">
        <v>1.1000000000000001</v>
      </c>
      <c r="K280" s="37">
        <v>1.06</v>
      </c>
      <c r="L280" s="37">
        <v>1.01</v>
      </c>
      <c r="M280" s="37">
        <v>0.95</v>
      </c>
      <c r="N280" s="37">
        <v>0.9</v>
      </c>
      <c r="O280" s="37">
        <v>0.88</v>
      </c>
    </row>
    <row r="281" spans="1:15">
      <c r="A281" s="1">
        <f t="shared" si="4"/>
        <v>14.25</v>
      </c>
      <c r="B281" s="38">
        <v>14</v>
      </c>
      <c r="C281" s="37">
        <v>25</v>
      </c>
      <c r="D281" s="37">
        <v>0.86</v>
      </c>
      <c r="E281" s="37">
        <v>0.92</v>
      </c>
      <c r="F281" s="37">
        <v>1</v>
      </c>
      <c r="G281" s="37">
        <v>1.08</v>
      </c>
      <c r="H281" s="37">
        <v>1.1399999999999999</v>
      </c>
      <c r="I281" s="37">
        <v>1.1399999999999999</v>
      </c>
      <c r="J281" s="37">
        <v>1.1100000000000001</v>
      </c>
      <c r="K281" s="37">
        <v>1.06</v>
      </c>
      <c r="L281" s="37">
        <v>1</v>
      </c>
      <c r="M281" s="37">
        <v>0.92</v>
      </c>
      <c r="N281" s="37">
        <v>0.86</v>
      </c>
      <c r="O281" s="37">
        <v>0.84</v>
      </c>
    </row>
    <row r="282" spans="1:15">
      <c r="A282" s="1">
        <f t="shared" si="4"/>
        <v>14.3</v>
      </c>
      <c r="B282" s="38">
        <v>14</v>
      </c>
      <c r="C282" s="37">
        <v>30</v>
      </c>
      <c r="D282" s="37">
        <v>0.81</v>
      </c>
      <c r="E282" s="37">
        <v>0.88</v>
      </c>
      <c r="F282" s="37">
        <v>0.98</v>
      </c>
      <c r="G282" s="37">
        <v>1.08</v>
      </c>
      <c r="H282" s="37">
        <v>1.1399999999999999</v>
      </c>
      <c r="I282" s="37">
        <v>1.1499999999999999</v>
      </c>
      <c r="J282" s="37">
        <v>1.1100000000000001</v>
      </c>
      <c r="K282" s="37">
        <v>1.05</v>
      </c>
      <c r="L282" s="37">
        <v>0.97</v>
      </c>
      <c r="M282" s="37">
        <v>0.89</v>
      </c>
      <c r="N282" s="37">
        <v>0.82</v>
      </c>
      <c r="O282" s="37">
        <v>0.79</v>
      </c>
    </row>
    <row r="283" spans="1:15">
      <c r="A283" s="1">
        <f t="shared" si="4"/>
        <v>14.35</v>
      </c>
      <c r="B283" s="38">
        <v>14</v>
      </c>
      <c r="C283" s="37">
        <v>35</v>
      </c>
      <c r="D283" s="37">
        <v>0.76</v>
      </c>
      <c r="E283" s="37">
        <v>0.84</v>
      </c>
      <c r="F283" s="37">
        <v>0.95</v>
      </c>
      <c r="G283" s="37">
        <v>1.06</v>
      </c>
      <c r="H283" s="37">
        <v>1.1399999999999999</v>
      </c>
      <c r="I283" s="37">
        <v>1.1499999999999999</v>
      </c>
      <c r="J283" s="37">
        <v>1.1100000000000001</v>
      </c>
      <c r="K283" s="37">
        <v>1.04</v>
      </c>
      <c r="L283" s="37">
        <v>0.95</v>
      </c>
      <c r="M283" s="37">
        <v>0.85</v>
      </c>
      <c r="N283" s="37">
        <v>0.77</v>
      </c>
      <c r="O283" s="37">
        <v>0.73</v>
      </c>
    </row>
    <row r="284" spans="1:15">
      <c r="A284" s="1">
        <f t="shared" si="4"/>
        <v>14.4</v>
      </c>
      <c r="B284" s="38">
        <v>14</v>
      </c>
      <c r="C284" s="37">
        <v>40</v>
      </c>
      <c r="D284" s="37">
        <v>0.7</v>
      </c>
      <c r="E284" s="37">
        <v>0.79</v>
      </c>
      <c r="F284" s="37">
        <v>0.92</v>
      </c>
      <c r="G284" s="37">
        <v>1.04</v>
      </c>
      <c r="H284" s="37">
        <v>1.1299999999999999</v>
      </c>
      <c r="I284" s="37">
        <v>1.1399999999999999</v>
      </c>
      <c r="J284" s="37">
        <v>1.0900000000000001</v>
      </c>
      <c r="K284" s="37">
        <v>1.02</v>
      </c>
      <c r="L284" s="37">
        <v>0.91</v>
      </c>
      <c r="M284" s="37">
        <v>0.8</v>
      </c>
      <c r="N284" s="37">
        <v>0.71</v>
      </c>
      <c r="O284" s="37">
        <v>0.67</v>
      </c>
    </row>
    <row r="285" spans="1:15">
      <c r="A285" s="1">
        <f t="shared" si="4"/>
        <v>14.45</v>
      </c>
      <c r="B285" s="38">
        <v>14</v>
      </c>
      <c r="C285" s="37">
        <v>45</v>
      </c>
      <c r="D285" s="37">
        <v>0.64</v>
      </c>
      <c r="E285" s="37">
        <v>0.74</v>
      </c>
      <c r="F285" s="37">
        <v>0.88</v>
      </c>
      <c r="G285" s="37">
        <v>1.02</v>
      </c>
      <c r="H285" s="37">
        <v>1.1100000000000001</v>
      </c>
      <c r="I285" s="37">
        <v>1.1299999999999999</v>
      </c>
      <c r="J285" s="37">
        <v>1.08</v>
      </c>
      <c r="K285" s="37">
        <v>0.99</v>
      </c>
      <c r="L285" s="37">
        <v>0.87</v>
      </c>
      <c r="M285" s="37">
        <v>0.75</v>
      </c>
      <c r="N285" s="37">
        <v>0.65</v>
      </c>
      <c r="O285" s="37">
        <v>0.61</v>
      </c>
    </row>
    <row r="286" spans="1:15">
      <c r="A286" s="1">
        <f t="shared" si="4"/>
        <v>14.5</v>
      </c>
      <c r="B286" s="38">
        <v>14</v>
      </c>
      <c r="C286" s="37">
        <v>50</v>
      </c>
      <c r="D286" s="37">
        <v>0.56999999999999995</v>
      </c>
      <c r="E286" s="37">
        <v>0.68</v>
      </c>
      <c r="F286" s="37">
        <v>0.83</v>
      </c>
      <c r="G286" s="37">
        <v>0.98</v>
      </c>
      <c r="H286" s="37">
        <v>1.0900000000000001</v>
      </c>
      <c r="I286" s="37">
        <v>1.1000000000000001</v>
      </c>
      <c r="J286" s="37">
        <v>1.05</v>
      </c>
      <c r="K286" s="37">
        <v>0.96</v>
      </c>
      <c r="L286" s="37">
        <v>0.83</v>
      </c>
      <c r="M286" s="37">
        <v>0.69</v>
      </c>
      <c r="N286" s="37">
        <v>0.57999999999999996</v>
      </c>
      <c r="O286" s="37">
        <v>0.54</v>
      </c>
    </row>
    <row r="287" spans="1:15">
      <c r="A287" s="1">
        <f t="shared" si="4"/>
        <v>14.55</v>
      </c>
      <c r="B287" s="38">
        <v>14</v>
      </c>
      <c r="C287" s="37">
        <v>55</v>
      </c>
      <c r="D287" s="37">
        <v>0.5</v>
      </c>
      <c r="E287" s="37">
        <v>0.62</v>
      </c>
      <c r="F287" s="37">
        <v>0.78</v>
      </c>
      <c r="G287" s="37">
        <v>0.94</v>
      </c>
      <c r="H287" s="37">
        <v>1.06</v>
      </c>
      <c r="I287" s="37">
        <v>1.07</v>
      </c>
      <c r="J287" s="37">
        <v>1.02</v>
      </c>
      <c r="K287" s="37">
        <v>0.92</v>
      </c>
      <c r="L287" s="37">
        <v>0.78</v>
      </c>
      <c r="M287" s="37">
        <v>0.63</v>
      </c>
      <c r="N287" s="37">
        <v>0.51</v>
      </c>
      <c r="O287" s="37">
        <v>0.46</v>
      </c>
    </row>
    <row r="288" spans="1:15">
      <c r="A288" s="1">
        <f t="shared" si="4"/>
        <v>14.6</v>
      </c>
      <c r="B288" s="38">
        <v>14</v>
      </c>
      <c r="C288" s="37">
        <v>60</v>
      </c>
      <c r="D288" s="37">
        <v>0.43</v>
      </c>
      <c r="E288" s="37">
        <v>0.55000000000000004</v>
      </c>
      <c r="F288" s="37">
        <v>0.72</v>
      </c>
      <c r="G288" s="37">
        <v>0.9</v>
      </c>
      <c r="H288" s="37">
        <v>1.02</v>
      </c>
      <c r="I288" s="37">
        <v>1.04</v>
      </c>
      <c r="J288" s="37">
        <v>0.98</v>
      </c>
      <c r="K288" s="37">
        <v>0.87</v>
      </c>
      <c r="L288" s="37">
        <v>0.73</v>
      </c>
      <c r="M288" s="37">
        <v>0.56999999999999995</v>
      </c>
      <c r="N288" s="37">
        <v>0.44</v>
      </c>
      <c r="O288" s="37">
        <v>0.39</v>
      </c>
    </row>
    <row r="289" spans="1:15">
      <c r="A289" s="1">
        <f t="shared" si="4"/>
        <v>14.65</v>
      </c>
      <c r="B289" s="38">
        <v>14</v>
      </c>
      <c r="C289" s="37">
        <v>65</v>
      </c>
      <c r="D289" s="37">
        <v>0.35</v>
      </c>
      <c r="E289" s="37">
        <v>0.48</v>
      </c>
      <c r="F289" s="37">
        <v>0.66</v>
      </c>
      <c r="G289" s="37">
        <v>0.84</v>
      </c>
      <c r="H289" s="37">
        <v>0.97</v>
      </c>
      <c r="I289" s="37">
        <v>1</v>
      </c>
      <c r="J289" s="37">
        <v>0.94</v>
      </c>
      <c r="K289" s="37">
        <v>0.82</v>
      </c>
      <c r="L289" s="37">
        <v>0.67</v>
      </c>
      <c r="M289" s="37">
        <v>0.5</v>
      </c>
      <c r="N289" s="37">
        <v>0.36</v>
      </c>
      <c r="O289" s="37">
        <v>0.31</v>
      </c>
    </row>
    <row r="290" spans="1:15">
      <c r="A290" s="1">
        <f t="shared" si="4"/>
        <v>14.7</v>
      </c>
      <c r="B290" s="38">
        <v>14</v>
      </c>
      <c r="C290" s="37">
        <v>70</v>
      </c>
      <c r="D290" s="37">
        <v>0.28000000000000003</v>
      </c>
      <c r="E290" s="37">
        <v>0.41</v>
      </c>
      <c r="F290" s="37">
        <v>0.59</v>
      </c>
      <c r="G290" s="37">
        <v>0.79</v>
      </c>
      <c r="H290" s="37">
        <v>0.92</v>
      </c>
      <c r="I290" s="37">
        <v>0.95</v>
      </c>
      <c r="J290" s="37">
        <v>0.89</v>
      </c>
      <c r="K290" s="37">
        <v>0.77</v>
      </c>
      <c r="L290" s="37">
        <v>0.6</v>
      </c>
      <c r="M290" s="37">
        <v>0.43</v>
      </c>
      <c r="N290" s="37">
        <v>0.28999999999999998</v>
      </c>
      <c r="O290" s="37">
        <v>0.23</v>
      </c>
    </row>
    <row r="291" spans="1:15">
      <c r="A291" s="1">
        <f t="shared" si="4"/>
        <v>14.75</v>
      </c>
      <c r="B291" s="38">
        <v>14</v>
      </c>
      <c r="C291" s="37">
        <v>75</v>
      </c>
      <c r="D291" s="37">
        <v>0.2</v>
      </c>
      <c r="E291" s="37">
        <v>0.33</v>
      </c>
      <c r="F291" s="37">
        <v>0.52</v>
      </c>
      <c r="G291" s="37">
        <v>0.72</v>
      </c>
      <c r="H291" s="37">
        <v>0.87</v>
      </c>
      <c r="I291" s="37">
        <v>0.9</v>
      </c>
      <c r="J291" s="37">
        <v>0.83</v>
      </c>
      <c r="K291" s="37">
        <v>0.71</v>
      </c>
      <c r="L291" s="37">
        <v>0.54</v>
      </c>
      <c r="M291" s="37">
        <v>0.35</v>
      </c>
      <c r="N291" s="37">
        <v>0.21</v>
      </c>
      <c r="O291" s="37">
        <v>0.15</v>
      </c>
    </row>
    <row r="292" spans="1:15">
      <c r="A292" s="1">
        <f t="shared" si="4"/>
        <v>14.8</v>
      </c>
      <c r="B292" s="38">
        <v>14</v>
      </c>
      <c r="C292" s="37">
        <v>80</v>
      </c>
      <c r="D292" s="37">
        <v>0.11</v>
      </c>
      <c r="E292" s="37">
        <v>0.25</v>
      </c>
      <c r="F292" s="37">
        <v>0.45</v>
      </c>
      <c r="G292" s="37">
        <v>0.66</v>
      </c>
      <c r="H292" s="37">
        <v>0.8</v>
      </c>
      <c r="I292" s="37">
        <v>0.84</v>
      </c>
      <c r="J292" s="37">
        <v>0.77</v>
      </c>
      <c r="K292" s="37">
        <v>0.65</v>
      </c>
      <c r="L292" s="37">
        <v>0.47</v>
      </c>
      <c r="M292" s="37">
        <v>0.28000000000000003</v>
      </c>
      <c r="N292" s="37">
        <v>0.13</v>
      </c>
      <c r="O292" s="37">
        <v>0.1</v>
      </c>
    </row>
    <row r="293" spans="1:15">
      <c r="A293" s="1">
        <f t="shared" si="4"/>
        <v>14.85</v>
      </c>
      <c r="B293" s="38">
        <v>14</v>
      </c>
      <c r="C293" s="37">
        <v>85</v>
      </c>
      <c r="D293" s="37">
        <v>0.09</v>
      </c>
      <c r="E293" s="37">
        <v>0.18</v>
      </c>
      <c r="F293" s="37">
        <v>0.38</v>
      </c>
      <c r="G293" s="37">
        <v>0.59</v>
      </c>
      <c r="H293" s="37">
        <v>0.74</v>
      </c>
      <c r="I293" s="37">
        <v>0.77</v>
      </c>
      <c r="J293" s="37">
        <v>0.71</v>
      </c>
      <c r="K293" s="37">
        <v>0.57999999999999996</v>
      </c>
      <c r="L293" s="37">
        <v>0.39</v>
      </c>
      <c r="M293" s="37">
        <v>0.2</v>
      </c>
      <c r="N293" s="37">
        <v>0.1</v>
      </c>
      <c r="O293" s="37">
        <v>0.09</v>
      </c>
    </row>
    <row r="294" spans="1:15">
      <c r="A294" s="1">
        <f t="shared" si="4"/>
        <v>14.9</v>
      </c>
      <c r="B294" s="38">
        <v>14</v>
      </c>
      <c r="C294" s="37">
        <v>90</v>
      </c>
      <c r="D294" s="37">
        <v>0.08</v>
      </c>
      <c r="E294" s="37">
        <v>0.1</v>
      </c>
      <c r="F294" s="37">
        <v>0.3</v>
      </c>
      <c r="G294" s="37">
        <v>0.51</v>
      </c>
      <c r="H294" s="37">
        <v>0.67</v>
      </c>
      <c r="I294" s="37">
        <v>0.71</v>
      </c>
      <c r="J294" s="37">
        <v>0.64</v>
      </c>
      <c r="K294" s="37">
        <v>0.51</v>
      </c>
      <c r="L294" s="37">
        <v>0.32</v>
      </c>
      <c r="M294" s="37">
        <v>0.12</v>
      </c>
      <c r="N294" s="37">
        <v>0.09</v>
      </c>
      <c r="O294" s="37">
        <v>0.08</v>
      </c>
    </row>
    <row r="295" spans="1:15">
      <c r="A295" s="1">
        <f t="shared" si="4"/>
        <v>15</v>
      </c>
      <c r="B295" s="38">
        <v>15</v>
      </c>
      <c r="C295" s="37">
        <v>0</v>
      </c>
      <c r="D295" s="37">
        <v>1</v>
      </c>
      <c r="E295" s="37">
        <v>1</v>
      </c>
      <c r="F295" s="37">
        <v>1</v>
      </c>
      <c r="G295" s="37">
        <v>1</v>
      </c>
      <c r="H295" s="37">
        <v>1</v>
      </c>
      <c r="I295" s="37">
        <v>1</v>
      </c>
      <c r="J295" s="37">
        <v>1</v>
      </c>
      <c r="K295" s="37">
        <v>1</v>
      </c>
      <c r="L295" s="37">
        <v>1</v>
      </c>
      <c r="M295" s="37">
        <v>1</v>
      </c>
      <c r="N295" s="37">
        <v>1</v>
      </c>
      <c r="O295" s="37">
        <v>1</v>
      </c>
    </row>
    <row r="296" spans="1:15">
      <c r="A296" s="1">
        <f t="shared" si="4"/>
        <v>15.05</v>
      </c>
      <c r="B296" s="38">
        <v>15</v>
      </c>
      <c r="C296" s="37">
        <v>5</v>
      </c>
      <c r="D296" s="37">
        <v>0.99</v>
      </c>
      <c r="E296" s="37">
        <v>1</v>
      </c>
      <c r="F296" s="37">
        <v>1.02</v>
      </c>
      <c r="G296" s="37">
        <v>1.03</v>
      </c>
      <c r="H296" s="37">
        <v>1.04</v>
      </c>
      <c r="I296" s="37">
        <v>1.04</v>
      </c>
      <c r="J296" s="37">
        <v>1.04</v>
      </c>
      <c r="K296" s="37">
        <v>1.03</v>
      </c>
      <c r="L296" s="37">
        <v>1.01</v>
      </c>
      <c r="M296" s="37">
        <v>1</v>
      </c>
      <c r="N296" s="37">
        <v>0.99</v>
      </c>
      <c r="O296" s="37">
        <v>0.98</v>
      </c>
    </row>
    <row r="297" spans="1:15">
      <c r="A297" s="1">
        <f t="shared" si="4"/>
        <v>15.1</v>
      </c>
      <c r="B297" s="38">
        <v>15</v>
      </c>
      <c r="C297" s="37">
        <v>10</v>
      </c>
      <c r="D297" s="37">
        <v>0.97</v>
      </c>
      <c r="E297" s="37">
        <v>0.99</v>
      </c>
      <c r="F297" s="37">
        <v>1.02</v>
      </c>
      <c r="G297" s="37">
        <v>1.06</v>
      </c>
      <c r="H297" s="37">
        <v>1.08</v>
      </c>
      <c r="I297" s="37">
        <v>1.08</v>
      </c>
      <c r="J297" s="37">
        <v>1.07</v>
      </c>
      <c r="K297" s="37">
        <v>1.05</v>
      </c>
      <c r="L297" s="37">
        <v>1.02</v>
      </c>
      <c r="M297" s="37">
        <v>0.99</v>
      </c>
      <c r="N297" s="37">
        <v>0.97</v>
      </c>
      <c r="O297" s="37">
        <v>0.96</v>
      </c>
    </row>
    <row r="298" spans="1:15">
      <c r="A298" s="1">
        <f t="shared" si="4"/>
        <v>15.15</v>
      </c>
      <c r="B298" s="38">
        <v>15</v>
      </c>
      <c r="C298" s="37">
        <v>15</v>
      </c>
      <c r="D298" s="37">
        <v>0.94</v>
      </c>
      <c r="E298" s="37">
        <v>0.98</v>
      </c>
      <c r="F298" s="37">
        <v>1.03</v>
      </c>
      <c r="G298" s="37">
        <v>1.07</v>
      </c>
      <c r="H298" s="37">
        <v>1.1100000000000001</v>
      </c>
      <c r="I298" s="37">
        <v>1.1100000000000001</v>
      </c>
      <c r="J298" s="37">
        <v>1.0900000000000001</v>
      </c>
      <c r="K298" s="37">
        <v>1.06</v>
      </c>
      <c r="L298" s="37">
        <v>1.02</v>
      </c>
      <c r="M298" s="37">
        <v>0.98</v>
      </c>
      <c r="N298" s="37">
        <v>0.94</v>
      </c>
      <c r="O298" s="37">
        <v>0.93</v>
      </c>
    </row>
    <row r="299" spans="1:15">
      <c r="A299" s="1">
        <f t="shared" si="4"/>
        <v>15.2</v>
      </c>
      <c r="B299" s="38">
        <v>15</v>
      </c>
      <c r="C299" s="37">
        <v>20</v>
      </c>
      <c r="D299" s="37">
        <v>0.91</v>
      </c>
      <c r="E299" s="37">
        <v>0.95</v>
      </c>
      <c r="F299" s="37">
        <v>1.02</v>
      </c>
      <c r="G299" s="37">
        <v>1.0900000000000001</v>
      </c>
      <c r="H299" s="37">
        <v>1.1299999999999999</v>
      </c>
      <c r="I299" s="37">
        <v>1.1299999999999999</v>
      </c>
      <c r="J299" s="37">
        <v>1.1100000000000001</v>
      </c>
      <c r="K299" s="37">
        <v>1.07</v>
      </c>
      <c r="L299" s="37">
        <v>1.01</v>
      </c>
      <c r="M299" s="37">
        <v>0.95</v>
      </c>
      <c r="N299" s="37">
        <v>0.91</v>
      </c>
      <c r="O299" s="37">
        <v>0.89</v>
      </c>
    </row>
    <row r="300" spans="1:15">
      <c r="A300" s="1">
        <f t="shared" si="4"/>
        <v>15.25</v>
      </c>
      <c r="B300" s="38">
        <v>15</v>
      </c>
      <c r="C300" s="37">
        <v>25</v>
      </c>
      <c r="D300" s="37">
        <v>0.87</v>
      </c>
      <c r="E300" s="37">
        <v>0.93</v>
      </c>
      <c r="F300" s="37">
        <v>1.01</v>
      </c>
      <c r="G300" s="37">
        <v>1.0900000000000001</v>
      </c>
      <c r="H300" s="37">
        <v>1.1399999999999999</v>
      </c>
      <c r="I300" s="37">
        <v>1.1499999999999999</v>
      </c>
      <c r="J300" s="37">
        <v>1.1200000000000001</v>
      </c>
      <c r="K300" s="37">
        <v>1.07</v>
      </c>
      <c r="L300" s="37">
        <v>1</v>
      </c>
      <c r="M300" s="37">
        <v>0.93</v>
      </c>
      <c r="N300" s="37">
        <v>0.87</v>
      </c>
      <c r="O300" s="37">
        <v>0.85</v>
      </c>
    </row>
    <row r="301" spans="1:15">
      <c r="A301" s="1">
        <f t="shared" si="4"/>
        <v>15.3</v>
      </c>
      <c r="B301" s="38">
        <v>15</v>
      </c>
      <c r="C301" s="37">
        <v>30</v>
      </c>
      <c r="D301" s="37">
        <v>0.82</v>
      </c>
      <c r="E301" s="37">
        <v>0.89</v>
      </c>
      <c r="F301" s="37">
        <v>0.99</v>
      </c>
      <c r="G301" s="37">
        <v>1.08</v>
      </c>
      <c r="H301" s="37">
        <v>1.1499999999999999</v>
      </c>
      <c r="I301" s="37">
        <v>1.1599999999999999</v>
      </c>
      <c r="J301" s="37">
        <v>1.1200000000000001</v>
      </c>
      <c r="K301" s="37">
        <v>1.06</v>
      </c>
      <c r="L301" s="37">
        <v>0.98</v>
      </c>
      <c r="M301" s="37">
        <v>0.89</v>
      </c>
      <c r="N301" s="37">
        <v>0.82</v>
      </c>
      <c r="O301" s="37">
        <v>0.8</v>
      </c>
    </row>
    <row r="302" spans="1:15">
      <c r="A302" s="1">
        <f t="shared" si="4"/>
        <v>15.35</v>
      </c>
      <c r="B302" s="38">
        <v>15</v>
      </c>
      <c r="C302" s="37">
        <v>35</v>
      </c>
      <c r="D302" s="37">
        <v>0.77</v>
      </c>
      <c r="E302" s="37">
        <v>0.85</v>
      </c>
      <c r="F302" s="37">
        <v>0.96</v>
      </c>
      <c r="G302" s="37">
        <v>1.07</v>
      </c>
      <c r="H302" s="37">
        <v>1.1499999999999999</v>
      </c>
      <c r="I302" s="37">
        <v>1.1599999999999999</v>
      </c>
      <c r="J302" s="37">
        <v>1.1100000000000001</v>
      </c>
      <c r="K302" s="37">
        <v>1.05</v>
      </c>
      <c r="L302" s="37">
        <v>0.95</v>
      </c>
      <c r="M302" s="37">
        <v>0.85</v>
      </c>
      <c r="N302" s="37">
        <v>0.77</v>
      </c>
      <c r="O302" s="37">
        <v>0.74</v>
      </c>
    </row>
    <row r="303" spans="1:15">
      <c r="A303" s="1">
        <f t="shared" si="4"/>
        <v>15.4</v>
      </c>
      <c r="B303" s="38">
        <v>15</v>
      </c>
      <c r="C303" s="37">
        <v>40</v>
      </c>
      <c r="D303" s="37">
        <v>0.71</v>
      </c>
      <c r="E303" s="37">
        <v>0.8</v>
      </c>
      <c r="F303" s="37">
        <v>0.93</v>
      </c>
      <c r="G303" s="37">
        <v>1.05</v>
      </c>
      <c r="H303" s="37">
        <v>1.1399999999999999</v>
      </c>
      <c r="I303" s="37">
        <v>1.1499999999999999</v>
      </c>
      <c r="J303" s="37">
        <v>1.1000000000000001</v>
      </c>
      <c r="K303" s="37">
        <v>1.03</v>
      </c>
      <c r="L303" s="37">
        <v>0.92</v>
      </c>
      <c r="M303" s="37">
        <v>0.81</v>
      </c>
      <c r="N303" s="37">
        <v>0.72</v>
      </c>
      <c r="O303" s="37">
        <v>0.68</v>
      </c>
    </row>
    <row r="304" spans="1:15">
      <c r="A304" s="1">
        <f t="shared" si="4"/>
        <v>15.45</v>
      </c>
      <c r="B304" s="38">
        <v>15</v>
      </c>
      <c r="C304" s="37">
        <v>45</v>
      </c>
      <c r="D304" s="37">
        <v>0.65</v>
      </c>
      <c r="E304" s="37">
        <v>0.75</v>
      </c>
      <c r="F304" s="37">
        <v>0.89</v>
      </c>
      <c r="G304" s="37">
        <v>1.03</v>
      </c>
      <c r="H304" s="37">
        <v>1.1200000000000001</v>
      </c>
      <c r="I304" s="37">
        <v>1.1399999999999999</v>
      </c>
      <c r="J304" s="37">
        <v>1.0900000000000001</v>
      </c>
      <c r="K304" s="37">
        <v>1</v>
      </c>
      <c r="L304" s="37">
        <v>0.88</v>
      </c>
      <c r="M304" s="37">
        <v>0.76</v>
      </c>
      <c r="N304" s="37">
        <v>0.66</v>
      </c>
      <c r="O304" s="37">
        <v>0.62</v>
      </c>
    </row>
    <row r="305" spans="1:15">
      <c r="A305" s="1">
        <f t="shared" si="4"/>
        <v>15.5</v>
      </c>
      <c r="B305" s="38">
        <v>15</v>
      </c>
      <c r="C305" s="37">
        <v>50</v>
      </c>
      <c r="D305" s="37">
        <v>0.59</v>
      </c>
      <c r="E305" s="37">
        <v>0.69</v>
      </c>
      <c r="F305" s="37">
        <v>0.84</v>
      </c>
      <c r="G305" s="37">
        <v>1</v>
      </c>
      <c r="H305" s="37">
        <v>1.1000000000000001</v>
      </c>
      <c r="I305" s="37">
        <v>1.1200000000000001</v>
      </c>
      <c r="J305" s="37">
        <v>1.06</v>
      </c>
      <c r="K305" s="37">
        <v>0.97</v>
      </c>
      <c r="L305" s="37">
        <v>0.84</v>
      </c>
      <c r="M305" s="37">
        <v>0.7</v>
      </c>
      <c r="N305" s="37">
        <v>0.59</v>
      </c>
      <c r="O305" s="37">
        <v>0.55000000000000004</v>
      </c>
    </row>
    <row r="306" spans="1:15">
      <c r="A306" s="1">
        <f t="shared" si="4"/>
        <v>15.55</v>
      </c>
      <c r="B306" s="38">
        <v>15</v>
      </c>
      <c r="C306" s="37">
        <v>55</v>
      </c>
      <c r="D306" s="37">
        <v>0.52</v>
      </c>
      <c r="E306" s="37">
        <v>0.63</v>
      </c>
      <c r="F306" s="37">
        <v>0.79</v>
      </c>
      <c r="G306" s="37">
        <v>0.96</v>
      </c>
      <c r="H306" s="37">
        <v>1.07</v>
      </c>
      <c r="I306" s="37">
        <v>1.0900000000000001</v>
      </c>
      <c r="J306" s="37">
        <v>1.03</v>
      </c>
      <c r="K306" s="37">
        <v>0.93</v>
      </c>
      <c r="L306" s="37">
        <v>0.79</v>
      </c>
      <c r="M306" s="37">
        <v>0.64</v>
      </c>
      <c r="N306" s="37">
        <v>0.52</v>
      </c>
      <c r="O306" s="37">
        <v>0.48</v>
      </c>
    </row>
    <row r="307" spans="1:15">
      <c r="A307" s="1">
        <f t="shared" si="4"/>
        <v>15.6</v>
      </c>
      <c r="B307" s="38">
        <v>15</v>
      </c>
      <c r="C307" s="37">
        <v>60</v>
      </c>
      <c r="D307" s="37">
        <v>0.44</v>
      </c>
      <c r="E307" s="37">
        <v>0.56000000000000005</v>
      </c>
      <c r="F307" s="37">
        <v>0.74</v>
      </c>
      <c r="G307" s="37">
        <v>0.91</v>
      </c>
      <c r="H307" s="37">
        <v>1.03</v>
      </c>
      <c r="I307" s="37">
        <v>1.05</v>
      </c>
      <c r="J307" s="37">
        <v>0.99</v>
      </c>
      <c r="K307" s="37">
        <v>0.89</v>
      </c>
      <c r="L307" s="37">
        <v>0.74</v>
      </c>
      <c r="M307" s="37">
        <v>0.57999999999999996</v>
      </c>
      <c r="N307" s="37">
        <v>0.45</v>
      </c>
      <c r="O307" s="37">
        <v>0.4</v>
      </c>
    </row>
    <row r="308" spans="1:15">
      <c r="A308" s="1">
        <f t="shared" si="4"/>
        <v>15.65</v>
      </c>
      <c r="B308" s="38">
        <v>15</v>
      </c>
      <c r="C308" s="37">
        <v>65</v>
      </c>
      <c r="D308" s="37">
        <v>0.37</v>
      </c>
      <c r="E308" s="37">
        <v>0.49</v>
      </c>
      <c r="F308" s="37">
        <v>0.67</v>
      </c>
      <c r="G308" s="37">
        <v>0.86</v>
      </c>
      <c r="H308" s="37">
        <v>0.99</v>
      </c>
      <c r="I308" s="37">
        <v>1.01</v>
      </c>
      <c r="J308" s="37">
        <v>0.95</v>
      </c>
      <c r="K308" s="37">
        <v>0.84</v>
      </c>
      <c r="L308" s="37">
        <v>0.68</v>
      </c>
      <c r="M308" s="37">
        <v>0.51</v>
      </c>
      <c r="N308" s="37">
        <v>0.38</v>
      </c>
      <c r="O308" s="37">
        <v>0.32</v>
      </c>
    </row>
    <row r="309" spans="1:15">
      <c r="A309" s="1">
        <f t="shared" si="4"/>
        <v>15.7</v>
      </c>
      <c r="B309" s="38">
        <v>15</v>
      </c>
      <c r="C309" s="37">
        <v>70</v>
      </c>
      <c r="D309" s="37">
        <v>0.28999999999999998</v>
      </c>
      <c r="E309" s="37">
        <v>0.42</v>
      </c>
      <c r="F309" s="37">
        <v>0.61</v>
      </c>
      <c r="G309" s="37">
        <v>0.8</v>
      </c>
      <c r="H309" s="37">
        <v>0.94</v>
      </c>
      <c r="I309" s="37">
        <v>0.97</v>
      </c>
      <c r="J309" s="37">
        <v>0.9</v>
      </c>
      <c r="K309" s="37">
        <v>0.78</v>
      </c>
      <c r="L309" s="37">
        <v>0.62</v>
      </c>
      <c r="M309" s="37">
        <v>0.44</v>
      </c>
      <c r="N309" s="37">
        <v>0.3</v>
      </c>
      <c r="O309" s="37">
        <v>0.24</v>
      </c>
    </row>
    <row r="310" spans="1:15">
      <c r="A310" s="1">
        <f t="shared" si="4"/>
        <v>15.75</v>
      </c>
      <c r="B310" s="38">
        <v>15</v>
      </c>
      <c r="C310" s="37">
        <v>75</v>
      </c>
      <c r="D310" s="37">
        <v>0.21</v>
      </c>
      <c r="E310" s="37">
        <v>0.35</v>
      </c>
      <c r="F310" s="37">
        <v>0.54</v>
      </c>
      <c r="G310" s="37">
        <v>0.74</v>
      </c>
      <c r="H310" s="37">
        <v>0.88</v>
      </c>
      <c r="I310" s="37">
        <v>0.91</v>
      </c>
      <c r="J310" s="37">
        <v>0.85</v>
      </c>
      <c r="K310" s="37">
        <v>0.72</v>
      </c>
      <c r="L310" s="37">
        <v>0.55000000000000004</v>
      </c>
      <c r="M310" s="37">
        <v>0.37</v>
      </c>
      <c r="N310" s="37">
        <v>0.22</v>
      </c>
      <c r="O310" s="37">
        <v>0.16</v>
      </c>
    </row>
    <row r="311" spans="1:15">
      <c r="A311" s="1">
        <f t="shared" si="4"/>
        <v>15.8</v>
      </c>
      <c r="B311" s="38">
        <v>15</v>
      </c>
      <c r="C311" s="37">
        <v>80</v>
      </c>
      <c r="D311" s="37">
        <v>0.13</v>
      </c>
      <c r="E311" s="37">
        <v>0.27</v>
      </c>
      <c r="F311" s="37">
        <v>0.47</v>
      </c>
      <c r="G311" s="37">
        <v>0.67</v>
      </c>
      <c r="H311" s="37">
        <v>0.82</v>
      </c>
      <c r="I311" s="37">
        <v>0.85</v>
      </c>
      <c r="J311" s="37">
        <v>0.79</v>
      </c>
      <c r="K311" s="37">
        <v>0.66</v>
      </c>
      <c r="L311" s="37">
        <v>0.48</v>
      </c>
      <c r="M311" s="37">
        <v>0.28999999999999998</v>
      </c>
      <c r="N311" s="37">
        <v>0.14000000000000001</v>
      </c>
      <c r="O311" s="37">
        <v>0.1</v>
      </c>
    </row>
    <row r="312" spans="1:15">
      <c r="A312" s="1">
        <f t="shared" si="4"/>
        <v>15.85</v>
      </c>
      <c r="B312" s="38">
        <v>15</v>
      </c>
      <c r="C312" s="37">
        <v>85</v>
      </c>
      <c r="D312" s="37">
        <v>0.09</v>
      </c>
      <c r="E312" s="37">
        <v>0.19</v>
      </c>
      <c r="F312" s="37">
        <v>0.39</v>
      </c>
      <c r="G312" s="37">
        <v>0.6</v>
      </c>
      <c r="H312" s="37">
        <v>0.75</v>
      </c>
      <c r="I312" s="37">
        <v>0.79</v>
      </c>
      <c r="J312" s="37">
        <v>0.73</v>
      </c>
      <c r="K312" s="37">
        <v>0.59</v>
      </c>
      <c r="L312" s="37">
        <v>0.41</v>
      </c>
      <c r="M312" s="37">
        <v>0.21</v>
      </c>
      <c r="N312" s="37">
        <v>0.1</v>
      </c>
      <c r="O312" s="37">
        <v>0.09</v>
      </c>
    </row>
    <row r="313" spans="1:15">
      <c r="A313" s="1">
        <f t="shared" si="4"/>
        <v>15.9</v>
      </c>
      <c r="B313" s="38">
        <v>15</v>
      </c>
      <c r="C313" s="37">
        <v>90</v>
      </c>
      <c r="D313" s="37">
        <v>0.08</v>
      </c>
      <c r="E313" s="37">
        <v>0.11</v>
      </c>
      <c r="F313" s="37">
        <v>0.31</v>
      </c>
      <c r="G313" s="37">
        <v>0.53</v>
      </c>
      <c r="H313" s="37">
        <v>0.68</v>
      </c>
      <c r="I313" s="37">
        <v>0.72</v>
      </c>
      <c r="J313" s="37">
        <v>0.66</v>
      </c>
      <c r="K313" s="37">
        <v>0.52</v>
      </c>
      <c r="L313" s="37">
        <v>0.33</v>
      </c>
      <c r="M313" s="37">
        <v>0.14000000000000001</v>
      </c>
      <c r="N313" s="37">
        <v>0.09</v>
      </c>
      <c r="O313" s="37">
        <v>0.08</v>
      </c>
    </row>
    <row r="314" spans="1:15">
      <c r="A314" s="1">
        <f t="shared" si="4"/>
        <v>16</v>
      </c>
      <c r="B314" s="38">
        <v>16</v>
      </c>
      <c r="C314" s="37">
        <v>0</v>
      </c>
      <c r="D314" s="37">
        <v>1</v>
      </c>
      <c r="E314" s="37">
        <v>1</v>
      </c>
      <c r="F314" s="37">
        <v>1</v>
      </c>
      <c r="G314" s="37">
        <v>1</v>
      </c>
      <c r="H314" s="37">
        <v>1</v>
      </c>
      <c r="I314" s="37">
        <v>1</v>
      </c>
      <c r="J314" s="37">
        <v>1</v>
      </c>
      <c r="K314" s="37">
        <v>1</v>
      </c>
      <c r="L314" s="37">
        <v>1</v>
      </c>
      <c r="M314" s="37">
        <v>1</v>
      </c>
      <c r="N314" s="37">
        <v>1</v>
      </c>
      <c r="O314" s="37">
        <v>1</v>
      </c>
    </row>
    <row r="315" spans="1:15">
      <c r="A315" s="1">
        <f t="shared" si="4"/>
        <v>16.05</v>
      </c>
      <c r="B315" s="38">
        <v>16</v>
      </c>
      <c r="C315" s="37">
        <v>5</v>
      </c>
      <c r="D315" s="37">
        <v>0.99</v>
      </c>
      <c r="E315" s="37">
        <v>1</v>
      </c>
      <c r="F315" s="37">
        <v>1.02</v>
      </c>
      <c r="G315" s="37">
        <v>1.03</v>
      </c>
      <c r="H315" s="37">
        <v>1.04</v>
      </c>
      <c r="I315" s="37">
        <v>1.04</v>
      </c>
      <c r="J315" s="37">
        <v>1.04</v>
      </c>
      <c r="K315" s="37">
        <v>1.03</v>
      </c>
      <c r="L315" s="37">
        <v>1.01</v>
      </c>
      <c r="M315" s="37">
        <v>1</v>
      </c>
      <c r="N315" s="37">
        <v>0.99</v>
      </c>
      <c r="O315" s="37">
        <v>0.98</v>
      </c>
    </row>
    <row r="316" spans="1:15">
      <c r="A316" s="1">
        <f t="shared" si="4"/>
        <v>16.100000000000001</v>
      </c>
      <c r="B316" s="38">
        <v>16</v>
      </c>
      <c r="C316" s="37">
        <v>10</v>
      </c>
      <c r="D316" s="37">
        <v>0.97</v>
      </c>
      <c r="E316" s="37">
        <v>0.99</v>
      </c>
      <c r="F316" s="37">
        <v>1.03</v>
      </c>
      <c r="G316" s="37">
        <v>1.06</v>
      </c>
      <c r="H316" s="37">
        <v>1.08</v>
      </c>
      <c r="I316" s="37">
        <v>1.08</v>
      </c>
      <c r="J316" s="37">
        <v>1.07</v>
      </c>
      <c r="K316" s="37">
        <v>1.05</v>
      </c>
      <c r="L316" s="37">
        <v>1.02</v>
      </c>
      <c r="M316" s="37">
        <v>0.99</v>
      </c>
      <c r="N316" s="37">
        <v>0.97</v>
      </c>
      <c r="O316" s="37">
        <v>0.96</v>
      </c>
    </row>
    <row r="317" spans="1:15">
      <c r="A317" s="1">
        <f t="shared" si="4"/>
        <v>16.149999999999999</v>
      </c>
      <c r="B317" s="38">
        <v>16</v>
      </c>
      <c r="C317" s="37">
        <v>15</v>
      </c>
      <c r="D317" s="37">
        <v>0.94</v>
      </c>
      <c r="E317" s="37">
        <v>0.98</v>
      </c>
      <c r="F317" s="37">
        <v>1.03</v>
      </c>
      <c r="G317" s="37">
        <v>1.08</v>
      </c>
      <c r="H317" s="37">
        <v>1.1100000000000001</v>
      </c>
      <c r="I317" s="37">
        <v>1.1100000000000001</v>
      </c>
      <c r="J317" s="37">
        <v>1.0900000000000001</v>
      </c>
      <c r="K317" s="37">
        <v>1.06</v>
      </c>
      <c r="L317" s="37">
        <v>1.02</v>
      </c>
      <c r="M317" s="37">
        <v>0.98</v>
      </c>
      <c r="N317" s="37">
        <v>0.94</v>
      </c>
      <c r="O317" s="37">
        <v>0.93</v>
      </c>
    </row>
    <row r="318" spans="1:15">
      <c r="A318" s="1">
        <f t="shared" si="4"/>
        <v>16.2</v>
      </c>
      <c r="B318" s="38">
        <v>16</v>
      </c>
      <c r="C318" s="37">
        <v>20</v>
      </c>
      <c r="D318" s="37">
        <v>0.91</v>
      </c>
      <c r="E318" s="37">
        <v>0.96</v>
      </c>
      <c r="F318" s="37">
        <v>1.02</v>
      </c>
      <c r="G318" s="37">
        <v>1.0900000000000001</v>
      </c>
      <c r="H318" s="37">
        <v>1.1299999999999999</v>
      </c>
      <c r="I318" s="37">
        <v>1.1399999999999999</v>
      </c>
      <c r="J318" s="37">
        <v>1.1100000000000001</v>
      </c>
      <c r="K318" s="37">
        <v>1.07</v>
      </c>
      <c r="L318" s="37">
        <v>1.02</v>
      </c>
      <c r="M318" s="37">
        <v>0.96</v>
      </c>
      <c r="N318" s="37">
        <v>0.91</v>
      </c>
      <c r="O318" s="37">
        <v>0.89</v>
      </c>
    </row>
    <row r="319" spans="1:15">
      <c r="A319" s="1">
        <f t="shared" si="4"/>
        <v>16.25</v>
      </c>
      <c r="B319" s="38">
        <v>16</v>
      </c>
      <c r="C319" s="37">
        <v>25</v>
      </c>
      <c r="D319" s="37">
        <v>0.87</v>
      </c>
      <c r="E319" s="37">
        <v>0.93</v>
      </c>
      <c r="F319" s="37">
        <v>1.01</v>
      </c>
      <c r="G319" s="37">
        <v>1.1000000000000001</v>
      </c>
      <c r="H319" s="37">
        <v>1.1499999999999999</v>
      </c>
      <c r="I319" s="37">
        <v>1.1499999999999999</v>
      </c>
      <c r="J319" s="37">
        <v>1.1200000000000001</v>
      </c>
      <c r="K319" s="37">
        <v>1.07</v>
      </c>
      <c r="L319" s="37">
        <v>1.01</v>
      </c>
      <c r="M319" s="37">
        <v>0.93</v>
      </c>
      <c r="N319" s="37">
        <v>0.88</v>
      </c>
      <c r="O319" s="37">
        <v>0.85</v>
      </c>
    </row>
    <row r="320" spans="1:15">
      <c r="A320" s="1">
        <f t="shared" si="4"/>
        <v>16.3</v>
      </c>
      <c r="B320" s="38">
        <v>16</v>
      </c>
      <c r="C320" s="37">
        <v>30</v>
      </c>
      <c r="D320" s="37">
        <v>0.83</v>
      </c>
      <c r="E320" s="37">
        <v>0.9</v>
      </c>
      <c r="F320" s="37">
        <v>0.99</v>
      </c>
      <c r="G320" s="37">
        <v>1.0900000000000001</v>
      </c>
      <c r="H320" s="37">
        <v>1.1599999999999999</v>
      </c>
      <c r="I320" s="37">
        <v>1.1599999999999999</v>
      </c>
      <c r="J320" s="37">
        <v>1.1299999999999999</v>
      </c>
      <c r="K320" s="37">
        <v>1.07</v>
      </c>
      <c r="L320" s="37">
        <v>0.99</v>
      </c>
      <c r="M320" s="37">
        <v>0.9</v>
      </c>
      <c r="N320" s="37">
        <v>0.83</v>
      </c>
      <c r="O320" s="37">
        <v>0.8</v>
      </c>
    </row>
    <row r="321" spans="1:15">
      <c r="A321" s="1">
        <f t="shared" si="4"/>
        <v>16.350000000000001</v>
      </c>
      <c r="B321" s="38">
        <v>16</v>
      </c>
      <c r="C321" s="37">
        <v>35</v>
      </c>
      <c r="D321" s="37">
        <v>0.78</v>
      </c>
      <c r="E321" s="37">
        <v>0.86</v>
      </c>
      <c r="F321" s="37">
        <v>0.97</v>
      </c>
      <c r="G321" s="37">
        <v>1.08</v>
      </c>
      <c r="H321" s="37">
        <v>1.1599999999999999</v>
      </c>
      <c r="I321" s="37">
        <v>1.17</v>
      </c>
      <c r="J321" s="37">
        <v>1.1200000000000001</v>
      </c>
      <c r="K321" s="37">
        <v>1.06</v>
      </c>
      <c r="L321" s="37">
        <v>0.96</v>
      </c>
      <c r="M321" s="37">
        <v>0.86</v>
      </c>
      <c r="N321" s="37">
        <v>0.78</v>
      </c>
      <c r="O321" s="37">
        <v>0.75</v>
      </c>
    </row>
    <row r="322" spans="1:15">
      <c r="A322" s="1">
        <f t="shared" si="4"/>
        <v>16.399999999999999</v>
      </c>
      <c r="B322" s="38">
        <v>16</v>
      </c>
      <c r="C322" s="37">
        <v>40</v>
      </c>
      <c r="D322" s="37">
        <v>0.72</v>
      </c>
      <c r="E322" s="37">
        <v>0.81</v>
      </c>
      <c r="F322" s="37">
        <v>0.94</v>
      </c>
      <c r="G322" s="37">
        <v>1.07</v>
      </c>
      <c r="H322" s="37">
        <v>1.1499999999999999</v>
      </c>
      <c r="I322" s="37">
        <v>1.1599999999999999</v>
      </c>
      <c r="J322" s="37">
        <v>1.1100000000000001</v>
      </c>
      <c r="K322" s="37">
        <v>1.04</v>
      </c>
      <c r="L322" s="37">
        <v>0.93</v>
      </c>
      <c r="M322" s="37">
        <v>0.82</v>
      </c>
      <c r="N322" s="37">
        <v>0.73</v>
      </c>
      <c r="O322" s="37">
        <v>0.69</v>
      </c>
    </row>
    <row r="323" spans="1:15">
      <c r="A323" s="1">
        <f t="shared" si="4"/>
        <v>16.45</v>
      </c>
      <c r="B323" s="38">
        <v>16</v>
      </c>
      <c r="C323" s="37">
        <v>45</v>
      </c>
      <c r="D323" s="37">
        <v>0.66</v>
      </c>
      <c r="E323" s="37">
        <v>0.76</v>
      </c>
      <c r="F323" s="37">
        <v>0.9</v>
      </c>
      <c r="G323" s="37">
        <v>1.04</v>
      </c>
      <c r="H323" s="37">
        <v>1.1399999999999999</v>
      </c>
      <c r="I323" s="37">
        <v>1.1499999999999999</v>
      </c>
      <c r="J323" s="37">
        <v>1.1000000000000001</v>
      </c>
      <c r="K323" s="37">
        <v>1.01</v>
      </c>
      <c r="L323" s="37">
        <v>0.89</v>
      </c>
      <c r="M323" s="37">
        <v>0.77</v>
      </c>
      <c r="N323" s="37">
        <v>0.67</v>
      </c>
      <c r="O323" s="37">
        <v>0.63</v>
      </c>
    </row>
    <row r="324" spans="1:15">
      <c r="A324" s="1">
        <f t="shared" si="4"/>
        <v>16.5</v>
      </c>
      <c r="B324" s="38">
        <v>16</v>
      </c>
      <c r="C324" s="37">
        <v>50</v>
      </c>
      <c r="D324" s="37">
        <v>0.6</v>
      </c>
      <c r="E324" s="37">
        <v>0.7</v>
      </c>
      <c r="F324" s="37">
        <v>0.85</v>
      </c>
      <c r="G324" s="37">
        <v>1.01</v>
      </c>
      <c r="H324" s="37">
        <v>1.1100000000000001</v>
      </c>
      <c r="I324" s="37">
        <v>1.1299999999999999</v>
      </c>
      <c r="J324" s="37">
        <v>1.07</v>
      </c>
      <c r="K324" s="37">
        <v>0.98</v>
      </c>
      <c r="L324" s="37">
        <v>0.85</v>
      </c>
      <c r="M324" s="37">
        <v>0.71</v>
      </c>
      <c r="N324" s="37">
        <v>0.6</v>
      </c>
      <c r="O324" s="37">
        <v>0.56000000000000005</v>
      </c>
    </row>
    <row r="325" spans="1:15">
      <c r="A325" s="1">
        <f t="shared" si="4"/>
        <v>16.55</v>
      </c>
      <c r="B325" s="38">
        <v>16</v>
      </c>
      <c r="C325" s="37">
        <v>55</v>
      </c>
      <c r="D325" s="37">
        <v>0.53</v>
      </c>
      <c r="E325" s="37">
        <v>0.64</v>
      </c>
      <c r="F325" s="37">
        <v>0.8</v>
      </c>
      <c r="G325" s="37">
        <v>0.97</v>
      </c>
      <c r="H325" s="37">
        <v>1.08</v>
      </c>
      <c r="I325" s="37">
        <v>1.1000000000000001</v>
      </c>
      <c r="J325" s="37">
        <v>1.04</v>
      </c>
      <c r="K325" s="37">
        <v>0.94</v>
      </c>
      <c r="L325" s="37">
        <v>0.8</v>
      </c>
      <c r="M325" s="37">
        <v>0.65</v>
      </c>
      <c r="N325" s="37">
        <v>0.54</v>
      </c>
      <c r="O325" s="37">
        <v>0.49</v>
      </c>
    </row>
    <row r="326" spans="1:15">
      <c r="A326" s="1">
        <f t="shared" si="4"/>
        <v>16.600000000000001</v>
      </c>
      <c r="B326" s="38">
        <v>16</v>
      </c>
      <c r="C326" s="37">
        <v>60</v>
      </c>
      <c r="D326" s="37">
        <v>0.46</v>
      </c>
      <c r="E326" s="37">
        <v>0.57999999999999996</v>
      </c>
      <c r="F326" s="37">
        <v>0.75</v>
      </c>
      <c r="G326" s="37">
        <v>0.93</v>
      </c>
      <c r="H326" s="37">
        <v>1.05</v>
      </c>
      <c r="I326" s="37">
        <v>1.07</v>
      </c>
      <c r="J326" s="37">
        <v>1.01</v>
      </c>
      <c r="K326" s="37">
        <v>0.9</v>
      </c>
      <c r="L326" s="37">
        <v>0.75</v>
      </c>
      <c r="M326" s="37">
        <v>0.59</v>
      </c>
      <c r="N326" s="37">
        <v>0.46</v>
      </c>
      <c r="O326" s="37">
        <v>0.41</v>
      </c>
    </row>
    <row r="327" spans="1:15">
      <c r="A327" s="1">
        <f t="shared" si="4"/>
        <v>16.649999999999999</v>
      </c>
      <c r="B327" s="38">
        <v>16</v>
      </c>
      <c r="C327" s="37">
        <v>65</v>
      </c>
      <c r="D327" s="37">
        <v>0.38</v>
      </c>
      <c r="E327" s="37">
        <v>0.51</v>
      </c>
      <c r="F327" s="37">
        <v>0.69</v>
      </c>
      <c r="G327" s="37">
        <v>0.87</v>
      </c>
      <c r="H327" s="37">
        <v>1.01</v>
      </c>
      <c r="I327" s="37">
        <v>1.03</v>
      </c>
      <c r="J327" s="37">
        <v>0.96</v>
      </c>
      <c r="K327" s="37">
        <v>0.85</v>
      </c>
      <c r="L327" s="37">
        <v>0.69</v>
      </c>
      <c r="M327" s="37">
        <v>0.52</v>
      </c>
      <c r="N327" s="37">
        <v>0.39</v>
      </c>
      <c r="O327" s="37">
        <v>0.34</v>
      </c>
    </row>
    <row r="328" spans="1:15">
      <c r="A328" s="1">
        <f t="shared" si="4"/>
        <v>16.7</v>
      </c>
      <c r="B328" s="38">
        <v>16</v>
      </c>
      <c r="C328" s="37">
        <v>70</v>
      </c>
      <c r="D328" s="37">
        <v>0.3</v>
      </c>
      <c r="E328" s="37">
        <v>0.44</v>
      </c>
      <c r="F328" s="37">
        <v>0.62</v>
      </c>
      <c r="G328" s="37">
        <v>0.82</v>
      </c>
      <c r="H328" s="37">
        <v>0.96</v>
      </c>
      <c r="I328" s="37">
        <v>0.98</v>
      </c>
      <c r="J328" s="37">
        <v>0.92</v>
      </c>
      <c r="K328" s="37">
        <v>0.79</v>
      </c>
      <c r="L328" s="37">
        <v>0.63</v>
      </c>
      <c r="M328" s="37">
        <v>0.45</v>
      </c>
      <c r="N328" s="37">
        <v>0.31</v>
      </c>
      <c r="O328" s="37">
        <v>0.26</v>
      </c>
    </row>
    <row r="329" spans="1:15">
      <c r="A329" s="1">
        <f t="shared" si="4"/>
        <v>16.75</v>
      </c>
      <c r="B329" s="38">
        <v>16</v>
      </c>
      <c r="C329" s="37">
        <v>75</v>
      </c>
      <c r="D329" s="37">
        <v>0.22</v>
      </c>
      <c r="E329" s="37">
        <v>0.36</v>
      </c>
      <c r="F329" s="37">
        <v>0.55000000000000004</v>
      </c>
      <c r="G329" s="37">
        <v>0.76</v>
      </c>
      <c r="H329" s="37">
        <v>0.9</v>
      </c>
      <c r="I329" s="37">
        <v>0.93</v>
      </c>
      <c r="J329" s="37">
        <v>0.86</v>
      </c>
      <c r="K329" s="37">
        <v>0.74</v>
      </c>
      <c r="L329" s="37">
        <v>0.56000000000000005</v>
      </c>
      <c r="M329" s="37">
        <v>0.38</v>
      </c>
      <c r="N329" s="37">
        <v>0.24</v>
      </c>
      <c r="O329" s="37">
        <v>0.18</v>
      </c>
    </row>
    <row r="330" spans="1:15">
      <c r="A330" s="1">
        <f t="shared" ref="A330:A393" si="5">B330+C330/100</f>
        <v>16.8</v>
      </c>
      <c r="B330" s="38">
        <v>16</v>
      </c>
      <c r="C330" s="37">
        <v>80</v>
      </c>
      <c r="D330" s="37">
        <v>0.14000000000000001</v>
      </c>
      <c r="E330" s="37">
        <v>0.28000000000000003</v>
      </c>
      <c r="F330" s="37">
        <v>0.48</v>
      </c>
      <c r="G330" s="37">
        <v>0.69</v>
      </c>
      <c r="H330" s="37">
        <v>0.84</v>
      </c>
      <c r="I330" s="37">
        <v>0.87</v>
      </c>
      <c r="J330" s="37">
        <v>0.8</v>
      </c>
      <c r="K330" s="37">
        <v>0.67</v>
      </c>
      <c r="L330" s="37">
        <v>0.49</v>
      </c>
      <c r="M330" s="37">
        <v>0.3</v>
      </c>
      <c r="N330" s="37">
        <v>0.16</v>
      </c>
      <c r="O330" s="37">
        <v>0.1</v>
      </c>
    </row>
    <row r="331" spans="1:15">
      <c r="A331" s="1">
        <f t="shared" si="5"/>
        <v>16.850000000000001</v>
      </c>
      <c r="B331" s="38">
        <v>16</v>
      </c>
      <c r="C331" s="37">
        <v>85</v>
      </c>
      <c r="D331" s="37">
        <v>0.09</v>
      </c>
      <c r="E331" s="37">
        <v>0.2</v>
      </c>
      <c r="F331" s="37">
        <v>0.41</v>
      </c>
      <c r="G331" s="37">
        <v>0.62</v>
      </c>
      <c r="H331" s="37">
        <v>0.77</v>
      </c>
      <c r="I331" s="37">
        <v>0.81</v>
      </c>
      <c r="J331" s="37">
        <v>0.74</v>
      </c>
      <c r="K331" s="37">
        <v>0.61</v>
      </c>
      <c r="L331" s="37">
        <v>0.42</v>
      </c>
      <c r="M331" s="37">
        <v>0.23</v>
      </c>
      <c r="N331" s="37">
        <v>0.1</v>
      </c>
      <c r="O331" s="37">
        <v>0.09</v>
      </c>
    </row>
    <row r="332" spans="1:15">
      <c r="A332" s="1">
        <f t="shared" si="5"/>
        <v>16.899999999999999</v>
      </c>
      <c r="B332" s="38">
        <v>16</v>
      </c>
      <c r="C332" s="37">
        <v>90</v>
      </c>
      <c r="D332" s="37">
        <v>0.08</v>
      </c>
      <c r="E332" s="37">
        <v>0.12</v>
      </c>
      <c r="F332" s="37">
        <v>0.33</v>
      </c>
      <c r="G332" s="37">
        <v>0.54</v>
      </c>
      <c r="H332" s="37">
        <v>0.7</v>
      </c>
      <c r="I332" s="37">
        <v>0.74</v>
      </c>
      <c r="J332" s="37">
        <v>0.67</v>
      </c>
      <c r="K332" s="37">
        <v>0.54</v>
      </c>
      <c r="L332" s="37">
        <v>0.35</v>
      </c>
      <c r="M332" s="37">
        <v>0.15</v>
      </c>
      <c r="N332" s="37">
        <v>0.09</v>
      </c>
      <c r="O332" s="37">
        <v>0.08</v>
      </c>
    </row>
    <row r="333" spans="1:15">
      <c r="A333" s="1">
        <f t="shared" si="5"/>
        <v>17</v>
      </c>
      <c r="B333" s="38">
        <v>17</v>
      </c>
      <c r="C333" s="37">
        <v>0</v>
      </c>
      <c r="D333" s="37">
        <v>1</v>
      </c>
      <c r="E333" s="37">
        <v>1</v>
      </c>
      <c r="F333" s="37">
        <v>1</v>
      </c>
      <c r="G333" s="37">
        <v>1</v>
      </c>
      <c r="H333" s="37">
        <v>1</v>
      </c>
      <c r="I333" s="37">
        <v>1</v>
      </c>
      <c r="J333" s="37">
        <v>1</v>
      </c>
      <c r="K333" s="37">
        <v>1</v>
      </c>
      <c r="L333" s="37">
        <v>1</v>
      </c>
      <c r="M333" s="37">
        <v>1</v>
      </c>
      <c r="N333" s="37">
        <v>1</v>
      </c>
      <c r="O333" s="37">
        <v>1</v>
      </c>
    </row>
    <row r="334" spans="1:15">
      <c r="A334" s="1">
        <f t="shared" si="5"/>
        <v>17.05</v>
      </c>
      <c r="B334" s="38">
        <v>17</v>
      </c>
      <c r="C334" s="37">
        <v>5</v>
      </c>
      <c r="D334" s="37">
        <v>0.99</v>
      </c>
      <c r="E334" s="37">
        <v>1</v>
      </c>
      <c r="F334" s="37">
        <v>1.02</v>
      </c>
      <c r="G334" s="37">
        <v>1.03</v>
      </c>
      <c r="H334" s="37">
        <v>1.05</v>
      </c>
      <c r="I334" s="37">
        <v>1.05</v>
      </c>
      <c r="J334" s="37">
        <v>1.04</v>
      </c>
      <c r="K334" s="37">
        <v>1.03</v>
      </c>
      <c r="L334" s="37">
        <v>1.02</v>
      </c>
      <c r="M334" s="37">
        <v>1</v>
      </c>
      <c r="N334" s="37">
        <v>0.99</v>
      </c>
      <c r="O334" s="37">
        <v>0.98</v>
      </c>
    </row>
    <row r="335" spans="1:15">
      <c r="A335" s="1">
        <f t="shared" si="5"/>
        <v>17.100000000000001</v>
      </c>
      <c r="B335" s="38">
        <v>17</v>
      </c>
      <c r="C335" s="37">
        <v>10</v>
      </c>
      <c r="D335" s="37">
        <v>0.97</v>
      </c>
      <c r="E335" s="37">
        <v>1</v>
      </c>
      <c r="F335" s="37">
        <v>1.03</v>
      </c>
      <c r="G335" s="37">
        <v>1.06</v>
      </c>
      <c r="H335" s="37">
        <v>1.08</v>
      </c>
      <c r="I335" s="37">
        <v>1.08</v>
      </c>
      <c r="J335" s="37">
        <v>1.07</v>
      </c>
      <c r="K335" s="37">
        <v>1.05</v>
      </c>
      <c r="L335" s="37">
        <v>1.02</v>
      </c>
      <c r="M335" s="37">
        <v>1</v>
      </c>
      <c r="N335" s="37">
        <v>0.97</v>
      </c>
      <c r="O335" s="37">
        <v>0.96</v>
      </c>
    </row>
    <row r="336" spans="1:15">
      <c r="A336" s="1">
        <f t="shared" si="5"/>
        <v>17.149999999999999</v>
      </c>
      <c r="B336" s="38">
        <v>17</v>
      </c>
      <c r="C336" s="37">
        <v>15</v>
      </c>
      <c r="D336" s="37">
        <v>0.95</v>
      </c>
      <c r="E336" s="37">
        <v>0.98</v>
      </c>
      <c r="F336" s="37">
        <v>1.03</v>
      </c>
      <c r="G336" s="37">
        <v>1.08</v>
      </c>
      <c r="H336" s="37">
        <v>1.1200000000000001</v>
      </c>
      <c r="I336" s="37">
        <v>1.1200000000000001</v>
      </c>
      <c r="J336" s="37">
        <v>1.1000000000000001</v>
      </c>
      <c r="K336" s="37">
        <v>1.07</v>
      </c>
      <c r="L336" s="37">
        <v>1.03</v>
      </c>
      <c r="M336" s="37">
        <v>0.98</v>
      </c>
      <c r="N336" s="37">
        <v>0.95</v>
      </c>
      <c r="O336" s="37">
        <v>0.93</v>
      </c>
    </row>
    <row r="337" spans="1:15">
      <c r="A337" s="1">
        <f t="shared" si="5"/>
        <v>17.2</v>
      </c>
      <c r="B337" s="38">
        <v>17</v>
      </c>
      <c r="C337" s="37">
        <v>20</v>
      </c>
      <c r="D337" s="37">
        <v>0.92</v>
      </c>
      <c r="E337" s="37">
        <v>0.96</v>
      </c>
      <c r="F337" s="37">
        <v>1.03</v>
      </c>
      <c r="G337" s="37">
        <v>1.1000000000000001</v>
      </c>
      <c r="H337" s="37">
        <v>1.1399999999999999</v>
      </c>
      <c r="I337" s="37">
        <v>1.1399999999999999</v>
      </c>
      <c r="J337" s="37">
        <v>1.1200000000000001</v>
      </c>
      <c r="K337" s="37">
        <v>1.08</v>
      </c>
      <c r="L337" s="37">
        <v>1.02</v>
      </c>
      <c r="M337" s="37">
        <v>0.96</v>
      </c>
      <c r="N337" s="37">
        <v>0.92</v>
      </c>
      <c r="O337" s="37">
        <v>0.9</v>
      </c>
    </row>
    <row r="338" spans="1:15">
      <c r="A338" s="1">
        <f t="shared" si="5"/>
        <v>17.25</v>
      </c>
      <c r="B338" s="38">
        <v>17</v>
      </c>
      <c r="C338" s="37">
        <v>25</v>
      </c>
      <c r="D338" s="37">
        <v>0.88</v>
      </c>
      <c r="E338" s="37">
        <v>0.94</v>
      </c>
      <c r="F338" s="37">
        <v>1.02</v>
      </c>
      <c r="G338" s="37">
        <v>1.1000000000000001</v>
      </c>
      <c r="H338" s="37">
        <v>1.1599999999999999</v>
      </c>
      <c r="I338" s="37">
        <v>1.1599999999999999</v>
      </c>
      <c r="J338" s="37">
        <v>1.1299999999999999</v>
      </c>
      <c r="K338" s="37">
        <v>1.08</v>
      </c>
      <c r="L338" s="37">
        <v>1.01</v>
      </c>
      <c r="M338" s="37">
        <v>0.94</v>
      </c>
      <c r="N338" s="37">
        <v>0.88</v>
      </c>
      <c r="O338" s="37">
        <v>0.86</v>
      </c>
    </row>
    <row r="339" spans="1:15">
      <c r="A339" s="1">
        <f t="shared" si="5"/>
        <v>17.3</v>
      </c>
      <c r="B339" s="38">
        <v>17</v>
      </c>
      <c r="C339" s="37">
        <v>30</v>
      </c>
      <c r="D339" s="37">
        <v>0.84</v>
      </c>
      <c r="E339" s="37">
        <v>0.91</v>
      </c>
      <c r="F339" s="37">
        <v>1</v>
      </c>
      <c r="G339" s="37">
        <v>1.1000000000000001</v>
      </c>
      <c r="H339" s="37">
        <v>1.17</v>
      </c>
      <c r="I339" s="37">
        <v>1.17</v>
      </c>
      <c r="J339" s="37">
        <v>1.1299999999999999</v>
      </c>
      <c r="K339" s="37">
        <v>1.07</v>
      </c>
      <c r="L339" s="37">
        <v>0.99</v>
      </c>
      <c r="M339" s="37">
        <v>0.91</v>
      </c>
      <c r="N339" s="37">
        <v>0.84</v>
      </c>
      <c r="O339" s="37">
        <v>0.81</v>
      </c>
    </row>
    <row r="340" spans="1:15">
      <c r="A340" s="1">
        <f t="shared" si="5"/>
        <v>17.350000000000001</v>
      </c>
      <c r="B340" s="38">
        <v>17</v>
      </c>
      <c r="C340" s="37">
        <v>35</v>
      </c>
      <c r="D340" s="37">
        <v>0.79</v>
      </c>
      <c r="E340" s="37">
        <v>0.87</v>
      </c>
      <c r="F340" s="37">
        <v>0.98</v>
      </c>
      <c r="G340" s="37">
        <v>1.0900000000000001</v>
      </c>
      <c r="H340" s="37">
        <v>1.17</v>
      </c>
      <c r="I340" s="37">
        <v>1.17</v>
      </c>
      <c r="J340" s="37">
        <v>1.1299999999999999</v>
      </c>
      <c r="K340" s="37">
        <v>1.06</v>
      </c>
      <c r="L340" s="37">
        <v>0.97</v>
      </c>
      <c r="M340" s="37">
        <v>0.87</v>
      </c>
      <c r="N340" s="37">
        <v>0.79</v>
      </c>
      <c r="O340" s="37">
        <v>0.76</v>
      </c>
    </row>
    <row r="341" spans="1:15">
      <c r="A341" s="1">
        <f t="shared" si="5"/>
        <v>17.399999999999999</v>
      </c>
      <c r="B341" s="38">
        <v>17</v>
      </c>
      <c r="C341" s="37">
        <v>40</v>
      </c>
      <c r="D341" s="37">
        <v>0.73</v>
      </c>
      <c r="E341" s="37">
        <v>0.82</v>
      </c>
      <c r="F341" s="37">
        <v>0.95</v>
      </c>
      <c r="G341" s="37">
        <v>1.08</v>
      </c>
      <c r="H341" s="37">
        <v>1.1599999999999999</v>
      </c>
      <c r="I341" s="37">
        <v>1.17</v>
      </c>
      <c r="J341" s="37">
        <v>1.1200000000000001</v>
      </c>
      <c r="K341" s="37">
        <v>1.05</v>
      </c>
      <c r="L341" s="37">
        <v>0.94</v>
      </c>
      <c r="M341" s="37">
        <v>0.83</v>
      </c>
      <c r="N341" s="37">
        <v>0.74</v>
      </c>
      <c r="O341" s="37">
        <v>0.7</v>
      </c>
    </row>
    <row r="342" spans="1:15">
      <c r="A342" s="1">
        <f t="shared" si="5"/>
        <v>17.45</v>
      </c>
      <c r="B342" s="38">
        <v>17</v>
      </c>
      <c r="C342" s="37">
        <v>45</v>
      </c>
      <c r="D342" s="37">
        <v>0.67</v>
      </c>
      <c r="E342" s="37">
        <v>0.77</v>
      </c>
      <c r="F342" s="37">
        <v>0.91</v>
      </c>
      <c r="G342" s="37">
        <v>1.05</v>
      </c>
      <c r="H342" s="37">
        <v>1.1499999999999999</v>
      </c>
      <c r="I342" s="37">
        <v>1.1599999999999999</v>
      </c>
      <c r="J342" s="37">
        <v>1.1100000000000001</v>
      </c>
      <c r="K342" s="37">
        <v>1.02</v>
      </c>
      <c r="L342" s="37">
        <v>0.9</v>
      </c>
      <c r="M342" s="37">
        <v>0.78</v>
      </c>
      <c r="N342" s="37">
        <v>0.68</v>
      </c>
      <c r="O342" s="37">
        <v>0.64</v>
      </c>
    </row>
    <row r="343" spans="1:15">
      <c r="A343" s="1">
        <f t="shared" si="5"/>
        <v>17.5</v>
      </c>
      <c r="B343" s="38">
        <v>17</v>
      </c>
      <c r="C343" s="37">
        <v>50</v>
      </c>
      <c r="D343" s="37">
        <v>0.61</v>
      </c>
      <c r="E343" s="37">
        <v>0.72</v>
      </c>
      <c r="F343" s="37">
        <v>0.87</v>
      </c>
      <c r="G343" s="37">
        <v>1.02</v>
      </c>
      <c r="H343" s="37">
        <v>1.1299999999999999</v>
      </c>
      <c r="I343" s="37">
        <v>1.1399999999999999</v>
      </c>
      <c r="J343" s="37">
        <v>1.08</v>
      </c>
      <c r="K343" s="37">
        <v>0.99</v>
      </c>
      <c r="L343" s="37">
        <v>0.86</v>
      </c>
      <c r="M343" s="37">
        <v>0.72</v>
      </c>
      <c r="N343" s="37">
        <v>0.61</v>
      </c>
      <c r="O343" s="37">
        <v>0.56999999999999995</v>
      </c>
    </row>
    <row r="344" spans="1:15">
      <c r="A344" s="1">
        <f t="shared" si="5"/>
        <v>17.55</v>
      </c>
      <c r="B344" s="38">
        <v>17</v>
      </c>
      <c r="C344" s="37">
        <v>55</v>
      </c>
      <c r="D344" s="37">
        <v>0.54</v>
      </c>
      <c r="E344" s="37">
        <v>0.65</v>
      </c>
      <c r="F344" s="37">
        <v>0.82</v>
      </c>
      <c r="G344" s="37">
        <v>0.98</v>
      </c>
      <c r="H344" s="37">
        <v>1.1000000000000001</v>
      </c>
      <c r="I344" s="37">
        <v>1.1200000000000001</v>
      </c>
      <c r="J344" s="37">
        <v>1.06</v>
      </c>
      <c r="K344" s="37">
        <v>0.95</v>
      </c>
      <c r="L344" s="37">
        <v>0.81</v>
      </c>
      <c r="M344" s="37">
        <v>0.66</v>
      </c>
      <c r="N344" s="37">
        <v>0.55000000000000004</v>
      </c>
      <c r="O344" s="37">
        <v>0.5</v>
      </c>
    </row>
    <row r="345" spans="1:15">
      <c r="A345" s="1">
        <f t="shared" si="5"/>
        <v>17.600000000000001</v>
      </c>
      <c r="B345" s="38">
        <v>17</v>
      </c>
      <c r="C345" s="37">
        <v>60</v>
      </c>
      <c r="D345" s="37">
        <v>0.47</v>
      </c>
      <c r="E345" s="37">
        <v>0.59</v>
      </c>
      <c r="F345" s="37">
        <v>0.76</v>
      </c>
      <c r="G345" s="37">
        <v>0.94</v>
      </c>
      <c r="H345" s="37">
        <v>1.06</v>
      </c>
      <c r="I345" s="37">
        <v>1.08</v>
      </c>
      <c r="J345" s="37">
        <v>1.02</v>
      </c>
      <c r="K345" s="37">
        <v>0.91</v>
      </c>
      <c r="L345" s="37">
        <v>0.76</v>
      </c>
      <c r="M345" s="37">
        <v>0.6</v>
      </c>
      <c r="N345" s="37">
        <v>0.48</v>
      </c>
      <c r="O345" s="37">
        <v>0.43</v>
      </c>
    </row>
    <row r="346" spans="1:15">
      <c r="A346" s="1">
        <f t="shared" si="5"/>
        <v>17.649999999999999</v>
      </c>
      <c r="B346" s="38">
        <v>17</v>
      </c>
      <c r="C346" s="37">
        <v>65</v>
      </c>
      <c r="D346" s="37">
        <v>0.39</v>
      </c>
      <c r="E346" s="37">
        <v>0.52</v>
      </c>
      <c r="F346" s="37">
        <v>0.7</v>
      </c>
      <c r="G346" s="37">
        <v>0.89</v>
      </c>
      <c r="H346" s="37">
        <v>1.02</v>
      </c>
      <c r="I346" s="37">
        <v>1.04</v>
      </c>
      <c r="J346" s="37">
        <v>0.98</v>
      </c>
      <c r="K346" s="37">
        <v>0.86</v>
      </c>
      <c r="L346" s="37">
        <v>0.7</v>
      </c>
      <c r="M346" s="37">
        <v>0.53</v>
      </c>
      <c r="N346" s="37">
        <v>0.4</v>
      </c>
      <c r="O346" s="37">
        <v>0.35</v>
      </c>
    </row>
    <row r="347" spans="1:15">
      <c r="A347" s="1">
        <f t="shared" si="5"/>
        <v>17.7</v>
      </c>
      <c r="B347" s="38">
        <v>17</v>
      </c>
      <c r="C347" s="37">
        <v>70</v>
      </c>
      <c r="D347" s="37">
        <v>0.32</v>
      </c>
      <c r="E347" s="37">
        <v>0.45</v>
      </c>
      <c r="F347" s="37">
        <v>0.64</v>
      </c>
      <c r="G347" s="37">
        <v>0.83</v>
      </c>
      <c r="H347" s="37">
        <v>0.97</v>
      </c>
      <c r="I347" s="37">
        <v>1</v>
      </c>
      <c r="J347" s="37">
        <v>0.93</v>
      </c>
      <c r="K347" s="37">
        <v>0.81</v>
      </c>
      <c r="L347" s="37">
        <v>0.64</v>
      </c>
      <c r="M347" s="37">
        <v>0.46</v>
      </c>
      <c r="N347" s="37">
        <v>0.33</v>
      </c>
      <c r="O347" s="37">
        <v>0.27</v>
      </c>
    </row>
    <row r="348" spans="1:15">
      <c r="A348" s="1">
        <f t="shared" si="5"/>
        <v>17.75</v>
      </c>
      <c r="B348" s="38">
        <v>17</v>
      </c>
      <c r="C348" s="37">
        <v>75</v>
      </c>
      <c r="D348" s="37">
        <v>0.24</v>
      </c>
      <c r="E348" s="37">
        <v>0.37</v>
      </c>
      <c r="F348" s="37">
        <v>0.56999999999999995</v>
      </c>
      <c r="G348" s="37">
        <v>0.77</v>
      </c>
      <c r="H348" s="37">
        <v>0.92</v>
      </c>
      <c r="I348" s="37">
        <v>0.95</v>
      </c>
      <c r="J348" s="37">
        <v>0.88</v>
      </c>
      <c r="K348" s="37">
        <v>0.75</v>
      </c>
      <c r="L348" s="37">
        <v>0.57999999999999996</v>
      </c>
      <c r="M348" s="37">
        <v>0.39</v>
      </c>
      <c r="N348" s="37">
        <v>0.25</v>
      </c>
      <c r="O348" s="37">
        <v>0.19</v>
      </c>
    </row>
    <row r="349" spans="1:15">
      <c r="A349" s="1">
        <f t="shared" si="5"/>
        <v>17.8</v>
      </c>
      <c r="B349" s="38">
        <v>17</v>
      </c>
      <c r="C349" s="37">
        <v>80</v>
      </c>
      <c r="D349" s="37">
        <v>0.16</v>
      </c>
      <c r="E349" s="37">
        <v>0.3</v>
      </c>
      <c r="F349" s="37">
        <v>0.5</v>
      </c>
      <c r="G349" s="37">
        <v>0.71</v>
      </c>
      <c r="H349" s="37">
        <v>0.86</v>
      </c>
      <c r="I349" s="37">
        <v>0.89</v>
      </c>
      <c r="J349" s="37">
        <v>0.82</v>
      </c>
      <c r="K349" s="37">
        <v>0.69</v>
      </c>
      <c r="L349" s="37">
        <v>0.51</v>
      </c>
      <c r="M349" s="37">
        <v>0.32</v>
      </c>
      <c r="N349" s="37">
        <v>0.17</v>
      </c>
      <c r="O349" s="37">
        <v>0.11</v>
      </c>
    </row>
    <row r="350" spans="1:15">
      <c r="A350" s="1">
        <f t="shared" si="5"/>
        <v>17.850000000000001</v>
      </c>
      <c r="B350" s="38">
        <v>17</v>
      </c>
      <c r="C350" s="37">
        <v>85</v>
      </c>
      <c r="D350" s="37">
        <v>0.09</v>
      </c>
      <c r="E350" s="37">
        <v>0.22</v>
      </c>
      <c r="F350" s="37">
        <v>0.42</v>
      </c>
      <c r="G350" s="37">
        <v>0.64</v>
      </c>
      <c r="H350" s="37">
        <v>0.79</v>
      </c>
      <c r="I350" s="37">
        <v>0.83</v>
      </c>
      <c r="J350" s="37">
        <v>0.76</v>
      </c>
      <c r="K350" s="37">
        <v>0.62</v>
      </c>
      <c r="L350" s="37">
        <v>0.44</v>
      </c>
      <c r="M350" s="37">
        <v>0.24</v>
      </c>
      <c r="N350" s="37">
        <v>0.1</v>
      </c>
      <c r="O350" s="37">
        <v>0.09</v>
      </c>
    </row>
    <row r="351" spans="1:15">
      <c r="A351" s="1">
        <f t="shared" si="5"/>
        <v>17.899999999999999</v>
      </c>
      <c r="B351" s="38">
        <v>17</v>
      </c>
      <c r="C351" s="37">
        <v>90</v>
      </c>
      <c r="D351" s="37">
        <v>0.08</v>
      </c>
      <c r="E351" s="37">
        <v>0.14000000000000001</v>
      </c>
      <c r="F351" s="37">
        <v>0.34</v>
      </c>
      <c r="G351" s="37">
        <v>0.56000000000000005</v>
      </c>
      <c r="H351" s="37">
        <v>0.72</v>
      </c>
      <c r="I351" s="37">
        <v>0.76</v>
      </c>
      <c r="J351" s="37">
        <v>0.69</v>
      </c>
      <c r="K351" s="37">
        <v>0.55000000000000004</v>
      </c>
      <c r="L351" s="37">
        <v>0.36</v>
      </c>
      <c r="M351" s="37">
        <v>0.16</v>
      </c>
      <c r="N351" s="37">
        <v>0.09</v>
      </c>
      <c r="O351" s="37">
        <v>0.08</v>
      </c>
    </row>
    <row r="352" spans="1:15">
      <c r="A352" s="1">
        <f t="shared" si="5"/>
        <v>18</v>
      </c>
      <c r="B352" s="38">
        <v>18</v>
      </c>
      <c r="C352" s="37">
        <v>0</v>
      </c>
      <c r="D352" s="37">
        <v>1</v>
      </c>
      <c r="E352" s="37">
        <v>1</v>
      </c>
      <c r="F352" s="37">
        <v>1</v>
      </c>
      <c r="G352" s="37">
        <v>1</v>
      </c>
      <c r="H352" s="37">
        <v>1</v>
      </c>
      <c r="I352" s="37">
        <v>1</v>
      </c>
      <c r="J352" s="37">
        <v>1</v>
      </c>
      <c r="K352" s="37">
        <v>1</v>
      </c>
      <c r="L352" s="37">
        <v>1</v>
      </c>
      <c r="M352" s="37">
        <v>1</v>
      </c>
      <c r="N352" s="37">
        <v>1</v>
      </c>
      <c r="O352" s="37">
        <v>1</v>
      </c>
    </row>
    <row r="353" spans="1:15">
      <c r="A353" s="1">
        <f t="shared" si="5"/>
        <v>18.05</v>
      </c>
      <c r="B353" s="38">
        <v>18</v>
      </c>
      <c r="C353" s="37">
        <v>5</v>
      </c>
      <c r="D353" s="37">
        <v>0.99</v>
      </c>
      <c r="E353" s="37">
        <v>1</v>
      </c>
      <c r="F353" s="37">
        <v>1.02</v>
      </c>
      <c r="G353" s="37">
        <v>1.04</v>
      </c>
      <c r="H353" s="37">
        <v>1.05</v>
      </c>
      <c r="I353" s="37">
        <v>1.05</v>
      </c>
      <c r="J353" s="37">
        <v>1.04</v>
      </c>
      <c r="K353" s="37">
        <v>1.03</v>
      </c>
      <c r="L353" s="37">
        <v>1.02</v>
      </c>
      <c r="M353" s="37">
        <v>1</v>
      </c>
      <c r="N353" s="37">
        <v>0.99</v>
      </c>
      <c r="O353" s="37">
        <v>0.99</v>
      </c>
    </row>
    <row r="354" spans="1:15">
      <c r="A354" s="1">
        <f t="shared" si="5"/>
        <v>18.100000000000001</v>
      </c>
      <c r="B354" s="38">
        <v>18</v>
      </c>
      <c r="C354" s="37">
        <v>10</v>
      </c>
      <c r="D354" s="37">
        <v>0.97</v>
      </c>
      <c r="E354" s="37">
        <v>1</v>
      </c>
      <c r="F354" s="37">
        <v>1.03</v>
      </c>
      <c r="G354" s="37">
        <v>1.07</v>
      </c>
      <c r="H354" s="37">
        <v>1.0900000000000001</v>
      </c>
      <c r="I354" s="37">
        <v>1.0900000000000001</v>
      </c>
      <c r="J354" s="37">
        <v>1.07</v>
      </c>
      <c r="K354" s="37">
        <v>1.05</v>
      </c>
      <c r="L354" s="37">
        <v>1.03</v>
      </c>
      <c r="M354" s="37">
        <v>1</v>
      </c>
      <c r="N354" s="37">
        <v>0.97</v>
      </c>
      <c r="O354" s="37">
        <v>0.97</v>
      </c>
    </row>
    <row r="355" spans="1:15">
      <c r="A355" s="1">
        <f t="shared" si="5"/>
        <v>18.149999999999999</v>
      </c>
      <c r="B355" s="38">
        <v>18</v>
      </c>
      <c r="C355" s="37">
        <v>15</v>
      </c>
      <c r="D355" s="37">
        <v>0.95</v>
      </c>
      <c r="E355" s="37">
        <v>0.99</v>
      </c>
      <c r="F355" s="37">
        <v>1.04</v>
      </c>
      <c r="G355" s="37">
        <v>1.0900000000000001</v>
      </c>
      <c r="H355" s="37">
        <v>1.1200000000000001</v>
      </c>
      <c r="I355" s="37">
        <v>1.1200000000000001</v>
      </c>
      <c r="J355" s="37">
        <v>1.1000000000000001</v>
      </c>
      <c r="K355" s="37">
        <v>1.07</v>
      </c>
      <c r="L355" s="37">
        <v>1.03</v>
      </c>
      <c r="M355" s="37">
        <v>0.99</v>
      </c>
      <c r="N355" s="37">
        <v>0.95</v>
      </c>
      <c r="O355" s="37">
        <v>0.94</v>
      </c>
    </row>
    <row r="356" spans="1:15">
      <c r="A356" s="1">
        <f t="shared" si="5"/>
        <v>18.2</v>
      </c>
      <c r="B356" s="38">
        <v>18</v>
      </c>
      <c r="C356" s="37">
        <v>20</v>
      </c>
      <c r="D356" s="37">
        <v>0.92</v>
      </c>
      <c r="E356" s="37">
        <v>0.97</v>
      </c>
      <c r="F356" s="37">
        <v>1.04</v>
      </c>
      <c r="G356" s="37">
        <v>1.1000000000000001</v>
      </c>
      <c r="H356" s="37">
        <v>1.1499999999999999</v>
      </c>
      <c r="I356" s="37">
        <v>1.1499999999999999</v>
      </c>
      <c r="J356" s="37">
        <v>1.1200000000000001</v>
      </c>
      <c r="K356" s="37">
        <v>1.08</v>
      </c>
      <c r="L356" s="37">
        <v>1.03</v>
      </c>
      <c r="M356" s="37">
        <v>0.97</v>
      </c>
      <c r="N356" s="37">
        <v>0.92</v>
      </c>
      <c r="O356" s="37">
        <v>0.9</v>
      </c>
    </row>
    <row r="357" spans="1:15">
      <c r="A357" s="1">
        <f t="shared" si="5"/>
        <v>18.25</v>
      </c>
      <c r="B357" s="38">
        <v>18</v>
      </c>
      <c r="C357" s="37">
        <v>25</v>
      </c>
      <c r="D357" s="37">
        <v>0.89</v>
      </c>
      <c r="E357" s="37">
        <v>0.94</v>
      </c>
      <c r="F357" s="37">
        <v>1.03</v>
      </c>
      <c r="G357" s="37">
        <v>1.1100000000000001</v>
      </c>
      <c r="H357" s="37">
        <v>1.1599999999999999</v>
      </c>
      <c r="I357" s="37">
        <v>1.17</v>
      </c>
      <c r="J357" s="37">
        <v>1.1299999999999999</v>
      </c>
      <c r="K357" s="37">
        <v>1.08</v>
      </c>
      <c r="L357" s="37">
        <v>1.02</v>
      </c>
      <c r="M357" s="37">
        <v>0.94</v>
      </c>
      <c r="N357" s="37">
        <v>0.89</v>
      </c>
      <c r="O357" s="37">
        <v>0.86</v>
      </c>
    </row>
    <row r="358" spans="1:15">
      <c r="A358" s="1">
        <f t="shared" si="5"/>
        <v>18.3</v>
      </c>
      <c r="B358" s="38">
        <v>18</v>
      </c>
      <c r="C358" s="37">
        <v>30</v>
      </c>
      <c r="D358" s="37">
        <v>0.84</v>
      </c>
      <c r="E358" s="37">
        <v>0.91</v>
      </c>
      <c r="F358" s="37">
        <v>1.01</v>
      </c>
      <c r="G358" s="37">
        <v>1.1100000000000001</v>
      </c>
      <c r="H358" s="37">
        <v>1.17</v>
      </c>
      <c r="I358" s="37">
        <v>1.18</v>
      </c>
      <c r="J358" s="37">
        <v>1.1399999999999999</v>
      </c>
      <c r="K358" s="37">
        <v>1.08</v>
      </c>
      <c r="L358" s="37">
        <v>1</v>
      </c>
      <c r="M358" s="37">
        <v>0.91</v>
      </c>
      <c r="N358" s="37">
        <v>0.85</v>
      </c>
      <c r="O358" s="37">
        <v>0.82</v>
      </c>
    </row>
    <row r="359" spans="1:15">
      <c r="A359" s="1">
        <f t="shared" si="5"/>
        <v>18.350000000000001</v>
      </c>
      <c r="B359" s="38">
        <v>18</v>
      </c>
      <c r="C359" s="37">
        <v>35</v>
      </c>
      <c r="D359" s="37">
        <v>0.79</v>
      </c>
      <c r="E359" s="37">
        <v>0.87</v>
      </c>
      <c r="F359" s="37">
        <v>0.99</v>
      </c>
      <c r="G359" s="37">
        <v>1.1000000000000001</v>
      </c>
      <c r="H359" s="37">
        <v>1.18</v>
      </c>
      <c r="I359" s="37">
        <v>1.18</v>
      </c>
      <c r="J359" s="37">
        <v>1.1399999999999999</v>
      </c>
      <c r="K359" s="37">
        <v>1.07</v>
      </c>
      <c r="L359" s="37">
        <v>0.98</v>
      </c>
      <c r="M359" s="37">
        <v>0.88</v>
      </c>
      <c r="N359" s="37">
        <v>0.8</v>
      </c>
      <c r="O359" s="37">
        <v>0.77</v>
      </c>
    </row>
    <row r="360" spans="1:15">
      <c r="A360" s="1">
        <f t="shared" si="5"/>
        <v>18.399999999999999</v>
      </c>
      <c r="B360" s="38">
        <v>18</v>
      </c>
      <c r="C360" s="37">
        <v>40</v>
      </c>
      <c r="D360" s="37">
        <v>0.74</v>
      </c>
      <c r="E360" s="37">
        <v>0.83</v>
      </c>
      <c r="F360" s="37">
        <v>0.96</v>
      </c>
      <c r="G360" s="37">
        <v>1.0900000000000001</v>
      </c>
      <c r="H360" s="37">
        <v>1.17</v>
      </c>
      <c r="I360" s="37">
        <v>1.18</v>
      </c>
      <c r="J360" s="37">
        <v>1.1299999999999999</v>
      </c>
      <c r="K360" s="37">
        <v>1.05</v>
      </c>
      <c r="L360" s="37">
        <v>0.95</v>
      </c>
      <c r="M360" s="37">
        <v>0.83</v>
      </c>
      <c r="N360" s="37">
        <v>0.75</v>
      </c>
      <c r="O360" s="37">
        <v>0.71</v>
      </c>
    </row>
    <row r="361" spans="1:15">
      <c r="A361" s="1">
        <f t="shared" si="5"/>
        <v>18.45</v>
      </c>
      <c r="B361" s="38">
        <v>18</v>
      </c>
      <c r="C361" s="37">
        <v>45</v>
      </c>
      <c r="D361" s="37">
        <v>0.68</v>
      </c>
      <c r="E361" s="37">
        <v>0.78</v>
      </c>
      <c r="F361" s="37">
        <v>0.92</v>
      </c>
      <c r="G361" s="37">
        <v>1.06</v>
      </c>
      <c r="H361" s="37">
        <v>1.1599999999999999</v>
      </c>
      <c r="I361" s="37">
        <v>1.17</v>
      </c>
      <c r="J361" s="37">
        <v>1.1200000000000001</v>
      </c>
      <c r="K361" s="37">
        <v>1.03</v>
      </c>
      <c r="L361" s="37">
        <v>0.91</v>
      </c>
      <c r="M361" s="37">
        <v>0.79</v>
      </c>
      <c r="N361" s="37">
        <v>0.69</v>
      </c>
      <c r="O361" s="37">
        <v>0.65</v>
      </c>
    </row>
    <row r="362" spans="1:15">
      <c r="A362" s="1">
        <f t="shared" si="5"/>
        <v>18.5</v>
      </c>
      <c r="B362" s="38">
        <v>18</v>
      </c>
      <c r="C362" s="37">
        <v>50</v>
      </c>
      <c r="D362" s="37">
        <v>0.62</v>
      </c>
      <c r="E362" s="37">
        <v>0.73</v>
      </c>
      <c r="F362" s="37">
        <v>0.88</v>
      </c>
      <c r="G362" s="37">
        <v>1.03</v>
      </c>
      <c r="H362" s="37">
        <v>1.1399999999999999</v>
      </c>
      <c r="I362" s="37">
        <v>1.1499999999999999</v>
      </c>
      <c r="J362" s="37">
        <v>1.1000000000000001</v>
      </c>
      <c r="K362" s="37">
        <v>1</v>
      </c>
      <c r="L362" s="37">
        <v>0.87</v>
      </c>
      <c r="M362" s="37">
        <v>0.73</v>
      </c>
      <c r="N362" s="37">
        <v>0.63</v>
      </c>
      <c r="O362" s="37">
        <v>0.57999999999999996</v>
      </c>
    </row>
    <row r="363" spans="1:15">
      <c r="A363" s="1">
        <f t="shared" si="5"/>
        <v>18.55</v>
      </c>
      <c r="B363" s="38">
        <v>18</v>
      </c>
      <c r="C363" s="37">
        <v>55</v>
      </c>
      <c r="D363" s="37">
        <v>0.55000000000000004</v>
      </c>
      <c r="E363" s="37">
        <v>0.67</v>
      </c>
      <c r="F363" s="37">
        <v>0.83</v>
      </c>
      <c r="G363" s="37">
        <v>1</v>
      </c>
      <c r="H363" s="37">
        <v>1.1100000000000001</v>
      </c>
      <c r="I363" s="37">
        <v>1.1299999999999999</v>
      </c>
      <c r="J363" s="37">
        <v>1.07</v>
      </c>
      <c r="K363" s="37">
        <v>0.96</v>
      </c>
      <c r="L363" s="37">
        <v>0.82</v>
      </c>
      <c r="M363" s="37">
        <v>0.67</v>
      </c>
      <c r="N363" s="37">
        <v>0.56000000000000005</v>
      </c>
      <c r="O363" s="37">
        <v>0.51</v>
      </c>
    </row>
    <row r="364" spans="1:15">
      <c r="A364" s="1">
        <f t="shared" si="5"/>
        <v>18.600000000000001</v>
      </c>
      <c r="B364" s="38">
        <v>18</v>
      </c>
      <c r="C364" s="37">
        <v>60</v>
      </c>
      <c r="D364" s="37">
        <v>0.48</v>
      </c>
      <c r="E364" s="37">
        <v>0.6</v>
      </c>
      <c r="F364" s="37">
        <v>0.78</v>
      </c>
      <c r="G364" s="37">
        <v>0.96</v>
      </c>
      <c r="H364" s="37">
        <v>1.08</v>
      </c>
      <c r="I364" s="37">
        <v>1.1000000000000001</v>
      </c>
      <c r="J364" s="37">
        <v>1.03</v>
      </c>
      <c r="K364" s="37">
        <v>0.92</v>
      </c>
      <c r="L364" s="37">
        <v>0.77</v>
      </c>
      <c r="M364" s="37">
        <v>0.61</v>
      </c>
      <c r="N364" s="37">
        <v>0.49</v>
      </c>
      <c r="O364" s="37">
        <v>0.44</v>
      </c>
    </row>
    <row r="365" spans="1:15">
      <c r="A365" s="1">
        <f t="shared" si="5"/>
        <v>18.649999999999999</v>
      </c>
      <c r="B365" s="38">
        <v>18</v>
      </c>
      <c r="C365" s="37">
        <v>65</v>
      </c>
      <c r="D365" s="37">
        <v>0.41</v>
      </c>
      <c r="E365" s="37">
        <v>0.53</v>
      </c>
      <c r="F365" s="37">
        <v>0.72</v>
      </c>
      <c r="G365" s="37">
        <v>0.91</v>
      </c>
      <c r="H365" s="37">
        <v>1.04</v>
      </c>
      <c r="I365" s="37">
        <v>1.06</v>
      </c>
      <c r="J365" s="37">
        <v>0.99</v>
      </c>
      <c r="K365" s="37">
        <v>0.87</v>
      </c>
      <c r="L365" s="37">
        <v>0.72</v>
      </c>
      <c r="M365" s="37">
        <v>0.55000000000000004</v>
      </c>
      <c r="N365" s="37">
        <v>0.42</v>
      </c>
      <c r="O365" s="37">
        <v>0.36</v>
      </c>
    </row>
    <row r="366" spans="1:15">
      <c r="A366" s="1">
        <f t="shared" si="5"/>
        <v>18.7</v>
      </c>
      <c r="B366" s="38">
        <v>18</v>
      </c>
      <c r="C366" s="37">
        <v>70</v>
      </c>
      <c r="D366" s="37">
        <v>0.33</v>
      </c>
      <c r="E366" s="37">
        <v>0.46</v>
      </c>
      <c r="F366" s="37">
        <v>0.65</v>
      </c>
      <c r="G366" s="37">
        <v>0.85</v>
      </c>
      <c r="H366" s="37">
        <v>0.99</v>
      </c>
      <c r="I366" s="37">
        <v>1.01</v>
      </c>
      <c r="J366" s="37">
        <v>0.94</v>
      </c>
      <c r="K366" s="37">
        <v>0.82</v>
      </c>
      <c r="L366" s="37">
        <v>0.65</v>
      </c>
      <c r="M366" s="37">
        <v>0.48</v>
      </c>
      <c r="N366" s="37">
        <v>0.34</v>
      </c>
      <c r="O366" s="37">
        <v>0.28999999999999998</v>
      </c>
    </row>
    <row r="367" spans="1:15">
      <c r="A367" s="1">
        <f t="shared" si="5"/>
        <v>18.75</v>
      </c>
      <c r="B367" s="38">
        <v>18</v>
      </c>
      <c r="C367" s="37">
        <v>75</v>
      </c>
      <c r="D367" s="37">
        <v>0.25</v>
      </c>
      <c r="E367" s="37">
        <v>0.39</v>
      </c>
      <c r="F367" s="37">
        <v>0.57999999999999996</v>
      </c>
      <c r="G367" s="37">
        <v>0.79</v>
      </c>
      <c r="H367" s="37">
        <v>0.94</v>
      </c>
      <c r="I367" s="37">
        <v>0.96</v>
      </c>
      <c r="J367" s="37">
        <v>0.89</v>
      </c>
      <c r="K367" s="37">
        <v>0.76</v>
      </c>
      <c r="L367" s="37">
        <v>0.59</v>
      </c>
      <c r="M367" s="37">
        <v>0.4</v>
      </c>
      <c r="N367" s="37">
        <v>0.26</v>
      </c>
      <c r="O367" s="37">
        <v>0.21</v>
      </c>
    </row>
    <row r="368" spans="1:15">
      <c r="A368" s="1">
        <f t="shared" si="5"/>
        <v>18.8</v>
      </c>
      <c r="B368" s="38">
        <v>18</v>
      </c>
      <c r="C368" s="37">
        <v>80</v>
      </c>
      <c r="D368" s="37">
        <v>0.17</v>
      </c>
      <c r="E368" s="37">
        <v>0.31</v>
      </c>
      <c r="F368" s="37">
        <v>0.51</v>
      </c>
      <c r="G368" s="37">
        <v>0.72</v>
      </c>
      <c r="H368" s="37">
        <v>0.88</v>
      </c>
      <c r="I368" s="37">
        <v>0.91</v>
      </c>
      <c r="J368" s="37">
        <v>0.83</v>
      </c>
      <c r="K368" s="37">
        <v>0.7</v>
      </c>
      <c r="L368" s="37">
        <v>0.52</v>
      </c>
      <c r="M368" s="37">
        <v>0.33</v>
      </c>
      <c r="N368" s="37">
        <v>0.19</v>
      </c>
      <c r="O368" s="37">
        <v>0.13</v>
      </c>
    </row>
    <row r="369" spans="1:15">
      <c r="A369" s="1">
        <f t="shared" si="5"/>
        <v>18.850000000000001</v>
      </c>
      <c r="B369" s="38">
        <v>18</v>
      </c>
      <c r="C369" s="37">
        <v>85</v>
      </c>
      <c r="D369" s="37">
        <v>0.09</v>
      </c>
      <c r="E369" s="37">
        <v>0.13</v>
      </c>
      <c r="F369" s="37">
        <v>0.44</v>
      </c>
      <c r="G369" s="37">
        <v>0.65</v>
      </c>
      <c r="H369" s="37">
        <v>0.81</v>
      </c>
      <c r="I369" s="37">
        <v>0.84</v>
      </c>
      <c r="J369" s="37">
        <v>0.77</v>
      </c>
      <c r="K369" s="37">
        <v>0.64</v>
      </c>
      <c r="L369" s="37">
        <v>0.45</v>
      </c>
      <c r="M369" s="37">
        <v>0.25</v>
      </c>
      <c r="N369" s="37">
        <v>0.11</v>
      </c>
      <c r="O369" s="37">
        <v>0.09</v>
      </c>
    </row>
    <row r="370" spans="1:15">
      <c r="A370" s="1">
        <f t="shared" si="5"/>
        <v>18.899999999999999</v>
      </c>
      <c r="B370" s="38">
        <v>18</v>
      </c>
      <c r="C370" s="37">
        <v>90</v>
      </c>
      <c r="D370" s="37">
        <v>0.08</v>
      </c>
      <c r="E370" s="37">
        <v>0.15</v>
      </c>
      <c r="F370" s="37">
        <v>0.36</v>
      </c>
      <c r="G370" s="37">
        <v>0.57999999999999996</v>
      </c>
      <c r="H370" s="37">
        <v>0.74</v>
      </c>
      <c r="I370" s="37">
        <v>0.78</v>
      </c>
      <c r="J370" s="37">
        <v>0.71</v>
      </c>
      <c r="K370" s="37">
        <v>0.56999999999999995</v>
      </c>
      <c r="L370" s="37">
        <v>0.38</v>
      </c>
      <c r="M370" s="37">
        <v>0.18</v>
      </c>
      <c r="N370" s="37">
        <v>0.09</v>
      </c>
      <c r="O370" s="37">
        <v>0.8</v>
      </c>
    </row>
    <row r="371" spans="1:15">
      <c r="A371" s="1">
        <f t="shared" si="5"/>
        <v>19</v>
      </c>
      <c r="B371" s="38">
        <v>19</v>
      </c>
      <c r="C371" s="37">
        <v>0</v>
      </c>
      <c r="D371" s="37">
        <v>1</v>
      </c>
      <c r="E371" s="37">
        <v>1</v>
      </c>
      <c r="F371" s="37">
        <v>1</v>
      </c>
      <c r="G371" s="37">
        <v>1</v>
      </c>
      <c r="H371" s="37">
        <v>1</v>
      </c>
      <c r="I371" s="37">
        <v>1</v>
      </c>
      <c r="J371" s="37">
        <v>1</v>
      </c>
      <c r="K371" s="37">
        <v>1</v>
      </c>
      <c r="L371" s="37">
        <v>1</v>
      </c>
      <c r="M371" s="37">
        <v>1</v>
      </c>
      <c r="N371" s="37">
        <v>1</v>
      </c>
      <c r="O371" s="37">
        <v>1</v>
      </c>
    </row>
    <row r="372" spans="1:15">
      <c r="A372" s="1">
        <f t="shared" si="5"/>
        <v>19.05</v>
      </c>
      <c r="B372" s="38">
        <v>19</v>
      </c>
      <c r="C372" s="37">
        <v>5</v>
      </c>
      <c r="D372" s="37">
        <v>0.99</v>
      </c>
      <c r="E372" s="37">
        <v>1</v>
      </c>
      <c r="F372" s="37">
        <v>1.02</v>
      </c>
      <c r="G372" s="37">
        <v>1.04</v>
      </c>
      <c r="H372" s="37">
        <v>1.05</v>
      </c>
      <c r="I372" s="37">
        <v>1.05</v>
      </c>
      <c r="J372" s="37">
        <v>1.04</v>
      </c>
      <c r="K372" s="37">
        <v>1.03</v>
      </c>
      <c r="L372" s="37">
        <v>1.02</v>
      </c>
      <c r="M372" s="37">
        <v>1</v>
      </c>
      <c r="N372" s="37">
        <v>0.99</v>
      </c>
      <c r="O372" s="37">
        <v>0.99</v>
      </c>
    </row>
    <row r="373" spans="1:15">
      <c r="A373" s="1">
        <f t="shared" si="5"/>
        <v>19.100000000000001</v>
      </c>
      <c r="B373" s="38">
        <v>19</v>
      </c>
      <c r="C373" s="37">
        <v>10</v>
      </c>
      <c r="D373" s="37">
        <v>0.98</v>
      </c>
      <c r="E373" s="37">
        <v>1</v>
      </c>
      <c r="F373" s="37">
        <v>1.03</v>
      </c>
      <c r="G373" s="37">
        <v>1.07</v>
      </c>
      <c r="H373" s="37">
        <v>1.0900000000000001</v>
      </c>
      <c r="I373" s="37">
        <v>1.0900000000000001</v>
      </c>
      <c r="J373" s="37">
        <v>1.08</v>
      </c>
      <c r="K373" s="37">
        <v>1.06</v>
      </c>
      <c r="L373" s="37">
        <v>1.03</v>
      </c>
      <c r="M373" s="37">
        <v>1</v>
      </c>
      <c r="N373" s="37">
        <v>0.98</v>
      </c>
      <c r="O373" s="37">
        <v>0.97</v>
      </c>
    </row>
    <row r="374" spans="1:15">
      <c r="A374" s="1">
        <f t="shared" si="5"/>
        <v>19.149999999999999</v>
      </c>
      <c r="B374" s="38">
        <v>19</v>
      </c>
      <c r="C374" s="37">
        <v>15</v>
      </c>
      <c r="D374" s="37">
        <v>0.95</v>
      </c>
      <c r="E374" s="37">
        <v>0.99</v>
      </c>
      <c r="F374" s="37">
        <v>1.04</v>
      </c>
      <c r="G374" s="37">
        <v>1.0900000000000001</v>
      </c>
      <c r="H374" s="37">
        <v>1.1200000000000001</v>
      </c>
      <c r="I374" s="37">
        <v>1.1299999999999999</v>
      </c>
      <c r="J374" s="37">
        <v>1.1000000000000001</v>
      </c>
      <c r="K374" s="37">
        <v>1.07</v>
      </c>
      <c r="L374" s="37">
        <v>1.03</v>
      </c>
      <c r="M374" s="37">
        <v>0.99</v>
      </c>
      <c r="N374" s="37">
        <v>0.96</v>
      </c>
      <c r="O374" s="37">
        <v>0.94</v>
      </c>
    </row>
    <row r="375" spans="1:15">
      <c r="A375" s="1">
        <f t="shared" si="5"/>
        <v>19.2</v>
      </c>
      <c r="B375" s="38">
        <v>19</v>
      </c>
      <c r="C375" s="37">
        <v>20</v>
      </c>
      <c r="D375" s="37">
        <v>0.93</v>
      </c>
      <c r="E375" s="37">
        <v>0.97</v>
      </c>
      <c r="F375" s="37">
        <v>1.04</v>
      </c>
      <c r="G375" s="37">
        <v>1.1100000000000001</v>
      </c>
      <c r="H375" s="37">
        <v>1.1499999999999999</v>
      </c>
      <c r="I375" s="37">
        <v>1.1499999999999999</v>
      </c>
      <c r="J375" s="37">
        <v>1.1299999999999999</v>
      </c>
      <c r="K375" s="37">
        <v>1.0900000000000001</v>
      </c>
      <c r="L375" s="37">
        <v>1.03</v>
      </c>
      <c r="M375" s="37">
        <v>0.97</v>
      </c>
      <c r="N375" s="37">
        <v>0.93</v>
      </c>
      <c r="O375" s="37">
        <v>0.91</v>
      </c>
    </row>
    <row r="376" spans="1:15">
      <c r="A376" s="1">
        <f t="shared" si="5"/>
        <v>19.25</v>
      </c>
      <c r="B376" s="38">
        <v>19</v>
      </c>
      <c r="C376" s="37">
        <v>25</v>
      </c>
      <c r="D376" s="37">
        <v>0.89</v>
      </c>
      <c r="E376" s="37">
        <v>0.95</v>
      </c>
      <c r="F376" s="37">
        <v>1.03</v>
      </c>
      <c r="G376" s="37">
        <v>1.1200000000000001</v>
      </c>
      <c r="H376" s="37">
        <v>1.17</v>
      </c>
      <c r="I376" s="37">
        <v>1.17</v>
      </c>
      <c r="J376" s="37">
        <v>1.1399999999999999</v>
      </c>
      <c r="K376" s="37">
        <v>1.0900000000000001</v>
      </c>
      <c r="L376" s="37">
        <v>1.02</v>
      </c>
      <c r="M376" s="37">
        <v>0.95</v>
      </c>
      <c r="N376" s="37">
        <v>0.89</v>
      </c>
      <c r="O376" s="37">
        <v>0.87</v>
      </c>
    </row>
    <row r="377" spans="1:15">
      <c r="A377" s="1">
        <f t="shared" si="5"/>
        <v>19.3</v>
      </c>
      <c r="B377" s="38">
        <v>19</v>
      </c>
      <c r="C377" s="37">
        <v>30</v>
      </c>
      <c r="D377" s="37">
        <v>0.85</v>
      </c>
      <c r="E377" s="37">
        <v>0.92</v>
      </c>
      <c r="F377" s="37">
        <v>1.02</v>
      </c>
      <c r="G377" s="37">
        <v>1.1200000000000001</v>
      </c>
      <c r="H377" s="37">
        <v>1.18</v>
      </c>
      <c r="I377" s="37">
        <v>1.19</v>
      </c>
      <c r="J377" s="37">
        <v>1.1499999999999999</v>
      </c>
      <c r="K377" s="37">
        <v>1.0900000000000001</v>
      </c>
      <c r="L377" s="37">
        <v>1.01</v>
      </c>
      <c r="M377" s="37">
        <v>0.92</v>
      </c>
      <c r="N377" s="37">
        <v>0.85</v>
      </c>
      <c r="O377" s="37">
        <v>0.83</v>
      </c>
    </row>
    <row r="378" spans="1:15">
      <c r="A378" s="1">
        <f t="shared" si="5"/>
        <v>19.350000000000001</v>
      </c>
      <c r="B378" s="38">
        <v>19</v>
      </c>
      <c r="C378" s="37">
        <v>35</v>
      </c>
      <c r="D378" s="37">
        <v>0.8</v>
      </c>
      <c r="E378" s="37">
        <v>0.88</v>
      </c>
      <c r="F378" s="37">
        <v>1</v>
      </c>
      <c r="G378" s="37">
        <v>1.1100000000000001</v>
      </c>
      <c r="H378" s="37">
        <v>1.19</v>
      </c>
      <c r="I378" s="37">
        <v>1.19</v>
      </c>
      <c r="J378" s="37">
        <v>1.1499999999999999</v>
      </c>
      <c r="K378" s="37">
        <v>1.08</v>
      </c>
      <c r="L378" s="37">
        <v>0.99</v>
      </c>
      <c r="M378" s="37">
        <v>0.88</v>
      </c>
      <c r="N378" s="37">
        <v>0.81</v>
      </c>
      <c r="O378" s="37">
        <v>0.78</v>
      </c>
    </row>
    <row r="379" spans="1:15">
      <c r="A379" s="1">
        <f t="shared" si="5"/>
        <v>19.399999999999999</v>
      </c>
      <c r="B379" s="38">
        <v>19</v>
      </c>
      <c r="C379" s="37">
        <v>40</v>
      </c>
      <c r="D379" s="37">
        <v>0.75</v>
      </c>
      <c r="E379" s="37">
        <v>0.84</v>
      </c>
      <c r="F379" s="37">
        <v>0.97</v>
      </c>
      <c r="G379" s="37">
        <v>1.1000000000000001</v>
      </c>
      <c r="H379" s="37">
        <v>1.19</v>
      </c>
      <c r="I379" s="37">
        <v>1.19</v>
      </c>
      <c r="J379" s="37">
        <v>1.1399999999999999</v>
      </c>
      <c r="K379" s="37">
        <v>1.06</v>
      </c>
      <c r="L379" s="37">
        <v>0.96</v>
      </c>
      <c r="M379" s="37">
        <v>0.84</v>
      </c>
      <c r="N379" s="37">
        <v>0.75</v>
      </c>
      <c r="O379" s="37">
        <v>0.72</v>
      </c>
    </row>
    <row r="380" spans="1:15">
      <c r="A380" s="1">
        <f t="shared" si="5"/>
        <v>19.45</v>
      </c>
      <c r="B380" s="38">
        <v>19</v>
      </c>
      <c r="C380" s="37">
        <v>45</v>
      </c>
      <c r="D380" s="37">
        <v>0.69</v>
      </c>
      <c r="E380" s="37">
        <v>0.79</v>
      </c>
      <c r="F380" s="37">
        <v>0.93</v>
      </c>
      <c r="G380" s="37">
        <v>1.08</v>
      </c>
      <c r="H380" s="37">
        <v>1.17</v>
      </c>
      <c r="I380" s="37">
        <v>1.18</v>
      </c>
      <c r="J380" s="37">
        <v>1.1299999999999999</v>
      </c>
      <c r="K380" s="37">
        <v>1.04</v>
      </c>
      <c r="L380" s="37">
        <v>0.92</v>
      </c>
      <c r="M380" s="37">
        <v>0.8</v>
      </c>
      <c r="N380" s="37">
        <v>0.7</v>
      </c>
      <c r="O380" s="37">
        <v>0.66</v>
      </c>
    </row>
    <row r="381" spans="1:15">
      <c r="A381" s="1">
        <f t="shared" si="5"/>
        <v>19.5</v>
      </c>
      <c r="B381" s="38">
        <v>19</v>
      </c>
      <c r="C381" s="37">
        <v>50</v>
      </c>
      <c r="D381" s="37">
        <v>0.63</v>
      </c>
      <c r="E381" s="37">
        <v>0.74</v>
      </c>
      <c r="F381" s="37">
        <v>0.89</v>
      </c>
      <c r="G381" s="37">
        <v>1.05</v>
      </c>
      <c r="H381" s="37">
        <v>1.1599999999999999</v>
      </c>
      <c r="I381" s="37">
        <v>1.17</v>
      </c>
      <c r="J381" s="37">
        <v>1.1100000000000001</v>
      </c>
      <c r="K381" s="37">
        <v>1.01</v>
      </c>
      <c r="L381" s="37">
        <v>0.88</v>
      </c>
      <c r="M381" s="37">
        <v>0.74</v>
      </c>
      <c r="N381" s="37">
        <v>0.64</v>
      </c>
      <c r="O381" s="37">
        <v>0.59</v>
      </c>
    </row>
    <row r="382" spans="1:15">
      <c r="A382" s="1">
        <f t="shared" si="5"/>
        <v>19.55</v>
      </c>
      <c r="B382" s="38">
        <v>19</v>
      </c>
      <c r="C382" s="37">
        <v>55</v>
      </c>
      <c r="D382" s="37">
        <v>0.56000000000000005</v>
      </c>
      <c r="E382" s="37">
        <v>0.68</v>
      </c>
      <c r="F382" s="37">
        <v>0.84</v>
      </c>
      <c r="G382" s="37">
        <v>1.01</v>
      </c>
      <c r="H382" s="37">
        <v>1.1299999999999999</v>
      </c>
      <c r="I382" s="37">
        <v>1.1399999999999999</v>
      </c>
      <c r="J382" s="37">
        <v>1.08</v>
      </c>
      <c r="K382" s="37">
        <v>0.98</v>
      </c>
      <c r="L382" s="37">
        <v>0.84</v>
      </c>
      <c r="M382" s="37">
        <v>0.69</v>
      </c>
      <c r="N382" s="37">
        <v>0.56999999999999995</v>
      </c>
      <c r="O382" s="37">
        <v>0.52</v>
      </c>
    </row>
    <row r="383" spans="1:15">
      <c r="A383" s="1">
        <f t="shared" si="5"/>
        <v>19.600000000000001</v>
      </c>
      <c r="B383" s="38">
        <v>19</v>
      </c>
      <c r="C383" s="37">
        <v>60</v>
      </c>
      <c r="D383" s="37">
        <v>0.49</v>
      </c>
      <c r="E383" s="37">
        <v>0.62</v>
      </c>
      <c r="F383" s="37">
        <v>0.79</v>
      </c>
      <c r="G383" s="37">
        <v>0.97</v>
      </c>
      <c r="H383" s="37">
        <v>1.1000000000000001</v>
      </c>
      <c r="I383" s="37">
        <v>1.1100000000000001</v>
      </c>
      <c r="J383" s="37">
        <v>1.05</v>
      </c>
      <c r="K383" s="37">
        <v>0.93</v>
      </c>
      <c r="L383" s="37">
        <v>0.78</v>
      </c>
      <c r="M383" s="37">
        <v>0.62</v>
      </c>
      <c r="N383" s="37">
        <v>0.5</v>
      </c>
      <c r="O383" s="37">
        <v>0.45</v>
      </c>
    </row>
    <row r="384" spans="1:15">
      <c r="A384" s="1">
        <f t="shared" si="5"/>
        <v>19.649999999999999</v>
      </c>
      <c r="B384" s="38">
        <v>19</v>
      </c>
      <c r="C384" s="37">
        <v>65</v>
      </c>
      <c r="D384" s="37">
        <v>0.42</v>
      </c>
      <c r="E384" s="37">
        <v>0.55000000000000004</v>
      </c>
      <c r="F384" s="37">
        <v>0.73</v>
      </c>
      <c r="G384" s="37">
        <v>0.92</v>
      </c>
      <c r="H384" s="37">
        <v>1.05</v>
      </c>
      <c r="I384" s="37">
        <v>1.07</v>
      </c>
      <c r="J384" s="37">
        <v>1.01</v>
      </c>
      <c r="K384" s="37">
        <v>0.89</v>
      </c>
      <c r="L384" s="37">
        <v>0.73</v>
      </c>
      <c r="M384" s="37">
        <v>0.56000000000000005</v>
      </c>
      <c r="N384" s="37">
        <v>0.43</v>
      </c>
      <c r="O384" s="37">
        <v>0.38</v>
      </c>
    </row>
    <row r="385" spans="1:15">
      <c r="A385" s="1">
        <f t="shared" si="5"/>
        <v>19.7</v>
      </c>
      <c r="B385" s="38">
        <v>19</v>
      </c>
      <c r="C385" s="37">
        <v>70</v>
      </c>
      <c r="D385" s="37">
        <v>0.34</v>
      </c>
      <c r="E385" s="37">
        <v>0.48</v>
      </c>
      <c r="F385" s="37">
        <v>0.67</v>
      </c>
      <c r="G385" s="37">
        <v>0.87</v>
      </c>
      <c r="H385" s="37">
        <v>1.01</v>
      </c>
      <c r="I385" s="37">
        <v>1.03</v>
      </c>
      <c r="J385" s="37">
        <v>0.96</v>
      </c>
      <c r="K385" s="37">
        <v>0.84</v>
      </c>
      <c r="L385" s="37">
        <v>0.67</v>
      </c>
      <c r="M385" s="37">
        <v>0.49</v>
      </c>
      <c r="N385" s="37">
        <v>0.35</v>
      </c>
      <c r="O385" s="37">
        <v>0.3</v>
      </c>
    </row>
    <row r="386" spans="1:15">
      <c r="A386" s="1">
        <f t="shared" si="5"/>
        <v>19.75</v>
      </c>
      <c r="B386" s="38">
        <v>19</v>
      </c>
      <c r="C386" s="37">
        <v>75</v>
      </c>
      <c r="D386" s="37">
        <v>0.27</v>
      </c>
      <c r="E386" s="37">
        <v>0.4</v>
      </c>
      <c r="F386" s="37">
        <v>0.6</v>
      </c>
      <c r="G386" s="37">
        <v>0.81</v>
      </c>
      <c r="H386" s="37">
        <v>0.95</v>
      </c>
      <c r="I386" s="37">
        <v>0.98</v>
      </c>
      <c r="J386" s="37">
        <v>0.91</v>
      </c>
      <c r="K386" s="37">
        <v>0.78</v>
      </c>
      <c r="L386" s="37">
        <v>0.6</v>
      </c>
      <c r="M386" s="37">
        <v>0.42</v>
      </c>
      <c r="N386" s="37">
        <v>0.28000000000000003</v>
      </c>
      <c r="O386" s="37">
        <v>0.22</v>
      </c>
    </row>
    <row r="387" spans="1:15">
      <c r="A387" s="1">
        <f t="shared" si="5"/>
        <v>19.8</v>
      </c>
      <c r="B387" s="38">
        <v>19</v>
      </c>
      <c r="C387" s="37">
        <v>80</v>
      </c>
      <c r="D387" s="37">
        <v>0.19</v>
      </c>
      <c r="E387" s="37">
        <v>0.33</v>
      </c>
      <c r="F387" s="37">
        <v>0.53</v>
      </c>
      <c r="G387" s="37">
        <v>0.74</v>
      </c>
      <c r="H387" s="37">
        <v>0.89</v>
      </c>
      <c r="I387" s="37">
        <v>0.92</v>
      </c>
      <c r="J387" s="37">
        <v>0.85</v>
      </c>
      <c r="K387" s="37">
        <v>0.72</v>
      </c>
      <c r="L387" s="37">
        <v>0.53</v>
      </c>
      <c r="M387" s="37">
        <v>0.34</v>
      </c>
      <c r="N387" s="37">
        <v>0.2</v>
      </c>
      <c r="O387" s="37">
        <v>0.14000000000000001</v>
      </c>
    </row>
    <row r="388" spans="1:15">
      <c r="A388" s="1">
        <f t="shared" si="5"/>
        <v>19.850000000000001</v>
      </c>
      <c r="B388" s="38">
        <v>19</v>
      </c>
      <c r="C388" s="37">
        <v>85</v>
      </c>
      <c r="D388" s="37">
        <v>0.11</v>
      </c>
      <c r="E388" s="37">
        <v>0.25</v>
      </c>
      <c r="F388" s="37">
        <v>0.45</v>
      </c>
      <c r="G388" s="37">
        <v>0.67</v>
      </c>
      <c r="H388" s="37">
        <v>0.83</v>
      </c>
      <c r="I388" s="37">
        <v>0.86</v>
      </c>
      <c r="J388" s="37">
        <v>0.79</v>
      </c>
      <c r="K388" s="37">
        <v>0.65</v>
      </c>
      <c r="L388" s="37">
        <v>0.46</v>
      </c>
      <c r="M388" s="37">
        <v>0.27</v>
      </c>
      <c r="N388" s="37">
        <v>0.12</v>
      </c>
      <c r="O388" s="37">
        <v>0.09</v>
      </c>
    </row>
    <row r="389" spans="1:15">
      <c r="A389" s="1">
        <f t="shared" si="5"/>
        <v>19.899999999999999</v>
      </c>
      <c r="B389" s="38">
        <v>19</v>
      </c>
      <c r="C389" s="37">
        <v>90</v>
      </c>
      <c r="D389" s="37">
        <v>0.08</v>
      </c>
      <c r="E389" s="37">
        <v>0.17</v>
      </c>
      <c r="F389" s="37">
        <v>0.37</v>
      </c>
      <c r="G389" s="37">
        <v>0.6</v>
      </c>
      <c r="H389" s="37">
        <v>0.76</v>
      </c>
      <c r="I389" s="37">
        <v>0.79</v>
      </c>
      <c r="J389" s="37">
        <v>0.72</v>
      </c>
      <c r="K389" s="37">
        <v>0.57999999999999996</v>
      </c>
      <c r="L389" s="37">
        <v>0.39</v>
      </c>
      <c r="M389" s="37">
        <v>0.19</v>
      </c>
      <c r="N389" s="37">
        <v>0.09</v>
      </c>
      <c r="O389" s="37">
        <v>0.08</v>
      </c>
    </row>
    <row r="390" spans="1:15">
      <c r="A390" s="1">
        <f t="shared" si="5"/>
        <v>20</v>
      </c>
      <c r="B390" s="38">
        <v>20</v>
      </c>
      <c r="C390" s="37">
        <v>0</v>
      </c>
      <c r="D390" s="37">
        <v>1</v>
      </c>
      <c r="E390" s="37">
        <v>1</v>
      </c>
      <c r="F390" s="37">
        <v>1</v>
      </c>
      <c r="G390" s="37">
        <v>1</v>
      </c>
      <c r="H390" s="37">
        <v>1</v>
      </c>
      <c r="I390" s="37">
        <v>1</v>
      </c>
      <c r="J390" s="37">
        <v>1</v>
      </c>
      <c r="K390" s="37">
        <v>1</v>
      </c>
      <c r="L390" s="37">
        <v>1</v>
      </c>
      <c r="M390" s="37">
        <v>1</v>
      </c>
      <c r="N390" s="37">
        <v>1</v>
      </c>
      <c r="O390" s="37">
        <v>1</v>
      </c>
    </row>
    <row r="391" spans="1:15">
      <c r="A391" s="1">
        <f t="shared" si="5"/>
        <v>20.05</v>
      </c>
      <c r="B391" s="38">
        <v>20</v>
      </c>
      <c r="C391" s="37">
        <v>5</v>
      </c>
      <c r="D391" s="37">
        <v>0.99</v>
      </c>
      <c r="E391" s="37">
        <v>1.01</v>
      </c>
      <c r="F391" s="37">
        <v>1.02</v>
      </c>
      <c r="G391" s="37">
        <v>1.04</v>
      </c>
      <c r="H391" s="37">
        <v>1.05</v>
      </c>
      <c r="I391" s="37">
        <v>1.05</v>
      </c>
      <c r="J391" s="37">
        <v>1.04</v>
      </c>
      <c r="K391" s="37">
        <v>1.03</v>
      </c>
      <c r="L391" s="37">
        <v>1.02</v>
      </c>
      <c r="M391" s="37">
        <v>1</v>
      </c>
      <c r="N391" s="37">
        <v>0.99</v>
      </c>
      <c r="O391" s="37">
        <v>0.99</v>
      </c>
    </row>
    <row r="392" spans="1:15">
      <c r="A392" s="1">
        <f t="shared" si="5"/>
        <v>20.100000000000001</v>
      </c>
      <c r="B392" s="38">
        <v>20</v>
      </c>
      <c r="C392" s="37">
        <v>10</v>
      </c>
      <c r="D392" s="37">
        <v>0.98</v>
      </c>
      <c r="E392" s="37">
        <v>1</v>
      </c>
      <c r="F392" s="37">
        <v>1.04</v>
      </c>
      <c r="G392" s="37">
        <v>1.07</v>
      </c>
      <c r="H392" s="37">
        <v>1.0900000000000001</v>
      </c>
      <c r="I392" s="37">
        <v>1.0900000000000001</v>
      </c>
      <c r="J392" s="37">
        <v>1.08</v>
      </c>
      <c r="K392" s="37">
        <v>1.06</v>
      </c>
      <c r="L392" s="37">
        <v>1.03</v>
      </c>
      <c r="M392" s="37">
        <v>1</v>
      </c>
      <c r="N392" s="37">
        <v>0.98</v>
      </c>
      <c r="O392" s="37">
        <v>0.97</v>
      </c>
    </row>
    <row r="393" spans="1:15">
      <c r="A393" s="1">
        <f t="shared" si="5"/>
        <v>20.149999999999999</v>
      </c>
      <c r="B393" s="38">
        <v>20</v>
      </c>
      <c r="C393" s="37">
        <v>15</v>
      </c>
      <c r="D393" s="37">
        <v>0.96</v>
      </c>
      <c r="E393" s="37">
        <v>0.99</v>
      </c>
      <c r="F393" s="37">
        <v>1.04</v>
      </c>
      <c r="G393" s="37">
        <v>1.1000000000000001</v>
      </c>
      <c r="H393" s="37">
        <v>1.1299999999999999</v>
      </c>
      <c r="I393" s="37">
        <v>1.1299999999999999</v>
      </c>
      <c r="J393" s="37">
        <v>1.1100000000000001</v>
      </c>
      <c r="K393" s="37">
        <v>1.08</v>
      </c>
      <c r="L393" s="37">
        <v>1.04</v>
      </c>
      <c r="M393" s="37">
        <v>0.99</v>
      </c>
      <c r="N393" s="37">
        <v>0.96</v>
      </c>
      <c r="O393" s="37">
        <v>0.95</v>
      </c>
    </row>
    <row r="394" spans="1:15">
      <c r="A394" s="1">
        <f t="shared" ref="A394:A457" si="6">B394+C394/100</f>
        <v>20.2</v>
      </c>
      <c r="B394" s="38">
        <v>20</v>
      </c>
      <c r="C394" s="37">
        <v>20</v>
      </c>
      <c r="D394" s="37">
        <v>0.93</v>
      </c>
      <c r="E394" s="37">
        <v>0.98</v>
      </c>
      <c r="F394" s="37">
        <v>1.05</v>
      </c>
      <c r="G394" s="37">
        <v>1.1100000000000001</v>
      </c>
      <c r="H394" s="37">
        <v>1.1599999999999999</v>
      </c>
      <c r="I394" s="37">
        <v>1.1599999999999999</v>
      </c>
      <c r="J394" s="37">
        <v>1.1299999999999999</v>
      </c>
      <c r="K394" s="37">
        <v>1.0900000000000001</v>
      </c>
      <c r="L394" s="37">
        <v>1.04</v>
      </c>
      <c r="M394" s="37">
        <v>0.98</v>
      </c>
      <c r="N394" s="37">
        <v>0.93</v>
      </c>
      <c r="O394" s="37">
        <v>0.91</v>
      </c>
    </row>
    <row r="395" spans="1:15">
      <c r="A395" s="1">
        <f t="shared" si="6"/>
        <v>20.25</v>
      </c>
      <c r="B395" s="38">
        <v>20</v>
      </c>
      <c r="C395" s="37">
        <v>25</v>
      </c>
      <c r="D395" s="37">
        <v>0.9</v>
      </c>
      <c r="E395" s="37">
        <v>0.96</v>
      </c>
      <c r="F395" s="37">
        <v>1.04</v>
      </c>
      <c r="G395" s="37">
        <v>1.1200000000000001</v>
      </c>
      <c r="H395" s="37">
        <v>1.18</v>
      </c>
      <c r="I395" s="37">
        <v>1.18</v>
      </c>
      <c r="J395" s="37">
        <v>1.1499999999999999</v>
      </c>
      <c r="K395" s="37">
        <v>1.1000000000000001</v>
      </c>
      <c r="L395" s="37">
        <v>1.03</v>
      </c>
      <c r="M395" s="37">
        <v>0.96</v>
      </c>
      <c r="N395" s="37">
        <v>0.9</v>
      </c>
      <c r="O395" s="37">
        <v>0.88</v>
      </c>
    </row>
    <row r="396" spans="1:15">
      <c r="A396" s="1">
        <f t="shared" si="6"/>
        <v>20.3</v>
      </c>
      <c r="B396" s="38">
        <v>20</v>
      </c>
      <c r="C396" s="37">
        <v>30</v>
      </c>
      <c r="D396" s="37">
        <v>0.86</v>
      </c>
      <c r="E396" s="37">
        <v>0.93</v>
      </c>
      <c r="F396" s="37">
        <v>1.03</v>
      </c>
      <c r="G396" s="37">
        <v>1.1299999999999999</v>
      </c>
      <c r="H396" s="37">
        <v>1.19</v>
      </c>
      <c r="I396" s="37">
        <v>1.2</v>
      </c>
      <c r="J396" s="37">
        <v>1.1599999999999999</v>
      </c>
      <c r="K396" s="37">
        <v>1.1000000000000001</v>
      </c>
      <c r="L396" s="37">
        <v>1.01</v>
      </c>
      <c r="M396" s="37">
        <v>0.93</v>
      </c>
      <c r="N396" s="37">
        <v>0.86</v>
      </c>
      <c r="O396" s="37">
        <v>0.83</v>
      </c>
    </row>
    <row r="397" spans="1:15">
      <c r="A397" s="1">
        <f t="shared" si="6"/>
        <v>20.350000000000001</v>
      </c>
      <c r="B397" s="38">
        <v>20</v>
      </c>
      <c r="C397" s="37">
        <v>35</v>
      </c>
      <c r="D397" s="37">
        <v>0.81</v>
      </c>
      <c r="E397" s="37">
        <v>0.89</v>
      </c>
      <c r="F397" s="37">
        <v>1</v>
      </c>
      <c r="G397" s="37">
        <v>1.1200000000000001</v>
      </c>
      <c r="H397" s="37">
        <v>1.2</v>
      </c>
      <c r="I397" s="37">
        <v>1.2</v>
      </c>
      <c r="J397" s="37">
        <v>1.1599999999999999</v>
      </c>
      <c r="K397" s="37">
        <v>1.0900000000000001</v>
      </c>
      <c r="L397" s="37">
        <v>0.99</v>
      </c>
      <c r="M397" s="37">
        <v>0.89</v>
      </c>
      <c r="N397" s="37">
        <v>0.81</v>
      </c>
      <c r="O397" s="37">
        <v>0.78</v>
      </c>
    </row>
    <row r="398" spans="1:15">
      <c r="A398" s="1">
        <f t="shared" si="6"/>
        <v>20.399999999999999</v>
      </c>
      <c r="B398" s="38">
        <v>20</v>
      </c>
      <c r="C398" s="37">
        <v>40</v>
      </c>
      <c r="D398" s="37">
        <v>0.76</v>
      </c>
      <c r="E398" s="37">
        <v>0.85</v>
      </c>
      <c r="F398" s="37">
        <v>0.98</v>
      </c>
      <c r="G398" s="37">
        <v>1.1100000000000001</v>
      </c>
      <c r="H398" s="37">
        <v>1.2</v>
      </c>
      <c r="I398" s="37">
        <v>1.2</v>
      </c>
      <c r="J398" s="37">
        <v>1.1499999999999999</v>
      </c>
      <c r="K398" s="37">
        <v>1.07</v>
      </c>
      <c r="L398" s="37">
        <v>0.97</v>
      </c>
      <c r="M398" s="37">
        <v>0.85</v>
      </c>
      <c r="N398" s="37">
        <v>0.76</v>
      </c>
      <c r="O398" s="37">
        <v>0.73</v>
      </c>
    </row>
    <row r="399" spans="1:15">
      <c r="A399" s="1">
        <f t="shared" si="6"/>
        <v>20.45</v>
      </c>
      <c r="B399" s="38">
        <v>20</v>
      </c>
      <c r="C399" s="37">
        <v>45</v>
      </c>
      <c r="D399" s="37">
        <v>0.7</v>
      </c>
      <c r="E399" s="37">
        <v>0.8</v>
      </c>
      <c r="F399" s="37">
        <v>0.94</v>
      </c>
      <c r="G399" s="37">
        <v>1.0900000000000001</v>
      </c>
      <c r="H399" s="37">
        <v>1.19</v>
      </c>
      <c r="I399" s="37">
        <v>1.2</v>
      </c>
      <c r="J399" s="37">
        <v>1.1399999999999999</v>
      </c>
      <c r="K399" s="37">
        <v>1.05</v>
      </c>
      <c r="L399" s="37">
        <v>0.93</v>
      </c>
      <c r="M399" s="37">
        <v>0.81</v>
      </c>
      <c r="N399" s="37">
        <v>0.71</v>
      </c>
      <c r="O399" s="37">
        <v>0.67</v>
      </c>
    </row>
    <row r="400" spans="1:15">
      <c r="A400" s="1">
        <f t="shared" si="6"/>
        <v>20.5</v>
      </c>
      <c r="B400" s="38">
        <v>20</v>
      </c>
      <c r="C400" s="37">
        <v>50</v>
      </c>
      <c r="D400" s="37">
        <v>0.64</v>
      </c>
      <c r="E400" s="37">
        <v>0.75</v>
      </c>
      <c r="F400" s="37">
        <v>0.9</v>
      </c>
      <c r="G400" s="37">
        <v>1.06</v>
      </c>
      <c r="H400" s="37">
        <v>1.17</v>
      </c>
      <c r="I400" s="37">
        <v>1.18</v>
      </c>
      <c r="J400" s="37">
        <v>1.1200000000000001</v>
      </c>
      <c r="K400" s="37">
        <v>1.02</v>
      </c>
      <c r="L400" s="37">
        <v>0.89</v>
      </c>
      <c r="M400" s="37">
        <v>0.75</v>
      </c>
      <c r="N400" s="37">
        <v>0.65</v>
      </c>
      <c r="O400" s="37">
        <v>0.6</v>
      </c>
    </row>
    <row r="401" spans="1:15">
      <c r="A401" s="1">
        <f t="shared" si="6"/>
        <v>20.55</v>
      </c>
      <c r="B401" s="38">
        <v>20</v>
      </c>
      <c r="C401" s="37">
        <v>55</v>
      </c>
      <c r="D401" s="37">
        <v>0.57999999999999996</v>
      </c>
      <c r="E401" s="37">
        <v>0.69</v>
      </c>
      <c r="F401" s="37">
        <v>0.86</v>
      </c>
      <c r="G401" s="37">
        <v>1.03</v>
      </c>
      <c r="H401" s="37">
        <v>1.1399999999999999</v>
      </c>
      <c r="I401" s="37">
        <v>1.1599999999999999</v>
      </c>
      <c r="J401" s="37">
        <v>1.0900000000000001</v>
      </c>
      <c r="K401" s="37">
        <v>0.99</v>
      </c>
      <c r="L401" s="37">
        <v>0.85</v>
      </c>
      <c r="M401" s="37">
        <v>0.7</v>
      </c>
      <c r="N401" s="37">
        <v>0.57999999999999996</v>
      </c>
      <c r="O401" s="37">
        <v>0.54</v>
      </c>
    </row>
    <row r="402" spans="1:15">
      <c r="A402" s="1">
        <f t="shared" si="6"/>
        <v>20.6</v>
      </c>
      <c r="B402" s="38">
        <v>20</v>
      </c>
      <c r="C402" s="37">
        <v>60</v>
      </c>
      <c r="D402" s="37">
        <v>0.51</v>
      </c>
      <c r="E402" s="37">
        <v>0.63</v>
      </c>
      <c r="F402" s="37">
        <v>0.8</v>
      </c>
      <c r="G402" s="37">
        <v>0.99</v>
      </c>
      <c r="H402" s="37">
        <v>1.1100000000000001</v>
      </c>
      <c r="I402" s="37">
        <v>1.1299999999999999</v>
      </c>
      <c r="J402" s="37">
        <v>1.06</v>
      </c>
      <c r="K402" s="37">
        <v>0.95</v>
      </c>
      <c r="L402" s="37">
        <v>0.8</v>
      </c>
      <c r="M402" s="37">
        <v>0.64</v>
      </c>
      <c r="N402" s="37">
        <v>0.51</v>
      </c>
      <c r="O402" s="37">
        <v>0.46</v>
      </c>
    </row>
    <row r="403" spans="1:15">
      <c r="A403" s="1">
        <f t="shared" si="6"/>
        <v>20.65</v>
      </c>
      <c r="B403" s="38">
        <v>20</v>
      </c>
      <c r="C403" s="37">
        <v>65</v>
      </c>
      <c r="D403" s="37">
        <v>0.43</v>
      </c>
      <c r="E403" s="37">
        <v>0.56000000000000005</v>
      </c>
      <c r="F403" s="37">
        <v>0.74</v>
      </c>
      <c r="G403" s="37">
        <v>0.94</v>
      </c>
      <c r="H403" s="37">
        <v>1.07</v>
      </c>
      <c r="I403" s="37">
        <v>1.0900000000000001</v>
      </c>
      <c r="J403" s="37">
        <v>1.02</v>
      </c>
      <c r="K403" s="37">
        <v>0.9</v>
      </c>
      <c r="L403" s="37">
        <v>0.74</v>
      </c>
      <c r="M403" s="37">
        <v>0.56999999999999995</v>
      </c>
      <c r="N403" s="37">
        <v>0.44</v>
      </c>
      <c r="O403" s="37">
        <v>0.39</v>
      </c>
    </row>
    <row r="404" spans="1:15">
      <c r="A404" s="1">
        <f t="shared" si="6"/>
        <v>20.7</v>
      </c>
      <c r="B404" s="38">
        <v>20</v>
      </c>
      <c r="C404" s="37">
        <v>70</v>
      </c>
      <c r="D404" s="37">
        <v>0.36</v>
      </c>
      <c r="E404" s="37">
        <v>0.49</v>
      </c>
      <c r="F404" s="37">
        <v>0.68</v>
      </c>
      <c r="G404" s="37">
        <v>0.88</v>
      </c>
      <c r="H404" s="37">
        <v>1.03</v>
      </c>
      <c r="I404" s="37">
        <v>1.05</v>
      </c>
      <c r="J404" s="37">
        <v>0.97</v>
      </c>
      <c r="K404" s="37">
        <v>0.85</v>
      </c>
      <c r="L404" s="37">
        <v>0.68</v>
      </c>
      <c r="M404" s="37">
        <v>0.5</v>
      </c>
      <c r="N404" s="37">
        <v>0.37</v>
      </c>
      <c r="O404" s="37">
        <v>0.31</v>
      </c>
    </row>
    <row r="405" spans="1:15">
      <c r="A405" s="1">
        <f t="shared" si="6"/>
        <v>20.75</v>
      </c>
      <c r="B405" s="38">
        <v>20</v>
      </c>
      <c r="C405" s="37">
        <v>75</v>
      </c>
      <c r="D405" s="37">
        <v>0.28000000000000003</v>
      </c>
      <c r="E405" s="37">
        <v>0.42</v>
      </c>
      <c r="F405" s="37">
        <v>0.61</v>
      </c>
      <c r="G405" s="37">
        <v>0.82</v>
      </c>
      <c r="H405" s="37">
        <v>0.97</v>
      </c>
      <c r="I405" s="37">
        <v>1</v>
      </c>
      <c r="J405" s="37">
        <v>0.92</v>
      </c>
      <c r="K405" s="37">
        <v>0.79</v>
      </c>
      <c r="L405" s="37">
        <v>0.62</v>
      </c>
      <c r="M405" s="37">
        <v>0.43</v>
      </c>
      <c r="N405" s="37">
        <v>0.28999999999999998</v>
      </c>
      <c r="O405" s="37">
        <v>0.23</v>
      </c>
    </row>
    <row r="406" spans="1:15">
      <c r="A406" s="1">
        <f t="shared" si="6"/>
        <v>20.8</v>
      </c>
      <c r="B406" s="38">
        <v>20</v>
      </c>
      <c r="C406" s="37">
        <v>80</v>
      </c>
      <c r="D406" s="37">
        <v>0.2</v>
      </c>
      <c r="E406" s="37">
        <v>0.34</v>
      </c>
      <c r="F406" s="37">
        <v>0.54</v>
      </c>
      <c r="G406" s="37">
        <v>0.76</v>
      </c>
      <c r="H406" s="37">
        <v>0.91</v>
      </c>
      <c r="I406" s="37">
        <v>0.94</v>
      </c>
      <c r="J406" s="37">
        <v>0.87</v>
      </c>
      <c r="K406" s="37">
        <v>0.73</v>
      </c>
      <c r="L406" s="37">
        <v>0.55000000000000004</v>
      </c>
      <c r="M406" s="37">
        <v>0.36</v>
      </c>
      <c r="N406" s="37">
        <v>0.21</v>
      </c>
      <c r="O406" s="37">
        <v>0.16</v>
      </c>
    </row>
    <row r="407" spans="1:15">
      <c r="A407" s="1">
        <f t="shared" si="6"/>
        <v>20.85</v>
      </c>
      <c r="B407" s="38">
        <v>20</v>
      </c>
      <c r="C407" s="37">
        <v>85</v>
      </c>
      <c r="D407" s="37">
        <v>0.12</v>
      </c>
      <c r="E407" s="37">
        <v>0.26</v>
      </c>
      <c r="F407" s="37">
        <v>0.47</v>
      </c>
      <c r="G407" s="37">
        <v>0.69</v>
      </c>
      <c r="H407" s="37">
        <v>0.85</v>
      </c>
      <c r="I407" s="37">
        <v>0.88</v>
      </c>
      <c r="J407" s="37">
        <v>0.8</v>
      </c>
      <c r="K407" s="37">
        <v>0.67</v>
      </c>
      <c r="L407" s="37">
        <v>0.48</v>
      </c>
      <c r="M407" s="37">
        <v>0.28000000000000003</v>
      </c>
      <c r="N407" s="37">
        <v>0.13</v>
      </c>
      <c r="O407" s="37">
        <v>0.09</v>
      </c>
    </row>
    <row r="408" spans="1:15">
      <c r="A408" s="1">
        <f t="shared" si="6"/>
        <v>20.9</v>
      </c>
      <c r="B408" s="38">
        <v>20</v>
      </c>
      <c r="C408" s="37">
        <v>90</v>
      </c>
      <c r="D408" s="37">
        <v>0.08</v>
      </c>
      <c r="E408" s="37">
        <v>0.18</v>
      </c>
      <c r="F408" s="37">
        <v>0.39</v>
      </c>
      <c r="G408" s="37">
        <v>0.61</v>
      </c>
      <c r="H408" s="37">
        <v>0.78</v>
      </c>
      <c r="I408" s="37">
        <v>0.81</v>
      </c>
      <c r="J408" s="37">
        <v>0.74</v>
      </c>
      <c r="K408" s="37">
        <v>0.6</v>
      </c>
      <c r="L408" s="37">
        <v>0.4</v>
      </c>
      <c r="M408" s="37">
        <v>0.2</v>
      </c>
      <c r="N408" s="37">
        <v>0.09</v>
      </c>
      <c r="O408" s="37">
        <v>0.08</v>
      </c>
    </row>
    <row r="409" spans="1:15">
      <c r="A409" s="1">
        <f t="shared" si="6"/>
        <v>21</v>
      </c>
      <c r="B409" s="38">
        <v>21</v>
      </c>
      <c r="C409" s="37">
        <v>0</v>
      </c>
      <c r="D409" s="37">
        <v>1</v>
      </c>
      <c r="E409" s="37">
        <v>1</v>
      </c>
      <c r="F409" s="37">
        <v>1</v>
      </c>
      <c r="G409" s="37">
        <v>1</v>
      </c>
      <c r="H409" s="37">
        <v>1</v>
      </c>
      <c r="I409" s="37">
        <v>1</v>
      </c>
      <c r="J409" s="37">
        <v>1</v>
      </c>
      <c r="K409" s="37">
        <v>1</v>
      </c>
      <c r="L409" s="37">
        <v>1</v>
      </c>
      <c r="M409" s="37">
        <v>1</v>
      </c>
      <c r="N409" s="37">
        <v>1</v>
      </c>
      <c r="O409" s="37">
        <v>1</v>
      </c>
    </row>
    <row r="410" spans="1:15">
      <c r="A410" s="1">
        <f t="shared" si="6"/>
        <v>21.05</v>
      </c>
      <c r="B410" s="38">
        <v>21</v>
      </c>
      <c r="C410" s="37">
        <v>5</v>
      </c>
      <c r="D410" s="37">
        <v>0.99</v>
      </c>
      <c r="E410" s="37">
        <v>1.01</v>
      </c>
      <c r="F410" s="37">
        <v>1.02</v>
      </c>
      <c r="G410" s="37">
        <v>1.04</v>
      </c>
      <c r="H410" s="37">
        <v>1.05</v>
      </c>
      <c r="I410" s="37">
        <v>1.05</v>
      </c>
      <c r="J410" s="37">
        <v>1.04</v>
      </c>
      <c r="K410" s="37">
        <v>1.03</v>
      </c>
      <c r="L410" s="37">
        <v>1.02</v>
      </c>
      <c r="M410" s="37">
        <v>1.01</v>
      </c>
      <c r="N410" s="37">
        <v>0.99</v>
      </c>
      <c r="O410" s="37">
        <v>0.99</v>
      </c>
    </row>
    <row r="411" spans="1:15">
      <c r="A411" s="1">
        <f t="shared" si="6"/>
        <v>21.1</v>
      </c>
      <c r="B411" s="38">
        <v>21</v>
      </c>
      <c r="C411" s="37">
        <v>10</v>
      </c>
      <c r="D411" s="37">
        <v>0.98</v>
      </c>
      <c r="E411" s="37">
        <v>1.01</v>
      </c>
      <c r="F411" s="37">
        <v>1.04</v>
      </c>
      <c r="G411" s="37">
        <v>1.07</v>
      </c>
      <c r="H411" s="37">
        <v>1.1000000000000001</v>
      </c>
      <c r="I411" s="37">
        <v>1.1000000000000001</v>
      </c>
      <c r="J411" s="37">
        <v>1.08</v>
      </c>
      <c r="K411" s="37">
        <v>1.06</v>
      </c>
      <c r="L411" s="37">
        <v>1.03</v>
      </c>
      <c r="M411" s="37">
        <v>1.01</v>
      </c>
      <c r="N411" s="37">
        <v>0.98</v>
      </c>
      <c r="O411" s="37">
        <v>0.97</v>
      </c>
    </row>
    <row r="412" spans="1:15">
      <c r="A412" s="1">
        <f t="shared" si="6"/>
        <v>21.15</v>
      </c>
      <c r="B412" s="38">
        <v>21</v>
      </c>
      <c r="C412" s="37">
        <v>15</v>
      </c>
      <c r="D412" s="37">
        <v>0.96</v>
      </c>
      <c r="E412" s="37">
        <v>1</v>
      </c>
      <c r="F412" s="37">
        <v>1.05</v>
      </c>
      <c r="G412" s="37">
        <v>1.1000000000000001</v>
      </c>
      <c r="H412" s="37">
        <v>1.1299999999999999</v>
      </c>
      <c r="I412" s="37">
        <v>1.1299999999999999</v>
      </c>
      <c r="J412" s="37">
        <v>1.1100000000000001</v>
      </c>
      <c r="K412" s="37">
        <v>1.08</v>
      </c>
      <c r="L412" s="37">
        <v>1.04</v>
      </c>
      <c r="M412" s="37">
        <v>1</v>
      </c>
      <c r="N412" s="37">
        <v>0.96</v>
      </c>
      <c r="O412" s="37">
        <v>0.95</v>
      </c>
    </row>
    <row r="413" spans="1:15">
      <c r="A413" s="1">
        <f t="shared" si="6"/>
        <v>21.2</v>
      </c>
      <c r="B413" s="38">
        <v>21</v>
      </c>
      <c r="C413" s="37">
        <v>20</v>
      </c>
      <c r="D413" s="37">
        <v>0.94</v>
      </c>
      <c r="E413" s="37">
        <v>0.98</v>
      </c>
      <c r="F413" s="37">
        <v>1.05</v>
      </c>
      <c r="G413" s="37">
        <v>1.1200000000000001</v>
      </c>
      <c r="H413" s="37">
        <v>1.1599999999999999</v>
      </c>
      <c r="I413" s="37">
        <v>1.1599999999999999</v>
      </c>
      <c r="J413" s="37">
        <v>1.1399999999999999</v>
      </c>
      <c r="K413" s="37">
        <v>1.1000000000000001</v>
      </c>
      <c r="L413" s="37">
        <v>1.04</v>
      </c>
      <c r="M413" s="37">
        <v>0.98</v>
      </c>
      <c r="N413" s="37">
        <v>0.94</v>
      </c>
      <c r="O413" s="37">
        <v>0.92</v>
      </c>
    </row>
    <row r="414" spans="1:15">
      <c r="A414" s="1">
        <f t="shared" si="6"/>
        <v>21.25</v>
      </c>
      <c r="B414" s="38">
        <v>21</v>
      </c>
      <c r="C414" s="37">
        <v>25</v>
      </c>
      <c r="D414" s="37">
        <v>0.9</v>
      </c>
      <c r="E414" s="37">
        <v>0.96</v>
      </c>
      <c r="F414" s="37">
        <v>1.05</v>
      </c>
      <c r="G414" s="37">
        <v>1.1299999999999999</v>
      </c>
      <c r="H414" s="37">
        <v>1.19</v>
      </c>
      <c r="I414" s="37">
        <v>1.19</v>
      </c>
      <c r="J414" s="37">
        <v>1.1499999999999999</v>
      </c>
      <c r="K414" s="37">
        <v>1.1000000000000001</v>
      </c>
      <c r="L414" s="37">
        <v>1.03</v>
      </c>
      <c r="M414" s="37">
        <v>0.96</v>
      </c>
      <c r="N414" s="37">
        <v>0.91</v>
      </c>
      <c r="O414" s="37">
        <v>0.88</v>
      </c>
    </row>
    <row r="415" spans="1:15">
      <c r="A415" s="1">
        <f t="shared" si="6"/>
        <v>21.3</v>
      </c>
      <c r="B415" s="38">
        <v>21</v>
      </c>
      <c r="C415" s="37">
        <v>30</v>
      </c>
      <c r="D415" s="37">
        <v>0.86</v>
      </c>
      <c r="E415" s="37">
        <v>0.93</v>
      </c>
      <c r="F415" s="37">
        <v>1.03</v>
      </c>
      <c r="G415" s="37">
        <v>1.1399999999999999</v>
      </c>
      <c r="H415" s="37">
        <v>1.2</v>
      </c>
      <c r="I415" s="37">
        <v>1.2</v>
      </c>
      <c r="J415" s="37">
        <v>1.1599999999999999</v>
      </c>
      <c r="K415" s="37">
        <v>1.1000000000000001</v>
      </c>
      <c r="L415" s="37">
        <v>1.02</v>
      </c>
      <c r="M415" s="37">
        <v>0.93</v>
      </c>
      <c r="N415" s="37">
        <v>0.87</v>
      </c>
      <c r="O415" s="37">
        <v>0.84</v>
      </c>
    </row>
    <row r="416" spans="1:15">
      <c r="A416" s="1">
        <f t="shared" si="6"/>
        <v>21.35</v>
      </c>
      <c r="B416" s="38">
        <v>21</v>
      </c>
      <c r="C416" s="37">
        <v>35</v>
      </c>
      <c r="D416" s="37">
        <v>0.82</v>
      </c>
      <c r="E416" s="37">
        <v>0.9</v>
      </c>
      <c r="F416" s="37">
        <v>1.01</v>
      </c>
      <c r="G416" s="37">
        <v>1.1299999999999999</v>
      </c>
      <c r="H416" s="37">
        <v>1.21</v>
      </c>
      <c r="I416" s="37">
        <v>1.21</v>
      </c>
      <c r="J416" s="37">
        <v>1.17</v>
      </c>
      <c r="K416" s="37">
        <v>1.1000000000000001</v>
      </c>
      <c r="L416" s="37">
        <v>1</v>
      </c>
      <c r="M416" s="37">
        <v>0.9</v>
      </c>
      <c r="N416" s="37">
        <v>0.82</v>
      </c>
      <c r="O416" s="37">
        <v>0.79</v>
      </c>
    </row>
    <row r="417" spans="1:15">
      <c r="A417" s="1">
        <f t="shared" si="6"/>
        <v>21.4</v>
      </c>
      <c r="B417" s="38">
        <v>21</v>
      </c>
      <c r="C417" s="37">
        <v>40</v>
      </c>
      <c r="D417" s="37">
        <v>0.77</v>
      </c>
      <c r="E417" s="37">
        <v>0.86</v>
      </c>
      <c r="F417" s="37">
        <v>0.99</v>
      </c>
      <c r="G417" s="37">
        <v>1.1200000000000001</v>
      </c>
      <c r="H417" s="37">
        <v>1.21</v>
      </c>
      <c r="I417" s="37">
        <v>1.21</v>
      </c>
      <c r="J417" s="37">
        <v>1.1599999999999999</v>
      </c>
      <c r="K417" s="37">
        <v>1.08</v>
      </c>
      <c r="L417" s="37">
        <v>0.98</v>
      </c>
      <c r="M417" s="37">
        <v>0.86</v>
      </c>
      <c r="N417" s="37">
        <v>0.77</v>
      </c>
      <c r="O417" s="37">
        <v>0.74</v>
      </c>
    </row>
    <row r="418" spans="1:15">
      <c r="A418" s="1">
        <f t="shared" si="6"/>
        <v>21.45</v>
      </c>
      <c r="B418" s="38">
        <v>21</v>
      </c>
      <c r="C418" s="37">
        <v>45</v>
      </c>
      <c r="D418" s="37">
        <v>0.71</v>
      </c>
      <c r="E418" s="37">
        <v>0.81</v>
      </c>
      <c r="F418" s="37">
        <v>0.95</v>
      </c>
      <c r="G418" s="37">
        <v>1.1000000000000001</v>
      </c>
      <c r="H418" s="37">
        <v>1.2</v>
      </c>
      <c r="I418" s="37">
        <v>1.21</v>
      </c>
      <c r="J418" s="37">
        <v>1.1499999999999999</v>
      </c>
      <c r="K418" s="37">
        <v>1.06</v>
      </c>
      <c r="L418" s="37">
        <v>0.94</v>
      </c>
      <c r="M418" s="37">
        <v>0.82</v>
      </c>
      <c r="N418" s="37">
        <v>0.72</v>
      </c>
      <c r="O418" s="37">
        <v>0.68</v>
      </c>
    </row>
    <row r="419" spans="1:15">
      <c r="A419" s="1">
        <f t="shared" si="6"/>
        <v>21.5</v>
      </c>
      <c r="B419" s="38">
        <v>21</v>
      </c>
      <c r="C419" s="37">
        <v>50</v>
      </c>
      <c r="D419" s="37">
        <v>0.65</v>
      </c>
      <c r="E419" s="37">
        <v>0.76</v>
      </c>
      <c r="F419" s="37">
        <v>0.91</v>
      </c>
      <c r="G419" s="37">
        <v>1.08</v>
      </c>
      <c r="H419" s="37">
        <v>1.18</v>
      </c>
      <c r="I419" s="37">
        <v>1.19</v>
      </c>
      <c r="J419" s="37">
        <v>1.1299999999999999</v>
      </c>
      <c r="K419" s="37">
        <v>1.03</v>
      </c>
      <c r="L419" s="37">
        <v>0.9</v>
      </c>
      <c r="M419" s="37">
        <v>0.76</v>
      </c>
      <c r="N419" s="37">
        <v>0.66</v>
      </c>
      <c r="O419" s="37">
        <v>0.62</v>
      </c>
    </row>
    <row r="420" spans="1:15">
      <c r="A420" s="1">
        <f t="shared" si="6"/>
        <v>21.55</v>
      </c>
      <c r="B420" s="38">
        <v>21</v>
      </c>
      <c r="C420" s="37">
        <v>55</v>
      </c>
      <c r="D420" s="37">
        <v>0.59</v>
      </c>
      <c r="E420" s="37">
        <v>0.7</v>
      </c>
      <c r="F420" s="37">
        <v>0.87</v>
      </c>
      <c r="G420" s="37">
        <v>1.04</v>
      </c>
      <c r="H420" s="37">
        <v>1.1599999999999999</v>
      </c>
      <c r="I420" s="37">
        <v>1.17</v>
      </c>
      <c r="J420" s="37">
        <v>1.1100000000000001</v>
      </c>
      <c r="K420" s="37">
        <v>1</v>
      </c>
      <c r="L420" s="37">
        <v>0.86</v>
      </c>
      <c r="M420" s="37">
        <v>0.71</v>
      </c>
      <c r="N420" s="37">
        <v>0.59</v>
      </c>
      <c r="O420" s="37">
        <v>0.55000000000000004</v>
      </c>
    </row>
    <row r="421" spans="1:15">
      <c r="A421" s="1">
        <f t="shared" si="6"/>
        <v>21.6</v>
      </c>
      <c r="B421" s="38">
        <v>21</v>
      </c>
      <c r="C421" s="37">
        <v>60</v>
      </c>
      <c r="D421" s="37">
        <v>0.52</v>
      </c>
      <c r="E421" s="37">
        <v>0.64</v>
      </c>
      <c r="F421" s="37">
        <v>0.82</v>
      </c>
      <c r="G421" s="37">
        <v>1</v>
      </c>
      <c r="H421" s="37">
        <v>1.1299999999999999</v>
      </c>
      <c r="I421" s="37">
        <v>1.1399999999999999</v>
      </c>
      <c r="J421" s="37">
        <v>1.07</v>
      </c>
      <c r="K421" s="37">
        <v>0.96</v>
      </c>
      <c r="L421" s="37">
        <v>0.81</v>
      </c>
      <c r="M421" s="37">
        <v>0.65</v>
      </c>
      <c r="N421" s="37">
        <v>0.53</v>
      </c>
      <c r="O421" s="37">
        <v>0.48</v>
      </c>
    </row>
    <row r="422" spans="1:15">
      <c r="A422" s="1">
        <f t="shared" si="6"/>
        <v>21.65</v>
      </c>
      <c r="B422" s="38">
        <v>21</v>
      </c>
      <c r="C422" s="37">
        <v>65</v>
      </c>
      <c r="D422" s="37">
        <v>0.45</v>
      </c>
      <c r="E422" s="37">
        <v>0.56999999999999995</v>
      </c>
      <c r="F422" s="37">
        <v>0.76</v>
      </c>
      <c r="G422" s="37">
        <v>0.95</v>
      </c>
      <c r="H422" s="37">
        <v>1.0900000000000001</v>
      </c>
      <c r="I422" s="37">
        <v>1.1100000000000001</v>
      </c>
      <c r="J422" s="37">
        <v>1.03</v>
      </c>
      <c r="K422" s="37">
        <v>0.91</v>
      </c>
      <c r="L422" s="37">
        <v>0.75</v>
      </c>
      <c r="M422" s="37">
        <v>0.57999999999999996</v>
      </c>
      <c r="N422" s="37">
        <v>0.45</v>
      </c>
      <c r="O422" s="37">
        <v>0.4</v>
      </c>
    </row>
    <row r="423" spans="1:15">
      <c r="A423" s="1">
        <f t="shared" si="6"/>
        <v>21.7</v>
      </c>
      <c r="B423" s="38">
        <v>21</v>
      </c>
      <c r="C423" s="37">
        <v>70</v>
      </c>
      <c r="D423" s="37">
        <v>0.37</v>
      </c>
      <c r="E423" s="37">
        <v>0.5</v>
      </c>
      <c r="F423" s="37">
        <v>0.7</v>
      </c>
      <c r="G423" s="37">
        <v>0.9</v>
      </c>
      <c r="H423" s="37">
        <v>1.04</v>
      </c>
      <c r="I423" s="37">
        <v>1.06</v>
      </c>
      <c r="J423" s="37">
        <v>0.99</v>
      </c>
      <c r="K423" s="37">
        <v>0.86</v>
      </c>
      <c r="L423" s="37">
        <v>0.69</v>
      </c>
      <c r="M423" s="37">
        <v>0.52</v>
      </c>
      <c r="N423" s="37">
        <v>0.38</v>
      </c>
      <c r="O423" s="37">
        <v>0.33</v>
      </c>
    </row>
    <row r="424" spans="1:15">
      <c r="A424" s="1">
        <f t="shared" si="6"/>
        <v>21.75</v>
      </c>
      <c r="B424" s="38">
        <v>21</v>
      </c>
      <c r="C424" s="37">
        <v>75</v>
      </c>
      <c r="D424" s="37">
        <v>0.28999999999999998</v>
      </c>
      <c r="E424" s="37">
        <v>0.43</v>
      </c>
      <c r="F424" s="37">
        <v>0.63</v>
      </c>
      <c r="G424" s="37">
        <v>0.84</v>
      </c>
      <c r="H424" s="37">
        <v>0.99</v>
      </c>
      <c r="I424" s="37">
        <v>1.02</v>
      </c>
      <c r="J424" s="37">
        <v>0.94</v>
      </c>
      <c r="K424" s="37">
        <v>0.81</v>
      </c>
      <c r="L424" s="37">
        <v>0.63</v>
      </c>
      <c r="M424" s="37">
        <v>0.44</v>
      </c>
      <c r="N424" s="37">
        <v>0.3</v>
      </c>
      <c r="O424" s="37">
        <v>0.25</v>
      </c>
    </row>
    <row r="425" spans="1:15">
      <c r="A425" s="1">
        <f t="shared" si="6"/>
        <v>21.8</v>
      </c>
      <c r="B425" s="38">
        <v>21</v>
      </c>
      <c r="C425" s="37">
        <v>80</v>
      </c>
      <c r="D425" s="37">
        <v>0.22</v>
      </c>
      <c r="E425" s="37">
        <v>0.36</v>
      </c>
      <c r="F425" s="37">
        <v>0.56000000000000005</v>
      </c>
      <c r="G425" s="37">
        <v>0.78</v>
      </c>
      <c r="H425" s="37">
        <v>0.93</v>
      </c>
      <c r="I425" s="37">
        <v>0.96</v>
      </c>
      <c r="J425" s="37">
        <v>0.88</v>
      </c>
      <c r="K425" s="37">
        <v>0.75</v>
      </c>
      <c r="L425" s="37">
        <v>0.56000000000000005</v>
      </c>
      <c r="M425" s="37">
        <v>0.37</v>
      </c>
      <c r="N425" s="37">
        <v>0.23</v>
      </c>
      <c r="O425" s="37">
        <v>0.17</v>
      </c>
    </row>
    <row r="426" spans="1:15">
      <c r="A426" s="1">
        <f t="shared" si="6"/>
        <v>21.85</v>
      </c>
      <c r="B426" s="38">
        <v>21</v>
      </c>
      <c r="C426" s="37">
        <v>85</v>
      </c>
      <c r="D426" s="37">
        <v>0.14000000000000001</v>
      </c>
      <c r="E426" s="37">
        <v>0.28000000000000003</v>
      </c>
      <c r="F426" s="37">
        <v>0.48</v>
      </c>
      <c r="G426" s="37">
        <v>0.71</v>
      </c>
      <c r="H426" s="37">
        <v>0.87</v>
      </c>
      <c r="I426" s="37">
        <v>0.9</v>
      </c>
      <c r="J426" s="37">
        <v>0.82</v>
      </c>
      <c r="K426" s="37">
        <v>0.68</v>
      </c>
      <c r="L426" s="37">
        <v>0.49</v>
      </c>
      <c r="M426" s="37">
        <v>0.3</v>
      </c>
      <c r="N426" s="37">
        <v>0.15</v>
      </c>
      <c r="O426" s="37">
        <v>0.09</v>
      </c>
    </row>
    <row r="427" spans="1:15">
      <c r="A427" s="1">
        <f t="shared" si="6"/>
        <v>21.9</v>
      </c>
      <c r="B427" s="38">
        <v>21</v>
      </c>
      <c r="C427" s="37">
        <v>90</v>
      </c>
      <c r="D427" s="37">
        <v>0.08</v>
      </c>
      <c r="E427" s="37">
        <v>0.2</v>
      </c>
      <c r="F427" s="37">
        <v>0.41</v>
      </c>
      <c r="G427" s="37">
        <v>0.63</v>
      </c>
      <c r="H427" s="37">
        <v>0.8</v>
      </c>
      <c r="I427" s="37">
        <v>0.83</v>
      </c>
      <c r="J427" s="37">
        <v>0.75</v>
      </c>
      <c r="K427" s="37">
        <v>0.61</v>
      </c>
      <c r="L427" s="37">
        <v>0.42</v>
      </c>
      <c r="M427" s="37">
        <v>0.22</v>
      </c>
      <c r="N427" s="37">
        <v>0.09</v>
      </c>
      <c r="O427" s="37">
        <v>0.08</v>
      </c>
    </row>
    <row r="428" spans="1:15">
      <c r="A428" s="1">
        <f t="shared" si="6"/>
        <v>22</v>
      </c>
      <c r="B428" s="38">
        <v>22</v>
      </c>
      <c r="C428" s="37">
        <v>0</v>
      </c>
      <c r="D428" s="37">
        <v>1</v>
      </c>
      <c r="E428" s="37">
        <v>1</v>
      </c>
      <c r="F428" s="37">
        <v>1</v>
      </c>
      <c r="G428" s="37">
        <v>1</v>
      </c>
      <c r="H428" s="37">
        <v>1</v>
      </c>
      <c r="I428" s="37">
        <v>1</v>
      </c>
      <c r="J428" s="37">
        <v>1</v>
      </c>
      <c r="K428" s="37">
        <v>1</v>
      </c>
      <c r="L428" s="37">
        <v>1</v>
      </c>
      <c r="M428" s="37">
        <v>1</v>
      </c>
      <c r="N428" s="37">
        <v>1</v>
      </c>
      <c r="O428" s="37">
        <v>1</v>
      </c>
    </row>
    <row r="429" spans="1:15">
      <c r="A429" s="1">
        <f t="shared" si="6"/>
        <v>22.05</v>
      </c>
      <c r="B429" s="38">
        <v>22</v>
      </c>
      <c r="C429" s="37">
        <v>5</v>
      </c>
      <c r="D429" s="37">
        <v>1</v>
      </c>
      <c r="E429" s="37">
        <v>1.01</v>
      </c>
      <c r="F429" s="37">
        <v>1.02</v>
      </c>
      <c r="G429" s="37">
        <v>1.04</v>
      </c>
      <c r="H429" s="37">
        <v>1.05</v>
      </c>
      <c r="I429" s="37">
        <v>1.05</v>
      </c>
      <c r="J429" s="37">
        <v>1.04</v>
      </c>
      <c r="K429" s="37">
        <v>1.03</v>
      </c>
      <c r="L429" s="37">
        <v>1.02</v>
      </c>
      <c r="M429" s="37">
        <v>1.01</v>
      </c>
      <c r="N429" s="37">
        <v>1</v>
      </c>
      <c r="O429" s="37">
        <v>0.99</v>
      </c>
    </row>
    <row r="430" spans="1:15">
      <c r="A430" s="1">
        <f t="shared" si="6"/>
        <v>22.1</v>
      </c>
      <c r="B430" s="38">
        <v>22</v>
      </c>
      <c r="C430" s="37">
        <v>10</v>
      </c>
      <c r="D430" s="37">
        <v>0.98</v>
      </c>
      <c r="E430" s="37">
        <v>1.01</v>
      </c>
      <c r="F430" s="37">
        <v>1.04</v>
      </c>
      <c r="G430" s="37">
        <v>1.08</v>
      </c>
      <c r="H430" s="37">
        <v>1.1000000000000001</v>
      </c>
      <c r="I430" s="37">
        <v>1.1000000000000001</v>
      </c>
      <c r="J430" s="37">
        <v>1.08</v>
      </c>
      <c r="K430" s="37">
        <v>1.06</v>
      </c>
      <c r="L430" s="37">
        <v>1.04</v>
      </c>
      <c r="M430" s="37">
        <v>1.01</v>
      </c>
      <c r="N430" s="37">
        <v>0.98</v>
      </c>
      <c r="O430" s="37">
        <v>0.98</v>
      </c>
    </row>
    <row r="431" spans="1:15">
      <c r="A431" s="1">
        <f t="shared" si="6"/>
        <v>22.15</v>
      </c>
      <c r="B431" s="38">
        <v>22</v>
      </c>
      <c r="C431" s="37">
        <v>15</v>
      </c>
      <c r="D431" s="37">
        <v>0.97</v>
      </c>
      <c r="E431" s="37">
        <v>1</v>
      </c>
      <c r="F431" s="37">
        <v>1.05</v>
      </c>
      <c r="G431" s="37">
        <v>1.1100000000000001</v>
      </c>
      <c r="H431" s="37">
        <v>1.1399999999999999</v>
      </c>
      <c r="I431" s="37">
        <v>1.1399999999999999</v>
      </c>
      <c r="J431" s="37">
        <v>1.1200000000000001</v>
      </c>
      <c r="K431" s="37">
        <v>1.0900000000000001</v>
      </c>
      <c r="L431" s="37">
        <v>1.04</v>
      </c>
      <c r="M431" s="37">
        <v>1</v>
      </c>
      <c r="N431" s="37">
        <v>0.97</v>
      </c>
      <c r="O431" s="37">
        <v>0.95</v>
      </c>
    </row>
    <row r="432" spans="1:15">
      <c r="A432" s="1">
        <f t="shared" si="6"/>
        <v>22.2</v>
      </c>
      <c r="B432" s="38">
        <v>22</v>
      </c>
      <c r="C432" s="37">
        <v>20</v>
      </c>
      <c r="D432" s="37">
        <v>0.94</v>
      </c>
      <c r="E432" s="37">
        <v>0.99</v>
      </c>
      <c r="F432" s="37">
        <v>1.06</v>
      </c>
      <c r="G432" s="37">
        <v>1.1299999999999999</v>
      </c>
      <c r="H432" s="37">
        <v>1.17</v>
      </c>
      <c r="I432" s="37">
        <v>1.17</v>
      </c>
      <c r="J432" s="37">
        <v>1.1399999999999999</v>
      </c>
      <c r="K432" s="37">
        <v>1.1000000000000001</v>
      </c>
      <c r="L432" s="37">
        <v>1.05</v>
      </c>
      <c r="M432" s="37">
        <v>0.99</v>
      </c>
      <c r="N432" s="37">
        <v>0.94</v>
      </c>
      <c r="O432" s="37">
        <v>0.92</v>
      </c>
    </row>
    <row r="433" spans="1:15">
      <c r="A433" s="1">
        <f t="shared" si="6"/>
        <v>22.25</v>
      </c>
      <c r="B433" s="38">
        <v>22</v>
      </c>
      <c r="C433" s="37">
        <v>25</v>
      </c>
      <c r="D433" s="37">
        <v>0.91</v>
      </c>
      <c r="E433" s="37">
        <v>0.97</v>
      </c>
      <c r="F433" s="37">
        <v>1.05</v>
      </c>
      <c r="G433" s="37">
        <v>1.1399999999999999</v>
      </c>
      <c r="H433" s="37">
        <v>1.2</v>
      </c>
      <c r="I433" s="37">
        <v>1.2</v>
      </c>
      <c r="J433" s="37">
        <v>1.1599999999999999</v>
      </c>
      <c r="K433" s="37">
        <v>1.1100000000000001</v>
      </c>
      <c r="L433" s="37">
        <v>1.04</v>
      </c>
      <c r="M433" s="37">
        <v>0.97</v>
      </c>
      <c r="N433" s="37">
        <v>0.91</v>
      </c>
      <c r="O433" s="37">
        <v>0.89</v>
      </c>
    </row>
    <row r="434" spans="1:15">
      <c r="A434" s="1">
        <f t="shared" si="6"/>
        <v>22.3</v>
      </c>
      <c r="B434" s="38">
        <v>22</v>
      </c>
      <c r="C434" s="37">
        <v>30</v>
      </c>
      <c r="D434" s="37">
        <v>0.87</v>
      </c>
      <c r="E434" s="37">
        <v>0.94</v>
      </c>
      <c r="F434" s="37">
        <v>1.04</v>
      </c>
      <c r="G434" s="37">
        <v>1.1399999999999999</v>
      </c>
      <c r="H434" s="37">
        <v>1.21</v>
      </c>
      <c r="I434" s="37">
        <v>1.21</v>
      </c>
      <c r="J434" s="37">
        <v>1.17</v>
      </c>
      <c r="K434" s="37">
        <v>1.1100000000000001</v>
      </c>
      <c r="L434" s="37">
        <v>1.03</v>
      </c>
      <c r="M434" s="37">
        <v>0.94</v>
      </c>
      <c r="N434" s="37">
        <v>0.87</v>
      </c>
      <c r="O434" s="37">
        <v>0.85</v>
      </c>
    </row>
    <row r="435" spans="1:15">
      <c r="A435" s="1">
        <f t="shared" si="6"/>
        <v>22.35</v>
      </c>
      <c r="B435" s="38">
        <v>22</v>
      </c>
      <c r="C435" s="37">
        <v>35</v>
      </c>
      <c r="D435" s="37">
        <v>0.83</v>
      </c>
      <c r="E435" s="37">
        <v>0.91</v>
      </c>
      <c r="F435" s="37">
        <v>1.02</v>
      </c>
      <c r="G435" s="37">
        <v>1.1399999999999999</v>
      </c>
      <c r="H435" s="37">
        <v>1.22</v>
      </c>
      <c r="I435" s="37">
        <v>1.22</v>
      </c>
      <c r="J435" s="37">
        <v>1.17</v>
      </c>
      <c r="K435" s="37">
        <v>1.1000000000000001</v>
      </c>
      <c r="L435" s="37">
        <v>1.01</v>
      </c>
      <c r="M435" s="37">
        <v>0.91</v>
      </c>
      <c r="N435" s="37">
        <v>0.83</v>
      </c>
      <c r="O435" s="37">
        <v>0.8</v>
      </c>
    </row>
    <row r="436" spans="1:15">
      <c r="A436" s="1">
        <f t="shared" si="6"/>
        <v>22.4</v>
      </c>
      <c r="B436" s="38">
        <v>22</v>
      </c>
      <c r="C436" s="37">
        <v>40</v>
      </c>
      <c r="D436" s="37">
        <v>0.78</v>
      </c>
      <c r="E436" s="37">
        <v>0.87</v>
      </c>
      <c r="F436" s="37">
        <v>1</v>
      </c>
      <c r="G436" s="37">
        <v>1.1299999999999999</v>
      </c>
      <c r="H436" s="37">
        <v>1.22</v>
      </c>
      <c r="I436" s="37">
        <v>1.23</v>
      </c>
      <c r="J436" s="37">
        <v>1.17</v>
      </c>
      <c r="K436" s="37">
        <v>1.0900000000000001</v>
      </c>
      <c r="L436" s="37">
        <v>0.98</v>
      </c>
      <c r="M436" s="37">
        <v>0.87</v>
      </c>
      <c r="N436" s="37">
        <v>0.78</v>
      </c>
      <c r="O436" s="37">
        <v>0.75</v>
      </c>
    </row>
    <row r="437" spans="1:15">
      <c r="A437" s="1">
        <f t="shared" si="6"/>
        <v>22.45</v>
      </c>
      <c r="B437" s="38">
        <v>22</v>
      </c>
      <c r="C437" s="37">
        <v>45</v>
      </c>
      <c r="D437" s="37">
        <v>0.72</v>
      </c>
      <c r="E437" s="37">
        <v>0.82</v>
      </c>
      <c r="F437" s="37">
        <v>0.97</v>
      </c>
      <c r="G437" s="37">
        <v>1.1100000000000001</v>
      </c>
      <c r="H437" s="37">
        <v>1.21</v>
      </c>
      <c r="I437" s="37">
        <v>1.22</v>
      </c>
      <c r="J437" s="37">
        <v>1.1599999999999999</v>
      </c>
      <c r="K437" s="37">
        <v>1.07</v>
      </c>
      <c r="L437" s="37">
        <v>0.95</v>
      </c>
      <c r="M437" s="37">
        <v>0.83</v>
      </c>
      <c r="N437" s="37">
        <v>0.73</v>
      </c>
      <c r="O437" s="37">
        <v>0.69</v>
      </c>
    </row>
    <row r="438" spans="1:15">
      <c r="A438" s="1">
        <f t="shared" si="6"/>
        <v>22.5</v>
      </c>
      <c r="B438" s="38">
        <v>22</v>
      </c>
      <c r="C438" s="37">
        <v>50</v>
      </c>
      <c r="D438" s="37">
        <v>0.66</v>
      </c>
      <c r="E438" s="37">
        <v>0.77</v>
      </c>
      <c r="F438" s="37">
        <v>0.93</v>
      </c>
      <c r="G438" s="37">
        <v>1.0900000000000001</v>
      </c>
      <c r="H438" s="37">
        <v>1.2</v>
      </c>
      <c r="I438" s="37">
        <v>1.21</v>
      </c>
      <c r="J438" s="37">
        <v>1.1399999999999999</v>
      </c>
      <c r="K438" s="37">
        <v>1.04</v>
      </c>
      <c r="L438" s="37">
        <v>0.91</v>
      </c>
      <c r="M438" s="37">
        <v>0.78</v>
      </c>
      <c r="N438" s="37">
        <v>0.67</v>
      </c>
      <c r="O438" s="37">
        <v>0.63</v>
      </c>
    </row>
    <row r="439" spans="1:15">
      <c r="A439" s="1">
        <f t="shared" si="6"/>
        <v>22.55</v>
      </c>
      <c r="B439" s="38">
        <v>22</v>
      </c>
      <c r="C439" s="37">
        <v>55</v>
      </c>
      <c r="D439" s="37">
        <v>0.6</v>
      </c>
      <c r="E439" s="37">
        <v>0.72</v>
      </c>
      <c r="F439" s="37">
        <v>0.88</v>
      </c>
      <c r="G439" s="37">
        <v>1.06</v>
      </c>
      <c r="H439" s="37">
        <v>1.18</v>
      </c>
      <c r="I439" s="37">
        <v>1.19</v>
      </c>
      <c r="J439" s="37">
        <v>1.1200000000000001</v>
      </c>
      <c r="K439" s="37">
        <v>1.01</v>
      </c>
      <c r="L439" s="37">
        <v>0.87</v>
      </c>
      <c r="M439" s="37">
        <v>0.72</v>
      </c>
      <c r="N439" s="37">
        <v>0.61</v>
      </c>
      <c r="O439" s="37">
        <v>0.56000000000000005</v>
      </c>
    </row>
    <row r="440" spans="1:15">
      <c r="A440" s="1">
        <f t="shared" si="6"/>
        <v>22.6</v>
      </c>
      <c r="B440" s="38">
        <v>22</v>
      </c>
      <c r="C440" s="37">
        <v>60</v>
      </c>
      <c r="D440" s="37">
        <v>0.53</v>
      </c>
      <c r="E440" s="37">
        <v>0.65</v>
      </c>
      <c r="F440" s="37">
        <v>0.83</v>
      </c>
      <c r="G440" s="37">
        <v>1.02</v>
      </c>
      <c r="H440" s="37">
        <v>1.1499999999999999</v>
      </c>
      <c r="I440" s="37">
        <v>1.1599999999999999</v>
      </c>
      <c r="J440" s="37">
        <v>1.0900000000000001</v>
      </c>
      <c r="K440" s="37">
        <v>0.97</v>
      </c>
      <c r="L440" s="37">
        <v>0.82</v>
      </c>
      <c r="M440" s="37">
        <v>0.66</v>
      </c>
      <c r="N440" s="37">
        <v>0.54</v>
      </c>
      <c r="O440" s="37">
        <v>0.49</v>
      </c>
    </row>
    <row r="441" spans="1:15">
      <c r="A441" s="1">
        <f t="shared" si="6"/>
        <v>22.65</v>
      </c>
      <c r="B441" s="38">
        <v>22</v>
      </c>
      <c r="C441" s="37">
        <v>65</v>
      </c>
      <c r="D441" s="37">
        <v>0.46</v>
      </c>
      <c r="E441" s="37">
        <v>0.59</v>
      </c>
      <c r="F441" s="37">
        <v>0.77</v>
      </c>
      <c r="G441" s="37">
        <v>0.97</v>
      </c>
      <c r="H441" s="37">
        <v>1.1100000000000001</v>
      </c>
      <c r="I441" s="37">
        <v>1.1200000000000001</v>
      </c>
      <c r="J441" s="40">
        <v>1085</v>
      </c>
      <c r="K441" s="37">
        <v>0.93</v>
      </c>
      <c r="L441" s="37">
        <v>0.77</v>
      </c>
      <c r="M441" s="37">
        <v>0.6</v>
      </c>
      <c r="N441" s="37">
        <v>0.47</v>
      </c>
      <c r="O441" s="37">
        <v>0.42</v>
      </c>
    </row>
    <row r="442" spans="1:15">
      <c r="A442" s="1">
        <f t="shared" si="6"/>
        <v>22.7</v>
      </c>
      <c r="B442" s="38">
        <v>22</v>
      </c>
      <c r="C442" s="37">
        <v>70</v>
      </c>
      <c r="D442" s="37">
        <v>0.39</v>
      </c>
      <c r="E442" s="37">
        <v>0.52</v>
      </c>
      <c r="F442" s="37">
        <v>0.71</v>
      </c>
      <c r="G442" s="37">
        <v>0.92</v>
      </c>
      <c r="H442" s="37">
        <v>1.06</v>
      </c>
      <c r="I442" s="37">
        <v>1.08</v>
      </c>
      <c r="J442" s="37">
        <v>1</v>
      </c>
      <c r="K442" s="37">
        <v>0.88</v>
      </c>
      <c r="L442" s="37">
        <v>0.71</v>
      </c>
      <c r="M442" s="37">
        <v>0.53</v>
      </c>
      <c r="N442" s="37">
        <v>0.39</v>
      </c>
      <c r="O442" s="37">
        <v>0.34</v>
      </c>
    </row>
    <row r="443" spans="1:15">
      <c r="A443" s="1">
        <f t="shared" si="6"/>
        <v>22.75</v>
      </c>
      <c r="B443" s="38">
        <v>22</v>
      </c>
      <c r="C443" s="37">
        <v>75</v>
      </c>
      <c r="D443" s="37">
        <v>0.31</v>
      </c>
      <c r="E443" s="37">
        <v>0.45</v>
      </c>
      <c r="F443" s="37">
        <v>0.65</v>
      </c>
      <c r="G443" s="37">
        <v>0.86</v>
      </c>
      <c r="H443" s="37">
        <v>1.01</v>
      </c>
      <c r="I443" s="37">
        <v>1.03</v>
      </c>
      <c r="J443" s="37">
        <v>0.95</v>
      </c>
      <c r="K443" s="37">
        <v>0.82</v>
      </c>
      <c r="L443" s="37">
        <v>0.64</v>
      </c>
      <c r="M443" s="37">
        <v>0.46</v>
      </c>
      <c r="N443" s="37">
        <v>0.32</v>
      </c>
      <c r="O443" s="37">
        <v>0.26</v>
      </c>
    </row>
    <row r="444" spans="1:15">
      <c r="A444" s="1">
        <f t="shared" si="6"/>
        <v>22.8</v>
      </c>
      <c r="B444" s="38">
        <v>22</v>
      </c>
      <c r="C444" s="37">
        <v>80</v>
      </c>
      <c r="D444" s="37">
        <v>0.23</v>
      </c>
      <c r="E444" s="37">
        <v>0.37</v>
      </c>
      <c r="F444" s="37">
        <v>0.56999999999999995</v>
      </c>
      <c r="G444" s="37">
        <v>0.79</v>
      </c>
      <c r="H444" s="37">
        <v>0.95</v>
      </c>
      <c r="I444" s="37">
        <v>0.98</v>
      </c>
      <c r="J444" s="37">
        <v>0.9</v>
      </c>
      <c r="K444" s="37">
        <v>0.76</v>
      </c>
      <c r="L444" s="37">
        <v>0.57999999999999996</v>
      </c>
      <c r="M444" s="37">
        <v>0.39</v>
      </c>
      <c r="N444" s="37">
        <v>0.24</v>
      </c>
      <c r="O444" s="37">
        <v>0.18</v>
      </c>
    </row>
    <row r="445" spans="1:15">
      <c r="A445" s="1">
        <f t="shared" si="6"/>
        <v>22.85</v>
      </c>
      <c r="B445" s="38">
        <v>22</v>
      </c>
      <c r="C445" s="37">
        <v>85</v>
      </c>
      <c r="D445" s="37">
        <v>0.15</v>
      </c>
      <c r="E445" s="37">
        <v>0.28999999999999998</v>
      </c>
      <c r="F445" s="37">
        <v>0.5</v>
      </c>
      <c r="G445" s="37">
        <v>0.73</v>
      </c>
      <c r="H445" s="37">
        <v>0.89</v>
      </c>
      <c r="I445" s="37">
        <v>0.92</v>
      </c>
      <c r="J445" s="37">
        <v>0.84</v>
      </c>
      <c r="K445" s="37">
        <v>0.7</v>
      </c>
      <c r="L445" s="37">
        <v>0.51</v>
      </c>
      <c r="M445" s="37">
        <v>0.31</v>
      </c>
      <c r="N445" s="37">
        <v>0.16</v>
      </c>
      <c r="O445" s="37">
        <v>0.1</v>
      </c>
    </row>
    <row r="446" spans="1:15">
      <c r="A446" s="1">
        <f t="shared" si="6"/>
        <v>22.9</v>
      </c>
      <c r="B446" s="38">
        <v>22</v>
      </c>
      <c r="C446" s="37">
        <v>90</v>
      </c>
      <c r="D446" s="37">
        <v>0.08</v>
      </c>
      <c r="E446" s="37">
        <v>0.21</v>
      </c>
      <c r="F446" s="37">
        <v>0.42</v>
      </c>
      <c r="G446" s="37">
        <v>0.65</v>
      </c>
      <c r="H446" s="37">
        <v>0.82</v>
      </c>
      <c r="I446" s="37">
        <v>0.85</v>
      </c>
      <c r="J446" s="37">
        <v>0.77</v>
      </c>
      <c r="K446" s="37">
        <v>0.63</v>
      </c>
      <c r="L446" s="37">
        <v>0.43</v>
      </c>
      <c r="M446" s="37">
        <v>0.23</v>
      </c>
      <c r="N446" s="37">
        <v>0.09</v>
      </c>
      <c r="O446" s="37">
        <v>0.08</v>
      </c>
    </row>
    <row r="447" spans="1:15">
      <c r="A447" s="1">
        <f t="shared" si="6"/>
        <v>23</v>
      </c>
      <c r="B447" s="38">
        <v>23</v>
      </c>
      <c r="C447" s="37">
        <v>0</v>
      </c>
      <c r="D447" s="37">
        <v>1</v>
      </c>
      <c r="E447" s="37">
        <v>1</v>
      </c>
      <c r="F447" s="37">
        <v>1</v>
      </c>
      <c r="G447" s="37">
        <v>1</v>
      </c>
      <c r="H447" s="37">
        <v>1</v>
      </c>
      <c r="I447" s="37">
        <v>1</v>
      </c>
      <c r="J447" s="37">
        <v>1</v>
      </c>
      <c r="K447" s="37">
        <v>1</v>
      </c>
      <c r="L447" s="37">
        <v>1</v>
      </c>
      <c r="M447" s="37">
        <v>1</v>
      </c>
      <c r="N447" s="37">
        <v>1</v>
      </c>
      <c r="O447" s="37">
        <v>1</v>
      </c>
    </row>
    <row r="448" spans="1:15">
      <c r="A448" s="1">
        <f t="shared" si="6"/>
        <v>23.05</v>
      </c>
      <c r="B448" s="38">
        <v>23</v>
      </c>
      <c r="C448" s="37">
        <v>5</v>
      </c>
      <c r="D448" s="37">
        <v>1</v>
      </c>
      <c r="E448" s="37">
        <v>1.01</v>
      </c>
      <c r="F448" s="37">
        <v>1.03</v>
      </c>
      <c r="G448" s="37">
        <v>1.04</v>
      </c>
      <c r="H448" s="37">
        <v>1.05</v>
      </c>
      <c r="I448" s="37">
        <v>1.05</v>
      </c>
      <c r="J448" s="37">
        <v>1.05</v>
      </c>
      <c r="K448" s="37">
        <v>1.04</v>
      </c>
      <c r="L448" s="37">
        <v>1.02</v>
      </c>
      <c r="M448" s="37">
        <v>1.01</v>
      </c>
      <c r="N448" s="37">
        <v>1</v>
      </c>
      <c r="O448" s="37">
        <v>0.99</v>
      </c>
    </row>
    <row r="449" spans="1:15">
      <c r="A449" s="1">
        <f t="shared" si="6"/>
        <v>23.1</v>
      </c>
      <c r="B449" s="38">
        <v>23</v>
      </c>
      <c r="C449" s="37">
        <v>10</v>
      </c>
      <c r="D449" s="37">
        <v>0.99</v>
      </c>
      <c r="E449" s="37">
        <v>1.01</v>
      </c>
      <c r="F449" s="37">
        <v>1.05</v>
      </c>
      <c r="G449" s="37">
        <v>1.08</v>
      </c>
      <c r="H449" s="37">
        <v>1.1000000000000001</v>
      </c>
      <c r="I449" s="37">
        <v>1.1000000000000001</v>
      </c>
      <c r="J449" s="37">
        <v>1.0900000000000001</v>
      </c>
      <c r="K449" s="37">
        <v>1.07</v>
      </c>
      <c r="L449" s="37">
        <v>1.04</v>
      </c>
      <c r="M449" s="37">
        <v>1.01</v>
      </c>
      <c r="N449" s="37">
        <v>0.99</v>
      </c>
      <c r="O449" s="37">
        <v>0.98</v>
      </c>
    </row>
    <row r="450" spans="1:15">
      <c r="A450" s="1">
        <f t="shared" si="6"/>
        <v>23.15</v>
      </c>
      <c r="B450" s="38">
        <v>23</v>
      </c>
      <c r="C450" s="37">
        <v>15</v>
      </c>
      <c r="D450" s="37">
        <v>0.97</v>
      </c>
      <c r="E450" s="37">
        <v>1.01</v>
      </c>
      <c r="F450" s="37">
        <v>1.06</v>
      </c>
      <c r="G450" s="37">
        <v>1.1100000000000001</v>
      </c>
      <c r="H450" s="37">
        <v>1.1399999999999999</v>
      </c>
      <c r="I450" s="37">
        <v>1.1399999999999999</v>
      </c>
      <c r="J450" s="37">
        <v>1.1200000000000001</v>
      </c>
      <c r="K450" s="37">
        <v>1.0900000000000001</v>
      </c>
      <c r="L450" s="37">
        <v>1.05</v>
      </c>
      <c r="M450" s="37">
        <v>1</v>
      </c>
      <c r="N450" s="37">
        <v>0.97</v>
      </c>
      <c r="O450" s="37">
        <v>0.96</v>
      </c>
    </row>
    <row r="451" spans="1:15">
      <c r="A451" s="1">
        <f t="shared" si="6"/>
        <v>23.2</v>
      </c>
      <c r="B451" s="38">
        <v>23</v>
      </c>
      <c r="C451" s="37">
        <v>20</v>
      </c>
      <c r="D451" s="37">
        <v>0.95</v>
      </c>
      <c r="E451" s="37">
        <v>0.99</v>
      </c>
      <c r="F451" s="37">
        <v>1.06</v>
      </c>
      <c r="G451" s="37">
        <v>1.1299999999999999</v>
      </c>
      <c r="H451" s="37">
        <v>1.18</v>
      </c>
      <c r="I451" s="37">
        <v>1.18</v>
      </c>
      <c r="J451" s="37">
        <v>1.1499999999999999</v>
      </c>
      <c r="K451" s="37">
        <v>1.1100000000000001</v>
      </c>
      <c r="L451" s="37">
        <v>1.05</v>
      </c>
      <c r="M451" s="37">
        <v>0.99</v>
      </c>
      <c r="N451" s="37">
        <v>0.95</v>
      </c>
      <c r="O451" s="37">
        <v>0.93</v>
      </c>
    </row>
    <row r="452" spans="1:15">
      <c r="A452" s="1">
        <f t="shared" si="6"/>
        <v>23.25</v>
      </c>
      <c r="B452" s="38">
        <v>23</v>
      </c>
      <c r="C452" s="37">
        <v>25</v>
      </c>
      <c r="D452" s="37">
        <v>0.92</v>
      </c>
      <c r="E452" s="37">
        <v>0.98</v>
      </c>
      <c r="F452" s="37">
        <v>1.06</v>
      </c>
      <c r="G452" s="37">
        <v>1.1499999999999999</v>
      </c>
      <c r="H452" s="37">
        <v>1.2</v>
      </c>
      <c r="I452" s="37">
        <v>1.2</v>
      </c>
      <c r="J452" s="37">
        <v>1.17</v>
      </c>
      <c r="K452" s="37">
        <v>1.1100000000000001</v>
      </c>
      <c r="L452" s="37">
        <v>1.05</v>
      </c>
      <c r="M452" s="37">
        <v>0.97</v>
      </c>
      <c r="N452" s="37">
        <v>0.92</v>
      </c>
      <c r="O452" s="37">
        <v>0.9</v>
      </c>
    </row>
    <row r="453" spans="1:15">
      <c r="A453" s="1">
        <f t="shared" si="6"/>
        <v>23.3</v>
      </c>
      <c r="B453" s="38">
        <v>23</v>
      </c>
      <c r="C453" s="37">
        <v>30</v>
      </c>
      <c r="D453" s="37">
        <v>0.88</v>
      </c>
      <c r="E453" s="37">
        <v>0.95</v>
      </c>
      <c r="F453" s="37">
        <v>1.05</v>
      </c>
      <c r="G453" s="37">
        <v>1.1499999999999999</v>
      </c>
      <c r="H453" s="37">
        <v>1.22</v>
      </c>
      <c r="I453" s="37">
        <v>1.22</v>
      </c>
      <c r="J453" s="37">
        <v>1.18</v>
      </c>
      <c r="K453" s="37">
        <v>1.1200000000000001</v>
      </c>
      <c r="L453" s="37">
        <v>1.04</v>
      </c>
      <c r="M453" s="37">
        <v>0.95</v>
      </c>
      <c r="N453" s="37">
        <v>0.88</v>
      </c>
      <c r="O453" s="37">
        <v>0.86</v>
      </c>
    </row>
    <row r="454" spans="1:15">
      <c r="A454" s="1">
        <f t="shared" si="6"/>
        <v>23.35</v>
      </c>
      <c r="B454" s="38">
        <v>23</v>
      </c>
      <c r="C454" s="37">
        <v>35</v>
      </c>
      <c r="D454" s="37">
        <v>0.84</v>
      </c>
      <c r="E454" s="37">
        <v>0.92</v>
      </c>
      <c r="F454" s="37">
        <v>1.03</v>
      </c>
      <c r="G454" s="37">
        <v>1.1499999999999999</v>
      </c>
      <c r="H454" s="37">
        <v>1.23</v>
      </c>
      <c r="I454" s="37">
        <v>1.23</v>
      </c>
      <c r="J454" s="37">
        <v>1.18</v>
      </c>
      <c r="K454" s="37">
        <v>1.1100000000000001</v>
      </c>
      <c r="L454" s="37">
        <v>1.02</v>
      </c>
      <c r="M454" s="37">
        <v>0.92</v>
      </c>
      <c r="N454" s="37">
        <v>0.84</v>
      </c>
      <c r="O454" s="37">
        <v>0.81</v>
      </c>
    </row>
    <row r="455" spans="1:15">
      <c r="A455" s="1">
        <f t="shared" si="6"/>
        <v>23.4</v>
      </c>
      <c r="B455" s="38">
        <v>23</v>
      </c>
      <c r="C455" s="37">
        <v>40</v>
      </c>
      <c r="D455" s="37">
        <v>0.79</v>
      </c>
      <c r="E455" s="37">
        <v>0.88</v>
      </c>
      <c r="F455" s="37">
        <v>1.01</v>
      </c>
      <c r="G455" s="37">
        <v>1.1399999999999999</v>
      </c>
      <c r="H455" s="37">
        <v>1.23</v>
      </c>
      <c r="I455" s="37">
        <v>1.24</v>
      </c>
      <c r="J455" s="37">
        <v>1.18</v>
      </c>
      <c r="K455" s="37">
        <v>1.1000000000000001</v>
      </c>
      <c r="L455" s="37">
        <v>0.99</v>
      </c>
      <c r="M455" s="37">
        <v>0.88</v>
      </c>
      <c r="N455" s="37">
        <v>0.79</v>
      </c>
      <c r="O455" s="37">
        <v>0.76</v>
      </c>
    </row>
    <row r="456" spans="1:15">
      <c r="A456" s="1">
        <f t="shared" si="6"/>
        <v>23.45</v>
      </c>
      <c r="B456" s="38">
        <v>23</v>
      </c>
      <c r="C456" s="37">
        <v>45</v>
      </c>
      <c r="D456" s="37">
        <v>0.73</v>
      </c>
      <c r="E456" s="37">
        <v>0.83</v>
      </c>
      <c r="F456" s="37">
        <v>0.98</v>
      </c>
      <c r="G456" s="37">
        <v>1.1299999999999999</v>
      </c>
      <c r="H456" s="37">
        <v>1.23</v>
      </c>
      <c r="I456" s="37">
        <v>1.23</v>
      </c>
      <c r="J456" s="37">
        <v>1.17</v>
      </c>
      <c r="K456" s="37">
        <v>1.08</v>
      </c>
      <c r="L456" s="37">
        <v>0.96</v>
      </c>
      <c r="M456" s="37">
        <v>0.84</v>
      </c>
      <c r="N456" s="37">
        <v>0.74</v>
      </c>
      <c r="O456" s="37">
        <v>0.7</v>
      </c>
    </row>
    <row r="457" spans="1:15">
      <c r="A457" s="1">
        <f t="shared" si="6"/>
        <v>23.5</v>
      </c>
      <c r="B457" s="38">
        <v>23</v>
      </c>
      <c r="C457" s="37">
        <v>50</v>
      </c>
      <c r="D457" s="37">
        <v>0.68</v>
      </c>
      <c r="E457" s="37">
        <v>0.78</v>
      </c>
      <c r="F457" s="37">
        <v>0.94</v>
      </c>
      <c r="G457" s="37">
        <v>1.1000000000000001</v>
      </c>
      <c r="H457" s="37">
        <v>1.21</v>
      </c>
      <c r="I457" s="37">
        <v>1.22</v>
      </c>
      <c r="J457" s="37">
        <v>1.1599999999999999</v>
      </c>
      <c r="K457" s="37">
        <v>1.06</v>
      </c>
      <c r="L457" s="37">
        <v>0.92</v>
      </c>
      <c r="M457" s="37">
        <v>0.79</v>
      </c>
      <c r="N457" s="37">
        <v>0.68</v>
      </c>
      <c r="O457" s="37">
        <v>0.64</v>
      </c>
    </row>
    <row r="458" spans="1:15">
      <c r="A458" s="1">
        <f t="shared" ref="A458:A521" si="7">B458+C458/100</f>
        <v>23.55</v>
      </c>
      <c r="B458" s="38">
        <v>23</v>
      </c>
      <c r="C458" s="37">
        <v>55</v>
      </c>
      <c r="D458" s="37">
        <v>0.61</v>
      </c>
      <c r="E458" s="37">
        <v>0.73</v>
      </c>
      <c r="F458" s="37">
        <v>0.89</v>
      </c>
      <c r="G458" s="37">
        <v>1.07</v>
      </c>
      <c r="H458" s="37">
        <v>1.19</v>
      </c>
      <c r="I458" s="37">
        <v>1.2</v>
      </c>
      <c r="J458" s="37">
        <v>1.1299999999999999</v>
      </c>
      <c r="K458" s="37">
        <v>1.02</v>
      </c>
      <c r="L458" s="37">
        <v>0.88</v>
      </c>
      <c r="M458" s="37">
        <v>0.73</v>
      </c>
      <c r="N458" s="37">
        <v>0.62</v>
      </c>
      <c r="O458" s="37">
        <v>0.56999999999999995</v>
      </c>
    </row>
    <row r="459" spans="1:15">
      <c r="A459" s="1">
        <f t="shared" si="7"/>
        <v>23.6</v>
      </c>
      <c r="B459" s="38">
        <v>23</v>
      </c>
      <c r="C459" s="37">
        <v>60</v>
      </c>
      <c r="D459" s="37">
        <v>0.54</v>
      </c>
      <c r="E459" s="37">
        <v>0.67</v>
      </c>
      <c r="F459" s="37">
        <v>0.84</v>
      </c>
      <c r="G459" s="37">
        <v>1.03</v>
      </c>
      <c r="H459" s="37">
        <v>1.1599999999999999</v>
      </c>
      <c r="I459" s="37">
        <v>1.18</v>
      </c>
      <c r="J459" s="37">
        <v>1.1000000000000001</v>
      </c>
      <c r="K459" s="37">
        <v>0.99</v>
      </c>
      <c r="L459" s="37">
        <v>0.83</v>
      </c>
      <c r="M459" s="37">
        <v>0.67</v>
      </c>
      <c r="N459" s="37">
        <v>0.55000000000000004</v>
      </c>
      <c r="O459" s="37">
        <v>0.5</v>
      </c>
    </row>
    <row r="460" spans="1:15">
      <c r="A460" s="1">
        <f t="shared" si="7"/>
        <v>23.65</v>
      </c>
      <c r="B460" s="38">
        <v>23</v>
      </c>
      <c r="C460" s="37">
        <v>65</v>
      </c>
      <c r="D460" s="37">
        <v>0.47</v>
      </c>
      <c r="E460" s="37">
        <v>0.6</v>
      </c>
      <c r="F460" s="37">
        <v>0.79</v>
      </c>
      <c r="G460" s="37">
        <v>0.99</v>
      </c>
      <c r="H460" s="37">
        <v>1.1299999999999999</v>
      </c>
      <c r="I460" s="37">
        <v>1.1399999999999999</v>
      </c>
      <c r="J460" s="37">
        <v>1.06</v>
      </c>
      <c r="K460" s="37">
        <v>0.94</v>
      </c>
      <c r="L460" s="37">
        <v>0.78</v>
      </c>
      <c r="M460" s="37">
        <v>0.61</v>
      </c>
      <c r="N460" s="37">
        <v>0.48</v>
      </c>
      <c r="O460" s="37">
        <v>0.43</v>
      </c>
    </row>
    <row r="461" spans="1:15">
      <c r="A461" s="1">
        <f t="shared" si="7"/>
        <v>23.7</v>
      </c>
      <c r="B461" s="38">
        <v>23</v>
      </c>
      <c r="C461" s="37">
        <v>70</v>
      </c>
      <c r="D461" s="37">
        <v>0.4</v>
      </c>
      <c r="E461" s="37">
        <v>0.53</v>
      </c>
      <c r="F461" s="37">
        <v>0.73</v>
      </c>
      <c r="G461" s="37">
        <v>0.94</v>
      </c>
      <c r="H461" s="37">
        <v>1.08</v>
      </c>
      <c r="I461" s="37">
        <v>1.1000000000000001</v>
      </c>
      <c r="J461" s="37">
        <v>1.02</v>
      </c>
      <c r="K461" s="37">
        <v>0.89</v>
      </c>
      <c r="L461" s="37">
        <v>0.72</v>
      </c>
      <c r="M461" s="37">
        <v>0.54</v>
      </c>
      <c r="N461" s="37">
        <v>0.41</v>
      </c>
      <c r="O461" s="37">
        <v>0.35</v>
      </c>
    </row>
    <row r="462" spans="1:15">
      <c r="A462" s="1">
        <f t="shared" si="7"/>
        <v>23.75</v>
      </c>
      <c r="B462" s="38">
        <v>23</v>
      </c>
      <c r="C462" s="37">
        <v>75</v>
      </c>
      <c r="D462" s="37">
        <v>0.32</v>
      </c>
      <c r="E462" s="37">
        <v>0.46</v>
      </c>
      <c r="F462" s="37">
        <v>0.66</v>
      </c>
      <c r="G462" s="37">
        <v>0.88</v>
      </c>
      <c r="H462" s="37">
        <v>1.03</v>
      </c>
      <c r="I462" s="37">
        <v>1.05</v>
      </c>
      <c r="J462" s="37">
        <v>0.97</v>
      </c>
      <c r="K462" s="37">
        <v>0.84</v>
      </c>
      <c r="L462" s="37">
        <v>0.66</v>
      </c>
      <c r="M462" s="37">
        <v>0.47</v>
      </c>
      <c r="N462" s="37">
        <v>0.33</v>
      </c>
      <c r="O462" s="37">
        <v>0.28000000000000003</v>
      </c>
    </row>
    <row r="463" spans="1:15">
      <c r="A463" s="1">
        <f t="shared" si="7"/>
        <v>23.8</v>
      </c>
      <c r="B463" s="38">
        <v>23</v>
      </c>
      <c r="C463" s="37">
        <v>80</v>
      </c>
      <c r="D463" s="37">
        <v>0.24</v>
      </c>
      <c r="E463" s="37">
        <v>0.39</v>
      </c>
      <c r="F463" s="37">
        <v>0.59</v>
      </c>
      <c r="G463" s="37">
        <v>0.81</v>
      </c>
      <c r="H463" s="37">
        <v>0.97</v>
      </c>
      <c r="I463" s="37">
        <v>1</v>
      </c>
      <c r="J463" s="37">
        <v>0.91</v>
      </c>
      <c r="K463" s="37">
        <v>0.78</v>
      </c>
      <c r="L463" s="37">
        <v>0.59</v>
      </c>
      <c r="M463" s="37">
        <v>0.4</v>
      </c>
      <c r="N463" s="37">
        <v>0.26</v>
      </c>
      <c r="O463" s="37">
        <v>0.2</v>
      </c>
    </row>
    <row r="464" spans="1:15">
      <c r="A464" s="1">
        <f t="shared" si="7"/>
        <v>23.85</v>
      </c>
      <c r="B464" s="38">
        <v>23</v>
      </c>
      <c r="C464" s="37">
        <v>85</v>
      </c>
      <c r="D464" s="37">
        <v>0.17</v>
      </c>
      <c r="E464" s="37">
        <v>0.31</v>
      </c>
      <c r="F464" s="37">
        <v>0.52</v>
      </c>
      <c r="G464" s="37">
        <v>0.74</v>
      </c>
      <c r="H464" s="37">
        <v>0.91</v>
      </c>
      <c r="I464" s="37">
        <v>0.94</v>
      </c>
      <c r="J464" s="37">
        <v>0.85</v>
      </c>
      <c r="K464" s="37">
        <v>0.71</v>
      </c>
      <c r="L464" s="37">
        <v>0.52</v>
      </c>
      <c r="M464" s="37">
        <v>0.32</v>
      </c>
      <c r="N464" s="37">
        <v>0.18</v>
      </c>
      <c r="O464" s="37">
        <v>0.12</v>
      </c>
    </row>
    <row r="465" spans="1:15">
      <c r="A465" s="1">
        <f t="shared" si="7"/>
        <v>23.9</v>
      </c>
      <c r="B465" s="38">
        <v>23</v>
      </c>
      <c r="C465" s="37">
        <v>90</v>
      </c>
      <c r="D465" s="37">
        <v>0.08</v>
      </c>
      <c r="E465" s="37">
        <v>0.23</v>
      </c>
      <c r="F465" s="37">
        <v>0.44</v>
      </c>
      <c r="G465" s="37">
        <v>0.67</v>
      </c>
      <c r="H465" s="37">
        <v>0.84</v>
      </c>
      <c r="I465" s="37">
        <v>0.87</v>
      </c>
      <c r="J465" s="37">
        <v>0.79</v>
      </c>
      <c r="K465" s="37">
        <v>0.64</v>
      </c>
      <c r="L465" s="37">
        <v>0.45</v>
      </c>
      <c r="M465" s="37">
        <v>0.25</v>
      </c>
      <c r="N465" s="37">
        <v>0.1</v>
      </c>
      <c r="O465" s="37">
        <v>0.08</v>
      </c>
    </row>
    <row r="466" spans="1:15">
      <c r="A466" s="1">
        <f t="shared" si="7"/>
        <v>24</v>
      </c>
      <c r="B466" s="38">
        <v>24</v>
      </c>
      <c r="C466" s="37">
        <v>0</v>
      </c>
      <c r="D466" s="37">
        <v>1</v>
      </c>
      <c r="E466" s="37">
        <v>1</v>
      </c>
      <c r="F466" s="37">
        <v>1</v>
      </c>
      <c r="G466" s="37">
        <v>1</v>
      </c>
      <c r="H466" s="37">
        <v>1</v>
      </c>
      <c r="I466" s="37">
        <v>1</v>
      </c>
      <c r="J466" s="37">
        <v>1</v>
      </c>
      <c r="K466" s="37">
        <v>1</v>
      </c>
      <c r="L466" s="37">
        <v>1</v>
      </c>
      <c r="M466" s="37">
        <v>1</v>
      </c>
      <c r="N466" s="37">
        <v>1</v>
      </c>
      <c r="O466" s="37">
        <v>1</v>
      </c>
    </row>
    <row r="467" spans="1:15">
      <c r="A467" s="1">
        <f t="shared" si="7"/>
        <v>24.05</v>
      </c>
      <c r="B467" s="38">
        <v>24</v>
      </c>
      <c r="C467" s="37">
        <v>5</v>
      </c>
      <c r="D467" s="37">
        <v>1</v>
      </c>
      <c r="E467" s="37">
        <v>1.01</v>
      </c>
      <c r="F467" s="37">
        <v>1.03</v>
      </c>
      <c r="G467" s="37">
        <v>1.05</v>
      </c>
      <c r="H467" s="37">
        <v>1.06</v>
      </c>
      <c r="I467" s="37">
        <v>1.06</v>
      </c>
      <c r="J467" s="37">
        <v>1.05</v>
      </c>
      <c r="K467" s="37">
        <v>1.04</v>
      </c>
      <c r="L467" s="37">
        <v>1.02</v>
      </c>
      <c r="M467" s="37">
        <v>1.01</v>
      </c>
      <c r="N467" s="37">
        <v>1</v>
      </c>
      <c r="O467" s="37">
        <v>0.99</v>
      </c>
    </row>
    <row r="468" spans="1:15">
      <c r="A468" s="1">
        <f t="shared" si="7"/>
        <v>24.1</v>
      </c>
      <c r="B468" s="38">
        <v>24</v>
      </c>
      <c r="C468" s="37">
        <v>10</v>
      </c>
      <c r="D468" s="37">
        <v>0.99</v>
      </c>
      <c r="E468" s="37">
        <v>1.01</v>
      </c>
      <c r="F468" s="37">
        <v>1.05</v>
      </c>
      <c r="G468" s="37">
        <v>1.08</v>
      </c>
      <c r="H468" s="37">
        <v>1.1100000000000001</v>
      </c>
      <c r="I468" s="37">
        <v>1.1100000000000001</v>
      </c>
      <c r="J468" s="37">
        <v>1.0900000000000001</v>
      </c>
      <c r="K468" s="37">
        <v>1.07</v>
      </c>
      <c r="L468" s="37">
        <v>1.04</v>
      </c>
      <c r="M468" s="37">
        <v>1.01</v>
      </c>
      <c r="N468" s="37">
        <v>0.99</v>
      </c>
      <c r="O468" s="37">
        <v>0.98</v>
      </c>
    </row>
    <row r="469" spans="1:15">
      <c r="A469" s="1">
        <f t="shared" si="7"/>
        <v>24.15</v>
      </c>
      <c r="B469" s="38">
        <v>24</v>
      </c>
      <c r="C469" s="37">
        <v>15</v>
      </c>
      <c r="D469" s="37">
        <v>0.97</v>
      </c>
      <c r="E469" s="37">
        <v>1.01</v>
      </c>
      <c r="F469" s="37">
        <v>1.06</v>
      </c>
      <c r="G469" s="37">
        <v>1.1100000000000001</v>
      </c>
      <c r="H469" s="37">
        <v>1.1499999999999999</v>
      </c>
      <c r="I469" s="37">
        <v>1.1499999999999999</v>
      </c>
      <c r="J469" s="37">
        <v>1.1200000000000001</v>
      </c>
      <c r="K469" s="37">
        <v>1.0900000000000001</v>
      </c>
      <c r="L469" s="37">
        <v>1.05</v>
      </c>
      <c r="M469" s="37">
        <v>1.01</v>
      </c>
      <c r="N469" s="37">
        <v>0.97</v>
      </c>
      <c r="O469" s="37">
        <v>0.96</v>
      </c>
    </row>
    <row r="470" spans="1:15">
      <c r="A470" s="1">
        <f t="shared" si="7"/>
        <v>24.2</v>
      </c>
      <c r="B470" s="38">
        <v>24</v>
      </c>
      <c r="C470" s="37">
        <v>20</v>
      </c>
      <c r="D470" s="37">
        <v>0.95</v>
      </c>
      <c r="E470" s="37">
        <v>1</v>
      </c>
      <c r="F470" s="37">
        <v>1.07</v>
      </c>
      <c r="G470" s="37">
        <v>1.1399999999999999</v>
      </c>
      <c r="H470" s="37">
        <v>1.18</v>
      </c>
      <c r="I470" s="37">
        <v>1.18</v>
      </c>
      <c r="J470" s="37">
        <v>1.1499999999999999</v>
      </c>
      <c r="K470" s="37">
        <v>1.1100000000000001</v>
      </c>
      <c r="L470" s="37">
        <v>1.06</v>
      </c>
      <c r="M470" s="37">
        <v>1</v>
      </c>
      <c r="N470" s="37">
        <v>0.95</v>
      </c>
      <c r="O470" s="37">
        <v>0.93</v>
      </c>
    </row>
    <row r="471" spans="1:15">
      <c r="A471" s="1">
        <f t="shared" si="7"/>
        <v>24.25</v>
      </c>
      <c r="B471" s="38">
        <v>24</v>
      </c>
      <c r="C471" s="37">
        <v>25</v>
      </c>
      <c r="D471" s="37">
        <v>0.92</v>
      </c>
      <c r="E471" s="37">
        <v>0.98</v>
      </c>
      <c r="F471" s="37">
        <v>1.07</v>
      </c>
      <c r="G471" s="37">
        <v>1.1499999999999999</v>
      </c>
      <c r="H471" s="37">
        <v>1.21</v>
      </c>
      <c r="I471" s="37">
        <v>1.21</v>
      </c>
      <c r="J471" s="37">
        <v>1.17</v>
      </c>
      <c r="K471" s="37">
        <v>1.1200000000000001</v>
      </c>
      <c r="L471" s="37">
        <v>1.05</v>
      </c>
      <c r="M471" s="37">
        <v>0.98</v>
      </c>
      <c r="N471" s="37">
        <v>0.92</v>
      </c>
      <c r="O471" s="37">
        <v>0.9</v>
      </c>
    </row>
    <row r="472" spans="1:15">
      <c r="A472" s="1">
        <f t="shared" si="7"/>
        <v>24.3</v>
      </c>
      <c r="B472" s="38">
        <v>24</v>
      </c>
      <c r="C472" s="37">
        <v>30</v>
      </c>
      <c r="D472" s="37">
        <v>0.89</v>
      </c>
      <c r="E472" s="37">
        <v>0.96</v>
      </c>
      <c r="F472" s="37">
        <v>1.06</v>
      </c>
      <c r="G472" s="37">
        <v>1.1599999999999999</v>
      </c>
      <c r="H472" s="37">
        <v>1.23</v>
      </c>
      <c r="I472" s="37">
        <v>1.23</v>
      </c>
      <c r="J472" s="37">
        <v>1.19</v>
      </c>
      <c r="K472" s="37">
        <v>1.1200000000000001</v>
      </c>
      <c r="L472" s="37">
        <v>1.04</v>
      </c>
      <c r="M472" s="37">
        <v>0.96</v>
      </c>
      <c r="N472" s="37">
        <v>0.89</v>
      </c>
      <c r="O472" s="37">
        <v>0.86</v>
      </c>
    </row>
    <row r="473" spans="1:15">
      <c r="A473" s="1">
        <f t="shared" si="7"/>
        <v>24.35</v>
      </c>
      <c r="B473" s="38">
        <v>24</v>
      </c>
      <c r="C473" s="37">
        <v>35</v>
      </c>
      <c r="D473" s="37">
        <v>0.85</v>
      </c>
      <c r="E473" s="37">
        <v>0.93</v>
      </c>
      <c r="F473" s="37">
        <v>1.04</v>
      </c>
      <c r="G473" s="37">
        <v>1.1599999999999999</v>
      </c>
      <c r="H473" s="37">
        <v>1.24</v>
      </c>
      <c r="I473" s="37">
        <v>1.24</v>
      </c>
      <c r="J473" s="37">
        <v>1.19</v>
      </c>
      <c r="K473" s="37">
        <v>1.1200000000000001</v>
      </c>
      <c r="L473" s="37">
        <v>1.03</v>
      </c>
      <c r="M473" s="37">
        <v>0.92</v>
      </c>
      <c r="N473" s="37">
        <v>0.85</v>
      </c>
      <c r="O473" s="37">
        <v>0.82</v>
      </c>
    </row>
    <row r="474" spans="1:15">
      <c r="A474" s="1">
        <f t="shared" si="7"/>
        <v>24.4</v>
      </c>
      <c r="B474" s="38">
        <v>24</v>
      </c>
      <c r="C474" s="37">
        <v>40</v>
      </c>
      <c r="D474" s="37">
        <v>0.8</v>
      </c>
      <c r="E474" s="37">
        <v>0.89</v>
      </c>
      <c r="F474" s="37">
        <v>1.02</v>
      </c>
      <c r="G474" s="37">
        <v>1.1599999999999999</v>
      </c>
      <c r="H474" s="37">
        <v>1.25</v>
      </c>
      <c r="I474" s="37">
        <v>1.25</v>
      </c>
      <c r="J474" s="37">
        <v>1.19</v>
      </c>
      <c r="K474" s="37">
        <v>1.1100000000000001</v>
      </c>
      <c r="L474" s="37">
        <v>1</v>
      </c>
      <c r="M474" s="37">
        <v>0.89</v>
      </c>
      <c r="N474" s="37">
        <v>0.8</v>
      </c>
      <c r="O474" s="37">
        <v>0.77</v>
      </c>
    </row>
    <row r="475" spans="1:15">
      <c r="A475" s="1">
        <f t="shared" si="7"/>
        <v>24.45</v>
      </c>
      <c r="B475" s="38">
        <v>24</v>
      </c>
      <c r="C475" s="37">
        <v>45</v>
      </c>
      <c r="D475" s="37">
        <v>0.74</v>
      </c>
      <c r="E475" s="37">
        <v>0.84</v>
      </c>
      <c r="F475" s="37">
        <v>0.99</v>
      </c>
      <c r="G475" s="37">
        <v>1.1399999999999999</v>
      </c>
      <c r="H475" s="37">
        <v>1.24</v>
      </c>
      <c r="I475" s="37">
        <v>1.25</v>
      </c>
      <c r="J475" s="37">
        <v>1.18</v>
      </c>
      <c r="K475" s="37">
        <v>1.0900000000000001</v>
      </c>
      <c r="L475" s="37">
        <v>0.97</v>
      </c>
      <c r="M475" s="37">
        <v>0.84</v>
      </c>
      <c r="N475" s="37">
        <v>0.75</v>
      </c>
      <c r="O475" s="37">
        <v>0.71</v>
      </c>
    </row>
    <row r="476" spans="1:15">
      <c r="A476" s="1">
        <f t="shared" si="7"/>
        <v>24.5</v>
      </c>
      <c r="B476" s="38">
        <v>24</v>
      </c>
      <c r="C476" s="37">
        <v>50</v>
      </c>
      <c r="D476" s="37">
        <v>0.69</v>
      </c>
      <c r="E476" s="37">
        <v>0.79</v>
      </c>
      <c r="F476" s="37">
        <v>0.95</v>
      </c>
      <c r="G476" s="37">
        <v>1.1200000000000001</v>
      </c>
      <c r="H476" s="37">
        <v>1.23</v>
      </c>
      <c r="I476" s="37">
        <v>1.24</v>
      </c>
      <c r="J476" s="37">
        <v>1.17</v>
      </c>
      <c r="K476" s="37">
        <v>1.07</v>
      </c>
      <c r="L476" s="37">
        <v>0.94</v>
      </c>
      <c r="M476" s="37">
        <v>0.8</v>
      </c>
      <c r="N476" s="37">
        <v>0.69</v>
      </c>
      <c r="O476" s="37">
        <v>0.65</v>
      </c>
    </row>
    <row r="477" spans="1:15">
      <c r="A477" s="1">
        <f t="shared" si="7"/>
        <v>24.55</v>
      </c>
      <c r="B477" s="38">
        <v>24</v>
      </c>
      <c r="C477" s="37">
        <v>55</v>
      </c>
      <c r="D477" s="37">
        <v>0.62</v>
      </c>
      <c r="E477" s="37">
        <v>0.74</v>
      </c>
      <c r="F477" s="37">
        <v>0.91</v>
      </c>
      <c r="G477" s="37">
        <v>1.0900000000000001</v>
      </c>
      <c r="H477" s="37">
        <v>1.21</v>
      </c>
      <c r="I477" s="37">
        <v>1.22</v>
      </c>
      <c r="J477" s="37">
        <v>1.1499999999999999</v>
      </c>
      <c r="K477" s="37">
        <v>1.04</v>
      </c>
      <c r="L477" s="37">
        <v>0.89</v>
      </c>
      <c r="M477" s="37">
        <v>0.74</v>
      </c>
      <c r="N477" s="37">
        <v>0.63</v>
      </c>
      <c r="O477" s="37">
        <v>0.57999999999999996</v>
      </c>
    </row>
    <row r="478" spans="1:15">
      <c r="A478" s="1">
        <f t="shared" si="7"/>
        <v>24.6</v>
      </c>
      <c r="B478" s="38">
        <v>24</v>
      </c>
      <c r="C478" s="37">
        <v>60</v>
      </c>
      <c r="D478" s="37">
        <v>0.56000000000000005</v>
      </c>
      <c r="E478" s="37">
        <v>0.68</v>
      </c>
      <c r="F478" s="37">
        <v>0.86</v>
      </c>
      <c r="G478" s="37">
        <v>1.05</v>
      </c>
      <c r="H478" s="37">
        <v>1.18</v>
      </c>
      <c r="I478" s="37">
        <v>1.19</v>
      </c>
      <c r="J478" s="37">
        <v>1.1200000000000001</v>
      </c>
      <c r="K478" s="37">
        <v>1</v>
      </c>
      <c r="L478" s="37">
        <v>0.85</v>
      </c>
      <c r="M478" s="37">
        <v>0.68</v>
      </c>
      <c r="N478" s="37">
        <v>0.56000000000000005</v>
      </c>
      <c r="O478" s="37">
        <v>0.52</v>
      </c>
    </row>
    <row r="479" spans="1:15">
      <c r="A479" s="1">
        <f t="shared" si="7"/>
        <v>24.65</v>
      </c>
      <c r="B479" s="38">
        <v>24</v>
      </c>
      <c r="C479" s="37">
        <v>65</v>
      </c>
      <c r="D479" s="37">
        <v>0.49</v>
      </c>
      <c r="E479" s="37">
        <v>0.62</v>
      </c>
      <c r="F479" s="37">
        <v>0.8</v>
      </c>
      <c r="G479" s="37">
        <v>1</v>
      </c>
      <c r="H479" s="37">
        <v>1.1399999999999999</v>
      </c>
      <c r="I479" s="37">
        <v>1.1599999999999999</v>
      </c>
      <c r="J479" s="37">
        <v>1.08</v>
      </c>
      <c r="K479" s="37">
        <v>0.96</v>
      </c>
      <c r="L479" s="37">
        <v>0.79</v>
      </c>
      <c r="M479" s="37">
        <v>0.62</v>
      </c>
      <c r="N479" s="37">
        <v>0.49</v>
      </c>
      <c r="O479" s="37">
        <v>0.44</v>
      </c>
    </row>
    <row r="480" spans="1:15">
      <c r="A480" s="1">
        <f t="shared" si="7"/>
        <v>24.7</v>
      </c>
      <c r="B480" s="38">
        <v>24</v>
      </c>
      <c r="C480" s="37">
        <v>70</v>
      </c>
      <c r="D480" s="37">
        <v>0.41</v>
      </c>
      <c r="E480" s="37">
        <v>0.55000000000000004</v>
      </c>
      <c r="F480" s="37">
        <v>0.74</v>
      </c>
      <c r="G480" s="37">
        <v>0.95</v>
      </c>
      <c r="H480" s="37">
        <v>1.1000000000000001</v>
      </c>
      <c r="I480" s="37">
        <v>1.1200000000000001</v>
      </c>
      <c r="J480" s="37">
        <v>1.04</v>
      </c>
      <c r="K480" s="37">
        <v>0.91</v>
      </c>
      <c r="L480" s="37">
        <v>0.73</v>
      </c>
      <c r="M480" s="37">
        <v>0.56000000000000005</v>
      </c>
      <c r="N480" s="37">
        <v>0.42</v>
      </c>
      <c r="O480" s="37">
        <v>0.37</v>
      </c>
    </row>
    <row r="481" spans="1:15">
      <c r="A481" s="1">
        <f t="shared" si="7"/>
        <v>24.75</v>
      </c>
      <c r="B481" s="38">
        <v>24</v>
      </c>
      <c r="C481" s="37">
        <v>75</v>
      </c>
      <c r="D481" s="37">
        <v>0.34</v>
      </c>
      <c r="E481" s="37">
        <v>0.48</v>
      </c>
      <c r="F481" s="37">
        <v>0.68</v>
      </c>
      <c r="G481" s="37">
        <v>0.9</v>
      </c>
      <c r="H481" s="37">
        <v>1.05</v>
      </c>
      <c r="I481" s="37">
        <v>1.07</v>
      </c>
      <c r="J481" s="37">
        <v>0.99</v>
      </c>
      <c r="K481" s="37">
        <v>0.85</v>
      </c>
      <c r="L481" s="37">
        <v>0.67</v>
      </c>
      <c r="M481" s="37">
        <v>0.49</v>
      </c>
      <c r="N481" s="37">
        <v>0.35</v>
      </c>
      <c r="O481" s="37">
        <v>0.28999999999999998</v>
      </c>
    </row>
    <row r="482" spans="1:15">
      <c r="A482" s="1">
        <f t="shared" si="7"/>
        <v>24.8</v>
      </c>
      <c r="B482" s="38">
        <v>24</v>
      </c>
      <c r="C482" s="37">
        <v>80</v>
      </c>
      <c r="D482" s="37">
        <v>0.26</v>
      </c>
      <c r="E482" s="37">
        <v>0.4</v>
      </c>
      <c r="F482" s="37">
        <v>0.61</v>
      </c>
      <c r="G482" s="37">
        <v>0.83</v>
      </c>
      <c r="H482" s="37">
        <v>0.99</v>
      </c>
      <c r="I482" s="37">
        <v>1.02</v>
      </c>
      <c r="J482" s="37">
        <v>0.93</v>
      </c>
      <c r="K482" s="37">
        <v>0.79</v>
      </c>
      <c r="L482" s="37">
        <v>0.6</v>
      </c>
      <c r="M482" s="37">
        <v>0.41</v>
      </c>
      <c r="N482" s="37">
        <v>0.27</v>
      </c>
      <c r="O482" s="37">
        <v>0.21</v>
      </c>
    </row>
    <row r="483" spans="1:15">
      <c r="A483" s="1">
        <f t="shared" si="7"/>
        <v>24.85</v>
      </c>
      <c r="B483" s="38">
        <v>24</v>
      </c>
      <c r="C483" s="37">
        <v>85</v>
      </c>
      <c r="D483" s="37">
        <v>0.18</v>
      </c>
      <c r="E483" s="37">
        <v>0.32</v>
      </c>
      <c r="F483" s="37">
        <v>0.53</v>
      </c>
      <c r="G483" s="37">
        <v>0.76</v>
      </c>
      <c r="H483" s="37">
        <v>0.93</v>
      </c>
      <c r="I483" s="37">
        <v>0.96</v>
      </c>
      <c r="J483" s="37">
        <v>0.87</v>
      </c>
      <c r="K483" s="37">
        <v>0.73</v>
      </c>
      <c r="L483" s="37">
        <v>0.53</v>
      </c>
      <c r="M483" s="37">
        <v>0.34</v>
      </c>
      <c r="N483" s="37">
        <v>0.19</v>
      </c>
      <c r="O483" s="37">
        <v>0.13</v>
      </c>
    </row>
    <row r="484" spans="1:15">
      <c r="A484" s="1">
        <f t="shared" si="7"/>
        <v>24.9</v>
      </c>
      <c r="B484" s="38">
        <v>24</v>
      </c>
      <c r="C484" s="37">
        <v>90</v>
      </c>
      <c r="D484" s="37">
        <v>0.1</v>
      </c>
      <c r="E484" s="37">
        <v>0.24</v>
      </c>
      <c r="F484" s="37">
        <v>0.46</v>
      </c>
      <c r="G484" s="37">
        <v>0.69</v>
      </c>
      <c r="H484" s="37">
        <v>0.86</v>
      </c>
      <c r="I484" s="37">
        <v>0.89</v>
      </c>
      <c r="J484" s="37">
        <v>0.81</v>
      </c>
      <c r="K484" s="37">
        <v>0.66</v>
      </c>
      <c r="L484" s="37">
        <v>0.46</v>
      </c>
      <c r="M484" s="37">
        <v>0.26</v>
      </c>
      <c r="N484" s="37">
        <v>0.11</v>
      </c>
      <c r="O484" s="37">
        <v>0.08</v>
      </c>
    </row>
    <row r="485" spans="1:15">
      <c r="A485" s="1">
        <f t="shared" si="7"/>
        <v>25</v>
      </c>
      <c r="B485" s="38">
        <v>25</v>
      </c>
      <c r="C485" s="37">
        <v>0</v>
      </c>
      <c r="D485" s="37">
        <v>1</v>
      </c>
      <c r="E485" s="37">
        <v>1</v>
      </c>
      <c r="F485" s="37">
        <v>1</v>
      </c>
      <c r="G485" s="37">
        <v>1</v>
      </c>
      <c r="H485" s="37">
        <v>1</v>
      </c>
      <c r="I485" s="37">
        <v>1</v>
      </c>
      <c r="J485" s="37">
        <v>1</v>
      </c>
      <c r="K485" s="37">
        <v>1</v>
      </c>
      <c r="L485" s="37">
        <v>1</v>
      </c>
      <c r="M485" s="37">
        <v>1</v>
      </c>
      <c r="N485" s="37">
        <v>1</v>
      </c>
      <c r="O485" s="37">
        <v>1</v>
      </c>
    </row>
    <row r="486" spans="1:15">
      <c r="A486" s="1">
        <f t="shared" si="7"/>
        <v>25.05</v>
      </c>
      <c r="B486" s="38">
        <v>25</v>
      </c>
      <c r="C486" s="37">
        <v>5</v>
      </c>
      <c r="D486" s="37">
        <v>1</v>
      </c>
      <c r="E486" s="37">
        <v>1.01</v>
      </c>
      <c r="F486" s="37">
        <v>1.03</v>
      </c>
      <c r="G486" s="37">
        <v>1.05</v>
      </c>
      <c r="H486" s="37">
        <v>1.06</v>
      </c>
      <c r="I486" s="37">
        <v>1.06</v>
      </c>
      <c r="J486" s="37">
        <v>1.05</v>
      </c>
      <c r="K486" s="37">
        <v>1.04</v>
      </c>
      <c r="L486" s="37">
        <v>1.03</v>
      </c>
      <c r="M486" s="37">
        <v>1.01</v>
      </c>
      <c r="N486" s="37">
        <v>1</v>
      </c>
      <c r="O486" s="37">
        <v>1</v>
      </c>
    </row>
    <row r="487" spans="1:15">
      <c r="A487" s="1">
        <f t="shared" si="7"/>
        <v>25.1</v>
      </c>
      <c r="B487" s="38">
        <v>25</v>
      </c>
      <c r="C487" s="37">
        <v>10</v>
      </c>
      <c r="D487" s="37">
        <v>0.99</v>
      </c>
      <c r="E487" s="37">
        <v>1.02</v>
      </c>
      <c r="F487" s="37">
        <v>1.05</v>
      </c>
      <c r="G487" s="37">
        <v>1.0900000000000001</v>
      </c>
      <c r="H487" s="37">
        <v>1.1100000000000001</v>
      </c>
      <c r="I487" s="37">
        <v>1.1100000000000001</v>
      </c>
      <c r="J487" s="37">
        <v>1.0900000000000001</v>
      </c>
      <c r="K487" s="37">
        <v>1.07</v>
      </c>
      <c r="L487" s="37">
        <v>1.04</v>
      </c>
      <c r="M487" s="37">
        <v>1.01</v>
      </c>
      <c r="N487" s="37">
        <v>0.99</v>
      </c>
      <c r="O487" s="37">
        <v>0.98</v>
      </c>
    </row>
    <row r="488" spans="1:15">
      <c r="A488" s="1">
        <f t="shared" si="7"/>
        <v>25.15</v>
      </c>
      <c r="B488" s="38">
        <v>25</v>
      </c>
      <c r="C488" s="37">
        <v>15</v>
      </c>
      <c r="D488" s="37">
        <v>0.98</v>
      </c>
      <c r="E488" s="37">
        <v>1.01</v>
      </c>
      <c r="F488" s="37">
        <v>1.07</v>
      </c>
      <c r="G488" s="37">
        <v>1.1200000000000001</v>
      </c>
      <c r="H488" s="37">
        <v>1.1499999999999999</v>
      </c>
      <c r="I488" s="37">
        <v>1.1499999999999999</v>
      </c>
      <c r="J488" s="37">
        <v>1.1299999999999999</v>
      </c>
      <c r="K488" s="37">
        <v>1.1000000000000001</v>
      </c>
      <c r="L488" s="37">
        <v>1.06</v>
      </c>
      <c r="M488" s="37">
        <v>1.01</v>
      </c>
      <c r="N488" s="37">
        <v>0.98</v>
      </c>
      <c r="O488" s="37">
        <v>0.96</v>
      </c>
    </row>
    <row r="489" spans="1:15">
      <c r="A489" s="1">
        <f t="shared" si="7"/>
        <v>25.2</v>
      </c>
      <c r="B489" s="38">
        <v>25</v>
      </c>
      <c r="C489" s="37">
        <v>20</v>
      </c>
      <c r="D489" s="37">
        <v>0.96</v>
      </c>
      <c r="E489" s="37">
        <v>1</v>
      </c>
      <c r="F489" s="37">
        <v>1.07</v>
      </c>
      <c r="G489" s="37">
        <v>1.1399999999999999</v>
      </c>
      <c r="H489" s="37">
        <v>1.19</v>
      </c>
      <c r="I489" s="37">
        <v>1.19</v>
      </c>
      <c r="J489" s="37">
        <v>1.1599999999999999</v>
      </c>
      <c r="K489" s="37">
        <v>1.1200000000000001</v>
      </c>
      <c r="L489" s="37">
        <v>1.06</v>
      </c>
      <c r="M489" s="37">
        <v>1</v>
      </c>
      <c r="N489" s="37">
        <v>0.96</v>
      </c>
      <c r="O489" s="37">
        <v>0.94</v>
      </c>
    </row>
    <row r="490" spans="1:15">
      <c r="A490" s="1">
        <f t="shared" si="7"/>
        <v>25.25</v>
      </c>
      <c r="B490" s="38">
        <v>25</v>
      </c>
      <c r="C490" s="37">
        <v>25</v>
      </c>
      <c r="D490" s="37">
        <v>0.93</v>
      </c>
      <c r="E490" s="37">
        <v>0.99</v>
      </c>
      <c r="F490" s="37">
        <v>1.07</v>
      </c>
      <c r="G490" s="37">
        <v>1.1599999999999999</v>
      </c>
      <c r="H490" s="37">
        <v>1.22</v>
      </c>
      <c r="I490" s="37">
        <v>1.22</v>
      </c>
      <c r="J490" s="37">
        <v>1.18</v>
      </c>
      <c r="K490" s="37">
        <v>1.1299999999999999</v>
      </c>
      <c r="L490" s="37">
        <v>1.06</v>
      </c>
      <c r="M490" s="37">
        <v>0.99</v>
      </c>
      <c r="N490" s="37">
        <v>0.93</v>
      </c>
      <c r="O490" s="37">
        <v>0.91</v>
      </c>
    </row>
    <row r="491" spans="1:15">
      <c r="A491" s="1">
        <f t="shared" si="7"/>
        <v>25.3</v>
      </c>
      <c r="B491" s="38">
        <v>25</v>
      </c>
      <c r="C491" s="37">
        <v>30</v>
      </c>
      <c r="D491" s="37">
        <v>0.89</v>
      </c>
      <c r="E491" s="37">
        <v>0.96</v>
      </c>
      <c r="F491" s="37">
        <v>1.07</v>
      </c>
      <c r="G491" s="37">
        <v>1.17</v>
      </c>
      <c r="H491" s="37">
        <v>1.24</v>
      </c>
      <c r="I491" s="37">
        <v>1.24</v>
      </c>
      <c r="J491" s="37">
        <v>1.19</v>
      </c>
      <c r="K491" s="37">
        <v>1.1299999999999999</v>
      </c>
      <c r="L491" s="37">
        <v>1.05</v>
      </c>
      <c r="M491" s="37">
        <v>0.96</v>
      </c>
      <c r="N491" s="37">
        <v>0.9</v>
      </c>
      <c r="O491" s="37">
        <v>0.87</v>
      </c>
    </row>
    <row r="492" spans="1:15">
      <c r="A492" s="1">
        <f t="shared" si="7"/>
        <v>25.35</v>
      </c>
      <c r="B492" s="38">
        <v>25</v>
      </c>
      <c r="C492" s="37">
        <v>35</v>
      </c>
      <c r="D492" s="37">
        <v>0.85</v>
      </c>
      <c r="E492" s="37">
        <v>0.93</v>
      </c>
      <c r="F492" s="37">
        <v>1.05</v>
      </c>
      <c r="G492" s="37">
        <v>1.17</v>
      </c>
      <c r="H492" s="37">
        <v>1.25</v>
      </c>
      <c r="I492" s="37">
        <v>1.26</v>
      </c>
      <c r="J492" s="37">
        <v>1.2</v>
      </c>
      <c r="K492" s="37">
        <v>1.1299999999999999</v>
      </c>
      <c r="L492" s="37">
        <v>1.03</v>
      </c>
      <c r="M492" s="37">
        <v>0.93</v>
      </c>
      <c r="N492" s="37">
        <v>0.86</v>
      </c>
      <c r="O492" s="37">
        <v>0.83</v>
      </c>
    </row>
    <row r="493" spans="1:15">
      <c r="A493" s="1">
        <f t="shared" si="7"/>
        <v>25.4</v>
      </c>
      <c r="B493" s="38">
        <v>25</v>
      </c>
      <c r="C493" s="37">
        <v>40</v>
      </c>
      <c r="D493" s="37">
        <v>0.81</v>
      </c>
      <c r="E493" s="37">
        <v>0.9</v>
      </c>
      <c r="F493" s="37">
        <v>1.03</v>
      </c>
      <c r="G493" s="37">
        <v>1.17</v>
      </c>
      <c r="H493" s="37">
        <v>1.26</v>
      </c>
      <c r="I493" s="37">
        <v>1.26</v>
      </c>
      <c r="J493" s="37">
        <v>1.2</v>
      </c>
      <c r="K493" s="37">
        <v>1.1200000000000001</v>
      </c>
      <c r="L493" s="37">
        <v>1.01</v>
      </c>
      <c r="M493" s="37">
        <v>0.9</v>
      </c>
      <c r="N493" s="37">
        <v>0.81</v>
      </c>
      <c r="O493" s="37">
        <v>0.78</v>
      </c>
    </row>
    <row r="494" spans="1:15">
      <c r="A494" s="1">
        <f t="shared" si="7"/>
        <v>25.45</v>
      </c>
      <c r="B494" s="38">
        <v>25</v>
      </c>
      <c r="C494" s="37">
        <v>45</v>
      </c>
      <c r="D494" s="37">
        <v>0.76</v>
      </c>
      <c r="E494" s="37">
        <v>0.86</v>
      </c>
      <c r="F494" s="37">
        <v>1</v>
      </c>
      <c r="G494" s="37">
        <v>1.1499999999999999</v>
      </c>
      <c r="H494" s="37">
        <v>1.26</v>
      </c>
      <c r="I494" s="37">
        <v>1.26</v>
      </c>
      <c r="J494" s="37">
        <v>1.2</v>
      </c>
      <c r="K494" s="37">
        <v>1.1000000000000001</v>
      </c>
      <c r="L494" s="37">
        <v>0.98</v>
      </c>
      <c r="M494" s="37">
        <v>0.85</v>
      </c>
      <c r="N494" s="37">
        <v>0.76</v>
      </c>
      <c r="O494" s="37">
        <v>0.72</v>
      </c>
    </row>
    <row r="495" spans="1:15">
      <c r="A495" s="1">
        <f t="shared" si="7"/>
        <v>25.5</v>
      </c>
      <c r="B495" s="38">
        <v>25</v>
      </c>
      <c r="C495" s="37">
        <v>50</v>
      </c>
      <c r="D495" s="37">
        <v>0.7</v>
      </c>
      <c r="E495" s="37">
        <v>0.81</v>
      </c>
      <c r="F495" s="37">
        <v>0.96</v>
      </c>
      <c r="G495" s="37">
        <v>1.1299999999999999</v>
      </c>
      <c r="H495" s="37">
        <v>1.25</v>
      </c>
      <c r="I495" s="37">
        <v>1.25</v>
      </c>
      <c r="J495" s="37">
        <v>1.18</v>
      </c>
      <c r="K495" s="37">
        <v>1.08</v>
      </c>
      <c r="L495" s="37">
        <v>0.95</v>
      </c>
      <c r="M495" s="37">
        <v>0.81</v>
      </c>
      <c r="N495" s="37">
        <v>0.7</v>
      </c>
      <c r="O495" s="37">
        <v>0.66</v>
      </c>
    </row>
    <row r="496" spans="1:15">
      <c r="A496" s="1">
        <f t="shared" si="7"/>
        <v>25.55</v>
      </c>
      <c r="B496" s="38">
        <v>25</v>
      </c>
      <c r="C496" s="37">
        <v>55</v>
      </c>
      <c r="D496" s="37">
        <v>0.64</v>
      </c>
      <c r="E496" s="37">
        <v>0.75</v>
      </c>
      <c r="F496" s="37">
        <v>0.92</v>
      </c>
      <c r="G496" s="37">
        <v>1.1000000000000001</v>
      </c>
      <c r="H496" s="37">
        <v>1.23</v>
      </c>
      <c r="I496" s="37">
        <v>1.23</v>
      </c>
      <c r="J496" s="37">
        <v>1.1599999999999999</v>
      </c>
      <c r="K496" s="37">
        <v>1.05</v>
      </c>
      <c r="L496" s="37">
        <v>0.91</v>
      </c>
      <c r="M496" s="37">
        <v>0.75</v>
      </c>
      <c r="N496" s="37">
        <v>0.64</v>
      </c>
      <c r="O496" s="37">
        <v>0.6</v>
      </c>
    </row>
    <row r="497" spans="1:15">
      <c r="A497" s="1">
        <f t="shared" si="7"/>
        <v>25.6</v>
      </c>
      <c r="B497" s="38">
        <v>25</v>
      </c>
      <c r="C497" s="37">
        <v>60</v>
      </c>
      <c r="D497" s="37">
        <v>0.56999999999999995</v>
      </c>
      <c r="E497" s="37">
        <v>0.69</v>
      </c>
      <c r="F497" s="37">
        <v>0.87</v>
      </c>
      <c r="G497" s="37">
        <v>1.07</v>
      </c>
      <c r="H497" s="37">
        <v>1.2</v>
      </c>
      <c r="I497" s="37">
        <v>1.21</v>
      </c>
      <c r="J497" s="37">
        <v>1.1299999999999999</v>
      </c>
      <c r="K497" s="37">
        <v>1.01</v>
      </c>
      <c r="L497" s="37">
        <v>0.86</v>
      </c>
      <c r="M497" s="37">
        <v>0.7</v>
      </c>
      <c r="N497" s="37">
        <v>0.57999999999999996</v>
      </c>
      <c r="O497" s="37">
        <v>0.53</v>
      </c>
    </row>
    <row r="498" spans="1:15">
      <c r="A498" s="1">
        <f t="shared" si="7"/>
        <v>25.65</v>
      </c>
      <c r="B498" s="38">
        <v>25</v>
      </c>
      <c r="C498" s="37">
        <v>65</v>
      </c>
      <c r="D498" s="37">
        <v>0.5</v>
      </c>
      <c r="E498" s="37">
        <v>0.63</v>
      </c>
      <c r="F498" s="37">
        <v>0.82</v>
      </c>
      <c r="G498" s="37">
        <v>1.02</v>
      </c>
      <c r="H498" s="37">
        <v>1.1599999999999999</v>
      </c>
      <c r="I498" s="37">
        <v>1.18</v>
      </c>
      <c r="J498" s="37">
        <v>1.0900000000000001</v>
      </c>
      <c r="K498" s="37">
        <v>0.97</v>
      </c>
      <c r="L498" s="37">
        <v>0.81</v>
      </c>
      <c r="M498" s="37">
        <v>0.63</v>
      </c>
      <c r="N498" s="37">
        <v>0.51</v>
      </c>
      <c r="O498" s="37">
        <v>0.46</v>
      </c>
    </row>
    <row r="499" spans="1:15">
      <c r="A499" s="1">
        <f t="shared" si="7"/>
        <v>25.7</v>
      </c>
      <c r="B499" s="38">
        <v>25</v>
      </c>
      <c r="C499" s="37">
        <v>70</v>
      </c>
      <c r="D499" s="37">
        <v>0.43</v>
      </c>
      <c r="E499" s="37">
        <v>0.56000000000000005</v>
      </c>
      <c r="F499" s="37">
        <v>0.76</v>
      </c>
      <c r="G499" s="37">
        <v>0.97</v>
      </c>
      <c r="H499" s="37">
        <v>1.1200000000000001</v>
      </c>
      <c r="I499" s="37">
        <v>1.1399999999999999</v>
      </c>
      <c r="J499" s="37">
        <v>1.05</v>
      </c>
      <c r="K499" s="37">
        <v>0.92</v>
      </c>
      <c r="L499" s="37">
        <v>0.75</v>
      </c>
      <c r="M499" s="37">
        <v>0.56999999999999995</v>
      </c>
      <c r="N499" s="37">
        <v>0.43</v>
      </c>
      <c r="O499" s="37">
        <v>0.38</v>
      </c>
    </row>
    <row r="500" spans="1:15">
      <c r="A500" s="1">
        <f t="shared" si="7"/>
        <v>25.75</v>
      </c>
      <c r="B500" s="38">
        <v>25</v>
      </c>
      <c r="C500" s="37">
        <v>75</v>
      </c>
      <c r="D500" s="37">
        <v>0.35</v>
      </c>
      <c r="E500" s="37">
        <v>0.49</v>
      </c>
      <c r="F500" s="37">
        <v>0.69</v>
      </c>
      <c r="G500" s="37">
        <v>0.91</v>
      </c>
      <c r="H500" s="37">
        <v>1.07</v>
      </c>
      <c r="I500" s="37">
        <v>1.0900000000000001</v>
      </c>
      <c r="J500" s="37">
        <v>1</v>
      </c>
      <c r="K500" s="37">
        <v>0.87</v>
      </c>
      <c r="L500" s="37">
        <v>0.69</v>
      </c>
      <c r="M500" s="37">
        <v>0.5</v>
      </c>
      <c r="N500" s="37">
        <v>0.36</v>
      </c>
      <c r="O500" s="37">
        <v>0.31</v>
      </c>
    </row>
    <row r="501" spans="1:15">
      <c r="A501" s="1">
        <f t="shared" si="7"/>
        <v>25.8</v>
      </c>
      <c r="B501" s="38">
        <v>25</v>
      </c>
      <c r="C501" s="37">
        <v>80</v>
      </c>
      <c r="D501" s="37">
        <v>0.27</v>
      </c>
      <c r="E501" s="37">
        <v>0.42</v>
      </c>
      <c r="F501" s="37">
        <v>0.62</v>
      </c>
      <c r="G501" s="37">
        <v>0.85</v>
      </c>
      <c r="H501" s="37">
        <v>1.01</v>
      </c>
      <c r="I501" s="37">
        <v>1.04</v>
      </c>
      <c r="J501" s="37">
        <v>0.95</v>
      </c>
      <c r="K501" s="37">
        <v>0.81</v>
      </c>
      <c r="L501" s="37">
        <v>0.62</v>
      </c>
      <c r="M501" s="37">
        <v>0.43</v>
      </c>
      <c r="N501" s="37">
        <v>0.28000000000000003</v>
      </c>
      <c r="O501" s="37">
        <v>0.23</v>
      </c>
    </row>
    <row r="502" spans="1:15">
      <c r="A502" s="1">
        <f t="shared" si="7"/>
        <v>25.85</v>
      </c>
      <c r="B502" s="38">
        <v>25</v>
      </c>
      <c r="C502" s="37">
        <v>85</v>
      </c>
      <c r="D502" s="37">
        <v>0.19</v>
      </c>
      <c r="E502" s="37">
        <v>0.34</v>
      </c>
      <c r="F502" s="37">
        <v>0.55000000000000004</v>
      </c>
      <c r="G502" s="37">
        <v>0.78</v>
      </c>
      <c r="H502" s="37">
        <v>0.95</v>
      </c>
      <c r="I502" s="37">
        <v>0.98</v>
      </c>
      <c r="J502" s="37">
        <v>0.89</v>
      </c>
      <c r="K502" s="37">
        <v>0.74</v>
      </c>
      <c r="L502" s="37">
        <v>0.55000000000000004</v>
      </c>
      <c r="M502" s="37">
        <v>0.35</v>
      </c>
      <c r="N502" s="37">
        <v>0.21</v>
      </c>
      <c r="O502" s="37">
        <v>0.15</v>
      </c>
    </row>
    <row r="503" spans="1:15">
      <c r="A503" s="1">
        <f t="shared" si="7"/>
        <v>25.9</v>
      </c>
      <c r="B503" s="38">
        <v>25</v>
      </c>
      <c r="C503" s="37">
        <v>90</v>
      </c>
      <c r="D503" s="37">
        <v>0.11</v>
      </c>
      <c r="E503" s="37">
        <v>0.26</v>
      </c>
      <c r="F503" s="37">
        <v>0.47</v>
      </c>
      <c r="G503" s="37">
        <v>0.71</v>
      </c>
      <c r="H503" s="37">
        <v>0.88</v>
      </c>
      <c r="I503" s="37">
        <v>0.91</v>
      </c>
      <c r="J503" s="37">
        <v>0.82</v>
      </c>
      <c r="K503" s="37">
        <v>0.67</v>
      </c>
      <c r="L503" s="37">
        <v>0.48</v>
      </c>
      <c r="M503" s="37">
        <v>0.28000000000000003</v>
      </c>
      <c r="N503" s="37">
        <v>0.13</v>
      </c>
      <c r="O503" s="37">
        <v>0.08</v>
      </c>
    </row>
    <row r="504" spans="1:15">
      <c r="A504" s="1">
        <f t="shared" si="7"/>
        <v>26</v>
      </c>
      <c r="B504" s="38">
        <v>26</v>
      </c>
      <c r="C504" s="37">
        <v>0</v>
      </c>
      <c r="D504" s="37">
        <v>1</v>
      </c>
      <c r="E504" s="37">
        <v>1</v>
      </c>
      <c r="F504" s="37">
        <v>1</v>
      </c>
      <c r="G504" s="37">
        <v>1</v>
      </c>
      <c r="H504" s="37">
        <v>1</v>
      </c>
      <c r="I504" s="37">
        <v>1</v>
      </c>
      <c r="J504" s="37">
        <v>1</v>
      </c>
      <c r="K504" s="37">
        <v>1</v>
      </c>
      <c r="L504" s="37">
        <v>1</v>
      </c>
      <c r="M504" s="37">
        <v>1</v>
      </c>
      <c r="N504" s="37">
        <v>1</v>
      </c>
      <c r="O504" s="37">
        <v>1</v>
      </c>
    </row>
    <row r="505" spans="1:15">
      <c r="A505" s="1">
        <f t="shared" si="7"/>
        <v>26.05</v>
      </c>
      <c r="B505" s="38">
        <v>26</v>
      </c>
      <c r="C505" s="37">
        <v>5</v>
      </c>
      <c r="D505" s="37">
        <v>1</v>
      </c>
      <c r="E505" s="37">
        <v>1.01</v>
      </c>
      <c r="F505" s="37">
        <v>1.03</v>
      </c>
      <c r="G505" s="37">
        <v>1.05</v>
      </c>
      <c r="H505" s="37">
        <v>1.06</v>
      </c>
      <c r="I505" s="37">
        <v>1.06</v>
      </c>
      <c r="J505" s="37">
        <v>1.05</v>
      </c>
      <c r="K505" s="37">
        <v>1.04</v>
      </c>
      <c r="L505" s="37">
        <v>1.03</v>
      </c>
      <c r="M505" s="37">
        <v>1.01</v>
      </c>
      <c r="N505" s="37">
        <v>1</v>
      </c>
      <c r="O505" s="37">
        <v>1</v>
      </c>
    </row>
    <row r="506" spans="1:15">
      <c r="A506" s="1">
        <f t="shared" si="7"/>
        <v>26.1</v>
      </c>
      <c r="B506" s="38">
        <v>26</v>
      </c>
      <c r="C506" s="37">
        <v>10</v>
      </c>
      <c r="D506" s="37">
        <v>0.99</v>
      </c>
      <c r="E506" s="37">
        <v>1.02</v>
      </c>
      <c r="F506" s="37">
        <v>1.05</v>
      </c>
      <c r="G506" s="37">
        <v>1.0900000000000001</v>
      </c>
      <c r="H506" s="37">
        <v>1.1100000000000001</v>
      </c>
      <c r="I506" s="37">
        <v>1.1100000000000001</v>
      </c>
      <c r="J506" s="37">
        <v>1.0900000000000001</v>
      </c>
      <c r="K506" s="37">
        <v>1.07</v>
      </c>
      <c r="L506" s="37">
        <v>1.05</v>
      </c>
      <c r="M506" s="37">
        <v>1.02</v>
      </c>
      <c r="N506" s="37">
        <v>0.99</v>
      </c>
      <c r="O506" s="37">
        <v>0.99</v>
      </c>
    </row>
    <row r="507" spans="1:15">
      <c r="A507" s="1">
        <f t="shared" si="7"/>
        <v>26.15</v>
      </c>
      <c r="B507" s="38">
        <v>26</v>
      </c>
      <c r="C507" s="37">
        <v>15</v>
      </c>
      <c r="D507" s="37">
        <v>0.98</v>
      </c>
      <c r="E507" s="37">
        <v>1.02</v>
      </c>
      <c r="F507" s="37">
        <v>1.07</v>
      </c>
      <c r="G507" s="37">
        <v>1.1200000000000001</v>
      </c>
      <c r="H507" s="37">
        <v>1.1599999999999999</v>
      </c>
      <c r="I507" s="37">
        <v>1.1599999999999999</v>
      </c>
      <c r="J507" s="37">
        <v>1.1299999999999999</v>
      </c>
      <c r="K507" s="37">
        <v>1.1000000000000001</v>
      </c>
      <c r="L507" s="37">
        <v>1.06</v>
      </c>
      <c r="M507" s="37">
        <v>1.02</v>
      </c>
      <c r="N507" s="37">
        <v>0.98</v>
      </c>
      <c r="O507" s="37">
        <v>0.97</v>
      </c>
    </row>
    <row r="508" spans="1:15">
      <c r="A508" s="1">
        <f t="shared" si="7"/>
        <v>26.2</v>
      </c>
      <c r="B508" s="38">
        <v>26</v>
      </c>
      <c r="C508" s="37">
        <v>20</v>
      </c>
      <c r="D508" s="37">
        <v>0.96</v>
      </c>
      <c r="E508" s="37">
        <v>1.01</v>
      </c>
      <c r="F508" s="37">
        <v>1.08</v>
      </c>
      <c r="G508" s="37">
        <v>1.1499999999999999</v>
      </c>
      <c r="H508" s="37">
        <v>1.2</v>
      </c>
      <c r="I508" s="37">
        <v>1.2</v>
      </c>
      <c r="J508" s="37">
        <v>1.1599999999999999</v>
      </c>
      <c r="K508" s="37">
        <v>1.1200000000000001</v>
      </c>
      <c r="L508" s="37">
        <v>1.07</v>
      </c>
      <c r="M508" s="37">
        <v>1.01</v>
      </c>
      <c r="N508" s="37">
        <v>0.96</v>
      </c>
      <c r="O508" s="37">
        <v>0.94</v>
      </c>
    </row>
    <row r="509" spans="1:15">
      <c r="A509" s="1">
        <f t="shared" si="7"/>
        <v>26.25</v>
      </c>
      <c r="B509" s="38">
        <v>26</v>
      </c>
      <c r="C509" s="37">
        <v>25</v>
      </c>
      <c r="D509" s="37">
        <v>0.93</v>
      </c>
      <c r="E509" s="37">
        <v>0.99</v>
      </c>
      <c r="F509" s="37">
        <v>1.08</v>
      </c>
      <c r="G509" s="37">
        <v>1.17</v>
      </c>
      <c r="H509" s="37">
        <v>1.23</v>
      </c>
      <c r="I509" s="37">
        <v>1.23</v>
      </c>
      <c r="J509" s="37">
        <v>1.19</v>
      </c>
      <c r="K509" s="37">
        <v>1.1299999999999999</v>
      </c>
      <c r="L509" s="37">
        <v>1.06</v>
      </c>
      <c r="M509" s="37">
        <v>0.99</v>
      </c>
      <c r="N509" s="37">
        <v>0.94</v>
      </c>
      <c r="O509" s="37">
        <v>0.91</v>
      </c>
    </row>
    <row r="510" spans="1:15">
      <c r="A510" s="1">
        <f t="shared" si="7"/>
        <v>26.3</v>
      </c>
      <c r="B510" s="38">
        <v>26</v>
      </c>
      <c r="C510" s="37">
        <v>30</v>
      </c>
      <c r="D510" s="37">
        <v>0.9</v>
      </c>
      <c r="E510" s="37">
        <v>0.97</v>
      </c>
      <c r="F510" s="37">
        <v>1.07</v>
      </c>
      <c r="G510" s="37">
        <v>1.18</v>
      </c>
      <c r="H510" s="37">
        <v>1.25</v>
      </c>
      <c r="I510" s="37">
        <v>1.25</v>
      </c>
      <c r="J510" s="37">
        <v>1.2</v>
      </c>
      <c r="K510" s="37">
        <v>1.1399999999999999</v>
      </c>
      <c r="L510" s="37">
        <v>1.06</v>
      </c>
      <c r="M510" s="37">
        <v>0.97</v>
      </c>
      <c r="N510" s="37">
        <v>0.9</v>
      </c>
      <c r="O510" s="37">
        <v>0.88</v>
      </c>
    </row>
    <row r="511" spans="1:15">
      <c r="A511" s="1">
        <f t="shared" si="7"/>
        <v>26.35</v>
      </c>
      <c r="B511" s="38">
        <v>26</v>
      </c>
      <c r="C511" s="37">
        <v>35</v>
      </c>
      <c r="D511" s="37">
        <v>0.86</v>
      </c>
      <c r="E511" s="37">
        <v>0.94</v>
      </c>
      <c r="F511" s="37">
        <v>1.06</v>
      </c>
      <c r="G511" s="37">
        <v>1.18</v>
      </c>
      <c r="H511" s="37">
        <v>1.27</v>
      </c>
      <c r="I511" s="37">
        <v>1.27</v>
      </c>
      <c r="J511" s="37">
        <v>1.21</v>
      </c>
      <c r="K511" s="37">
        <v>1.1399999999999999</v>
      </c>
      <c r="L511" s="37">
        <v>1.04</v>
      </c>
      <c r="M511" s="37">
        <v>0.94</v>
      </c>
      <c r="N511" s="37">
        <v>0.86</v>
      </c>
      <c r="O511" s="37">
        <v>0.83</v>
      </c>
    </row>
    <row r="512" spans="1:15">
      <c r="A512" s="1">
        <f t="shared" si="7"/>
        <v>26.4</v>
      </c>
      <c r="B512" s="38">
        <v>26</v>
      </c>
      <c r="C512" s="37">
        <v>40</v>
      </c>
      <c r="D512" s="37">
        <v>0.82</v>
      </c>
      <c r="E512" s="37">
        <v>0.91</v>
      </c>
      <c r="F512" s="37">
        <v>1.04</v>
      </c>
      <c r="G512" s="37">
        <v>1.18</v>
      </c>
      <c r="H512" s="37">
        <v>1.27</v>
      </c>
      <c r="I512" s="37">
        <v>1.27</v>
      </c>
      <c r="J512" s="37">
        <v>1.21</v>
      </c>
      <c r="K512" s="37">
        <v>1.1299999999999999</v>
      </c>
      <c r="L512" s="37">
        <v>1.02</v>
      </c>
      <c r="M512" s="37">
        <v>0.91</v>
      </c>
      <c r="N512" s="37">
        <v>0.82</v>
      </c>
      <c r="O512" s="37">
        <v>0.79</v>
      </c>
    </row>
    <row r="513" spans="1:15">
      <c r="A513" s="1">
        <f t="shared" si="7"/>
        <v>26.45</v>
      </c>
      <c r="B513" s="38">
        <v>26</v>
      </c>
      <c r="C513" s="37">
        <v>45</v>
      </c>
      <c r="D513" s="37">
        <v>0.77</v>
      </c>
      <c r="E513" s="37">
        <v>0.87</v>
      </c>
      <c r="F513" s="37">
        <v>1.01</v>
      </c>
      <c r="G513" s="37">
        <v>1.17</v>
      </c>
      <c r="H513" s="37">
        <v>1.27</v>
      </c>
      <c r="I513" s="37">
        <v>1.27</v>
      </c>
      <c r="J513" s="37">
        <v>1.21</v>
      </c>
      <c r="K513" s="37">
        <v>1.1100000000000001</v>
      </c>
      <c r="L513" s="37">
        <v>0.99</v>
      </c>
      <c r="M513" s="37">
        <v>0.86</v>
      </c>
      <c r="N513" s="37">
        <v>0.77</v>
      </c>
      <c r="O513" s="37">
        <v>0.73</v>
      </c>
    </row>
    <row r="514" spans="1:15">
      <c r="A514" s="1">
        <f t="shared" si="7"/>
        <v>26.5</v>
      </c>
      <c r="B514" s="38">
        <v>26</v>
      </c>
      <c r="C514" s="37">
        <v>50</v>
      </c>
      <c r="D514" s="37">
        <v>0.71</v>
      </c>
      <c r="E514" s="37">
        <v>0.82</v>
      </c>
      <c r="F514" s="37">
        <v>0.98</v>
      </c>
      <c r="G514" s="37">
        <v>1.1499999999999999</v>
      </c>
      <c r="H514" s="37">
        <v>1.26</v>
      </c>
      <c r="I514" s="37">
        <v>1.27</v>
      </c>
      <c r="J514" s="37">
        <v>1.19</v>
      </c>
      <c r="K514" s="37">
        <v>1.0900000000000001</v>
      </c>
      <c r="L514" s="37">
        <v>0.96</v>
      </c>
      <c r="M514" s="37">
        <v>0.82</v>
      </c>
      <c r="N514" s="37">
        <v>0.71</v>
      </c>
      <c r="O514" s="37">
        <v>0.67</v>
      </c>
    </row>
    <row r="515" spans="1:15">
      <c r="A515" s="1">
        <f t="shared" si="7"/>
        <v>26.55</v>
      </c>
      <c r="B515" s="38">
        <v>26</v>
      </c>
      <c r="C515" s="37">
        <v>55</v>
      </c>
      <c r="D515" s="37">
        <v>0.65</v>
      </c>
      <c r="E515" s="37">
        <v>0.76</v>
      </c>
      <c r="F515" s="37">
        <v>0.94</v>
      </c>
      <c r="G515" s="37">
        <v>1.1200000000000001</v>
      </c>
      <c r="H515" s="37">
        <v>1.24</v>
      </c>
      <c r="I515" s="37">
        <v>1.25</v>
      </c>
      <c r="J515" s="37">
        <v>1.17</v>
      </c>
      <c r="K515" s="37">
        <v>1.06</v>
      </c>
      <c r="L515" s="37">
        <v>0.92</v>
      </c>
      <c r="M515" s="37">
        <v>0.77</v>
      </c>
      <c r="N515" s="37">
        <v>0.65</v>
      </c>
      <c r="O515" s="37">
        <v>0.61</v>
      </c>
    </row>
    <row r="516" spans="1:15">
      <c r="A516" s="1">
        <f t="shared" si="7"/>
        <v>26.6</v>
      </c>
      <c r="B516" s="38">
        <v>26</v>
      </c>
      <c r="C516" s="37">
        <v>60</v>
      </c>
      <c r="D516" s="37">
        <v>0.57999999999999996</v>
      </c>
      <c r="E516" s="37">
        <v>0.71</v>
      </c>
      <c r="F516" s="37">
        <v>0.89</v>
      </c>
      <c r="G516" s="37">
        <v>1.08</v>
      </c>
      <c r="H516" s="37">
        <v>1.22</v>
      </c>
      <c r="I516" s="37">
        <v>1.23</v>
      </c>
      <c r="J516" s="37">
        <v>1.1499999999999999</v>
      </c>
      <c r="K516" s="37">
        <v>1.03</v>
      </c>
      <c r="L516" s="37">
        <v>0.87</v>
      </c>
      <c r="M516" s="37">
        <v>0.71</v>
      </c>
      <c r="N516" s="37">
        <v>0.59</v>
      </c>
      <c r="O516" s="37">
        <v>0.54</v>
      </c>
    </row>
    <row r="517" spans="1:15">
      <c r="A517" s="1">
        <f t="shared" si="7"/>
        <v>26.65</v>
      </c>
      <c r="B517" s="38">
        <v>26</v>
      </c>
      <c r="C517" s="37">
        <v>65</v>
      </c>
      <c r="D517" s="37">
        <v>0.51</v>
      </c>
      <c r="E517" s="37">
        <v>0.64</v>
      </c>
      <c r="F517" s="37">
        <v>0.83</v>
      </c>
      <c r="G517" s="37">
        <v>1.04</v>
      </c>
      <c r="H517" s="37">
        <v>1.18</v>
      </c>
      <c r="I517" s="37">
        <v>1.19</v>
      </c>
      <c r="J517" s="37">
        <v>1.1100000000000001</v>
      </c>
      <c r="K517" s="37">
        <v>0.98</v>
      </c>
      <c r="L517" s="37">
        <v>0.82</v>
      </c>
      <c r="M517" s="37">
        <v>0.65</v>
      </c>
      <c r="N517" s="37">
        <v>0.52</v>
      </c>
      <c r="O517" s="37">
        <v>0.47</v>
      </c>
    </row>
    <row r="518" spans="1:15">
      <c r="A518" s="1">
        <f t="shared" si="7"/>
        <v>26.7</v>
      </c>
      <c r="B518" s="38">
        <v>26</v>
      </c>
      <c r="C518" s="37">
        <v>70</v>
      </c>
      <c r="D518" s="37">
        <v>0.44</v>
      </c>
      <c r="E518" s="37">
        <v>0.57999999999999996</v>
      </c>
      <c r="F518" s="37">
        <v>0.77</v>
      </c>
      <c r="G518" s="37">
        <v>0.99</v>
      </c>
      <c r="H518" s="37">
        <v>1.1399999999999999</v>
      </c>
      <c r="I518" s="37">
        <v>1.1599999999999999</v>
      </c>
      <c r="J518" s="37">
        <v>1.07</v>
      </c>
      <c r="K518" s="37">
        <v>0.94</v>
      </c>
      <c r="L518" s="37">
        <v>0.76</v>
      </c>
      <c r="M518" s="37">
        <v>0.57999999999999996</v>
      </c>
      <c r="N518" s="37">
        <v>0.45</v>
      </c>
      <c r="O518" s="37">
        <v>0.4</v>
      </c>
    </row>
    <row r="519" spans="1:15">
      <c r="A519" s="1">
        <f t="shared" si="7"/>
        <v>26.75</v>
      </c>
      <c r="B519" s="38">
        <v>26</v>
      </c>
      <c r="C519" s="37">
        <v>75</v>
      </c>
      <c r="D519" s="37">
        <v>0.37</v>
      </c>
      <c r="E519" s="37">
        <v>0.5</v>
      </c>
      <c r="F519" s="37">
        <v>0.71</v>
      </c>
      <c r="G519" s="37">
        <v>0.93</v>
      </c>
      <c r="H519" s="37">
        <v>1.0900000000000001</v>
      </c>
      <c r="I519" s="37">
        <v>1.1100000000000001</v>
      </c>
      <c r="J519" s="37">
        <v>1.02</v>
      </c>
      <c r="K519" s="37">
        <v>0.88</v>
      </c>
      <c r="L519" s="37">
        <v>0.7</v>
      </c>
      <c r="M519" s="37">
        <v>0.51</v>
      </c>
      <c r="N519" s="37">
        <v>0.37</v>
      </c>
      <c r="O519" s="37">
        <v>0.32</v>
      </c>
    </row>
    <row r="520" spans="1:15">
      <c r="A520" s="1">
        <f t="shared" si="7"/>
        <v>26.8</v>
      </c>
      <c r="B520" s="38">
        <v>26</v>
      </c>
      <c r="C520" s="37">
        <v>80</v>
      </c>
      <c r="D520" s="37">
        <v>0.28999999999999998</v>
      </c>
      <c r="E520" s="37">
        <v>0.43</v>
      </c>
      <c r="F520" s="37">
        <v>0.64</v>
      </c>
      <c r="G520" s="37">
        <v>0.87</v>
      </c>
      <c r="H520" s="37">
        <v>1.04</v>
      </c>
      <c r="I520" s="37">
        <v>1.06</v>
      </c>
      <c r="J520" s="37">
        <v>0.97</v>
      </c>
      <c r="K520" s="37">
        <v>0.82</v>
      </c>
      <c r="L520" s="37">
        <v>0.63</v>
      </c>
      <c r="M520" s="37">
        <v>0.44</v>
      </c>
      <c r="N520" s="37">
        <v>0.3</v>
      </c>
      <c r="O520" s="37">
        <v>0.24</v>
      </c>
    </row>
    <row r="521" spans="1:15">
      <c r="A521" s="1">
        <f t="shared" si="7"/>
        <v>26.85</v>
      </c>
      <c r="B521" s="38">
        <v>26</v>
      </c>
      <c r="C521" s="37">
        <v>85</v>
      </c>
      <c r="D521" s="37">
        <v>0.21</v>
      </c>
      <c r="E521" s="37">
        <v>0.35</v>
      </c>
      <c r="F521" s="37">
        <v>0.56999999999999995</v>
      </c>
      <c r="G521" s="37">
        <v>0.8</v>
      </c>
      <c r="H521" s="37">
        <v>0.97</v>
      </c>
      <c r="I521" s="37">
        <v>1</v>
      </c>
      <c r="J521" s="37">
        <v>0.91</v>
      </c>
      <c r="K521" s="37">
        <v>0.76</v>
      </c>
      <c r="L521" s="37">
        <v>0.56000000000000005</v>
      </c>
      <c r="M521" s="37">
        <v>0.37</v>
      </c>
      <c r="N521" s="37">
        <v>0.22</v>
      </c>
      <c r="O521" s="37">
        <v>0.16</v>
      </c>
    </row>
    <row r="522" spans="1:15">
      <c r="A522" s="1">
        <f t="shared" ref="A522:A585" si="8">B522+C522/100</f>
        <v>26.9</v>
      </c>
      <c r="B522" s="38">
        <v>26</v>
      </c>
      <c r="C522" s="37">
        <v>90</v>
      </c>
      <c r="D522" s="37">
        <v>0.13</v>
      </c>
      <c r="E522" s="37">
        <v>0.27</v>
      </c>
      <c r="F522" s="37">
        <v>0.49</v>
      </c>
      <c r="G522" s="37">
        <v>0.73</v>
      </c>
      <c r="H522" s="37">
        <v>0.9</v>
      </c>
      <c r="I522" s="37">
        <v>0.93</v>
      </c>
      <c r="J522" s="37">
        <v>0.84</v>
      </c>
      <c r="K522" s="37">
        <v>0.69</v>
      </c>
      <c r="L522" s="37">
        <v>0.49</v>
      </c>
      <c r="M522" s="37">
        <v>0.28999999999999998</v>
      </c>
      <c r="N522" s="37">
        <v>0.14000000000000001</v>
      </c>
      <c r="O522" s="37">
        <v>0.08</v>
      </c>
    </row>
    <row r="523" spans="1:15">
      <c r="A523" s="1">
        <f t="shared" si="8"/>
        <v>27</v>
      </c>
      <c r="B523" s="38">
        <v>27</v>
      </c>
      <c r="C523" s="37">
        <v>0</v>
      </c>
      <c r="D523" s="37">
        <v>1</v>
      </c>
      <c r="E523" s="37">
        <v>1</v>
      </c>
      <c r="F523" s="37">
        <v>1</v>
      </c>
      <c r="G523" s="37">
        <v>1</v>
      </c>
      <c r="H523" s="37">
        <v>1</v>
      </c>
      <c r="I523" s="37">
        <v>1</v>
      </c>
      <c r="J523" s="37">
        <v>1</v>
      </c>
      <c r="K523" s="37">
        <v>1</v>
      </c>
      <c r="L523" s="37">
        <v>1</v>
      </c>
      <c r="M523" s="37">
        <v>1</v>
      </c>
      <c r="N523" s="37">
        <v>1</v>
      </c>
      <c r="O523" s="37">
        <v>1</v>
      </c>
    </row>
    <row r="524" spans="1:15">
      <c r="A524" s="1">
        <f t="shared" si="8"/>
        <v>27.05</v>
      </c>
      <c r="B524" s="38">
        <v>27</v>
      </c>
      <c r="C524" s="37">
        <v>5</v>
      </c>
      <c r="D524" s="37">
        <v>1</v>
      </c>
      <c r="E524" s="37">
        <v>1.01</v>
      </c>
      <c r="F524" s="37">
        <v>1.03</v>
      </c>
      <c r="G524" s="37">
        <v>1.05</v>
      </c>
      <c r="H524" s="37">
        <v>1.06</v>
      </c>
      <c r="I524" s="37">
        <v>1.06</v>
      </c>
      <c r="J524" s="37">
        <v>1.05</v>
      </c>
      <c r="K524" s="37">
        <v>1.04</v>
      </c>
      <c r="L524" s="37">
        <v>1.03</v>
      </c>
      <c r="M524" s="37">
        <v>1.01</v>
      </c>
      <c r="N524" s="37">
        <v>1</v>
      </c>
      <c r="O524" s="37">
        <v>1</v>
      </c>
    </row>
    <row r="525" spans="1:15">
      <c r="A525" s="1">
        <f t="shared" si="8"/>
        <v>27.1</v>
      </c>
      <c r="B525" s="38">
        <v>27</v>
      </c>
      <c r="C525" s="37">
        <v>10</v>
      </c>
      <c r="D525" s="37">
        <v>1</v>
      </c>
      <c r="E525" s="37">
        <v>1.02</v>
      </c>
      <c r="F525" s="37">
        <v>1.06</v>
      </c>
      <c r="G525" s="37">
        <v>1.0900000000000001</v>
      </c>
      <c r="H525" s="37">
        <v>1.1200000000000001</v>
      </c>
      <c r="I525" s="37">
        <v>1.1100000000000001</v>
      </c>
      <c r="J525" s="37">
        <v>1.1000000000000001</v>
      </c>
      <c r="K525" s="37">
        <v>1.08</v>
      </c>
      <c r="L525" s="37">
        <v>1.05</v>
      </c>
      <c r="M525" s="37">
        <v>1.02</v>
      </c>
      <c r="N525" s="37">
        <v>1</v>
      </c>
      <c r="O525" s="37">
        <v>0.99</v>
      </c>
    </row>
    <row r="526" spans="1:15">
      <c r="A526" s="1">
        <f t="shared" si="8"/>
        <v>27.15</v>
      </c>
      <c r="B526" s="38">
        <v>27</v>
      </c>
      <c r="C526" s="37">
        <v>15</v>
      </c>
      <c r="D526" s="37">
        <v>0.99</v>
      </c>
      <c r="E526" s="37">
        <v>1.02</v>
      </c>
      <c r="F526" s="37">
        <v>1.07</v>
      </c>
      <c r="G526" s="37">
        <v>1.1299999999999999</v>
      </c>
      <c r="H526" s="37">
        <v>1.1599999999999999</v>
      </c>
      <c r="I526" s="37">
        <v>1.1599999999999999</v>
      </c>
      <c r="J526" s="37">
        <v>1.1399999999999999</v>
      </c>
      <c r="K526" s="37">
        <v>1.1000000000000001</v>
      </c>
      <c r="L526" s="37">
        <v>1.06</v>
      </c>
      <c r="M526" s="37">
        <v>1.02</v>
      </c>
      <c r="N526" s="37">
        <v>0.99</v>
      </c>
      <c r="O526" s="37">
        <v>0.97</v>
      </c>
    </row>
    <row r="527" spans="1:15">
      <c r="A527" s="1">
        <f t="shared" si="8"/>
        <v>27.2</v>
      </c>
      <c r="B527" s="38">
        <v>27</v>
      </c>
      <c r="C527" s="37">
        <v>20</v>
      </c>
      <c r="D527" s="37">
        <v>0.97</v>
      </c>
      <c r="E527" s="37">
        <v>1.01</v>
      </c>
      <c r="F527" s="37">
        <v>1.08</v>
      </c>
      <c r="G527" s="37">
        <v>1.1599999999999999</v>
      </c>
      <c r="H527" s="37">
        <v>1.21</v>
      </c>
      <c r="I527" s="37">
        <v>1.2</v>
      </c>
      <c r="J527" s="37">
        <v>1.17</v>
      </c>
      <c r="K527" s="37">
        <v>1.1299999999999999</v>
      </c>
      <c r="L527" s="37">
        <v>1.07</v>
      </c>
      <c r="M527" s="37">
        <v>1.01</v>
      </c>
      <c r="N527" s="37">
        <v>0.97</v>
      </c>
      <c r="O527" s="37">
        <v>0.95</v>
      </c>
    </row>
    <row r="528" spans="1:15">
      <c r="A528" s="1">
        <f t="shared" si="8"/>
        <v>27.25</v>
      </c>
      <c r="B528" s="38">
        <v>27</v>
      </c>
      <c r="C528" s="37">
        <v>25</v>
      </c>
      <c r="D528" s="37">
        <v>0.94</v>
      </c>
      <c r="E528" s="37">
        <v>1</v>
      </c>
      <c r="F528" s="37">
        <v>1.0900000000000001</v>
      </c>
      <c r="G528" s="37">
        <v>1.18</v>
      </c>
      <c r="H528" s="37">
        <v>1.24</v>
      </c>
      <c r="I528" s="37">
        <v>1.24</v>
      </c>
      <c r="J528" s="37">
        <v>1.19</v>
      </c>
      <c r="K528" s="37">
        <v>1.1399999999999999</v>
      </c>
      <c r="L528" s="37">
        <v>1.07</v>
      </c>
      <c r="M528" s="37">
        <v>1</v>
      </c>
      <c r="N528" s="37">
        <v>0.94</v>
      </c>
      <c r="O528" s="37">
        <v>0.92</v>
      </c>
    </row>
    <row r="529" spans="1:15">
      <c r="A529" s="1">
        <f t="shared" si="8"/>
        <v>27.3</v>
      </c>
      <c r="B529" s="38">
        <v>27</v>
      </c>
      <c r="C529" s="37">
        <v>30</v>
      </c>
      <c r="D529" s="37">
        <v>0.91</v>
      </c>
      <c r="E529" s="37">
        <v>0.98</v>
      </c>
      <c r="F529" s="37">
        <v>1.08</v>
      </c>
      <c r="G529" s="37">
        <v>1.19</v>
      </c>
      <c r="H529" s="37">
        <v>1.26</v>
      </c>
      <c r="I529" s="37">
        <v>1.26</v>
      </c>
      <c r="J529" s="37">
        <v>1.21</v>
      </c>
      <c r="K529" s="37">
        <v>1.1499999999999999</v>
      </c>
      <c r="L529" s="37">
        <v>1.06</v>
      </c>
      <c r="M529" s="37">
        <v>0.98</v>
      </c>
      <c r="N529" s="37">
        <v>0.91</v>
      </c>
      <c r="O529" s="37">
        <v>0.88</v>
      </c>
    </row>
    <row r="530" spans="1:15">
      <c r="A530" s="1">
        <f t="shared" si="8"/>
        <v>27.35</v>
      </c>
      <c r="B530" s="38">
        <v>27</v>
      </c>
      <c r="C530" s="37">
        <v>35</v>
      </c>
      <c r="D530" s="37">
        <v>0.87</v>
      </c>
      <c r="E530" s="37">
        <v>0.95</v>
      </c>
      <c r="F530" s="37">
        <v>1.07</v>
      </c>
      <c r="G530" s="37">
        <v>1.2</v>
      </c>
      <c r="H530" s="37">
        <v>1.28</v>
      </c>
      <c r="I530" s="37">
        <v>1.28</v>
      </c>
      <c r="J530" s="37">
        <v>1.22</v>
      </c>
      <c r="K530" s="37">
        <v>1.1499999999999999</v>
      </c>
      <c r="L530" s="37">
        <v>1.05</v>
      </c>
      <c r="M530" s="37">
        <v>0.95</v>
      </c>
      <c r="N530" s="37">
        <v>0.87</v>
      </c>
      <c r="O530" s="37">
        <v>0.84</v>
      </c>
    </row>
    <row r="531" spans="1:15">
      <c r="A531" s="1">
        <f t="shared" si="8"/>
        <v>27.4</v>
      </c>
      <c r="B531" s="38">
        <v>27</v>
      </c>
      <c r="C531" s="37">
        <v>40</v>
      </c>
      <c r="D531" s="37">
        <v>0.83</v>
      </c>
      <c r="E531" s="37">
        <v>0.92</v>
      </c>
      <c r="F531" s="37">
        <v>1.05</v>
      </c>
      <c r="G531" s="37">
        <v>1.19</v>
      </c>
      <c r="H531" s="37">
        <v>1.29</v>
      </c>
      <c r="I531" s="37">
        <v>1.29</v>
      </c>
      <c r="J531" s="37">
        <v>1.22</v>
      </c>
      <c r="K531" s="37">
        <v>1.1399999999999999</v>
      </c>
      <c r="L531" s="37">
        <v>1.03</v>
      </c>
      <c r="M531" s="37">
        <v>0.91</v>
      </c>
      <c r="N531" s="37">
        <v>0.83</v>
      </c>
      <c r="O531" s="37">
        <v>0.79</v>
      </c>
    </row>
    <row r="532" spans="1:15">
      <c r="A532" s="1">
        <f t="shared" si="8"/>
        <v>27.45</v>
      </c>
      <c r="B532" s="38">
        <v>27</v>
      </c>
      <c r="C532" s="37">
        <v>45</v>
      </c>
      <c r="D532" s="37">
        <v>0.78</v>
      </c>
      <c r="E532" s="37">
        <v>0.88</v>
      </c>
      <c r="F532" s="37">
        <v>1.02</v>
      </c>
      <c r="G532" s="37">
        <v>1.18</v>
      </c>
      <c r="H532" s="37">
        <v>1.29</v>
      </c>
      <c r="I532" s="37">
        <v>1.29</v>
      </c>
      <c r="J532" s="37">
        <v>1.22</v>
      </c>
      <c r="K532" s="37">
        <v>1.1200000000000001</v>
      </c>
      <c r="L532" s="37">
        <v>1</v>
      </c>
      <c r="M532" s="37">
        <v>0.87</v>
      </c>
      <c r="N532" s="37">
        <v>0.78</v>
      </c>
      <c r="O532" s="37">
        <v>0.74</v>
      </c>
    </row>
    <row r="533" spans="1:15">
      <c r="A533" s="1">
        <f t="shared" si="8"/>
        <v>27.5</v>
      </c>
      <c r="B533" s="38">
        <v>27</v>
      </c>
      <c r="C533" s="37">
        <v>50</v>
      </c>
      <c r="D533" s="37">
        <v>0.72</v>
      </c>
      <c r="E533" s="37">
        <v>0.83</v>
      </c>
      <c r="F533" s="37">
        <v>0.99</v>
      </c>
      <c r="G533" s="37">
        <v>1.1599999999999999</v>
      </c>
      <c r="H533" s="37">
        <v>1.28</v>
      </c>
      <c r="I533" s="37">
        <v>1.28</v>
      </c>
      <c r="J533" s="37">
        <v>1.21</v>
      </c>
      <c r="K533" s="37">
        <v>1.1000000000000001</v>
      </c>
      <c r="L533" s="37">
        <v>0.97</v>
      </c>
      <c r="M533" s="37">
        <v>0.83</v>
      </c>
      <c r="N533" s="37">
        <v>0.72</v>
      </c>
      <c r="O533" s="37">
        <v>0.68</v>
      </c>
    </row>
    <row r="534" spans="1:15">
      <c r="A534" s="1">
        <f t="shared" si="8"/>
        <v>27.55</v>
      </c>
      <c r="B534" s="38">
        <v>27</v>
      </c>
      <c r="C534" s="37">
        <v>55</v>
      </c>
      <c r="D534" s="37">
        <v>0.66</v>
      </c>
      <c r="E534" s="37">
        <v>0.78</v>
      </c>
      <c r="F534" s="37">
        <v>0.95</v>
      </c>
      <c r="G534" s="37">
        <v>1.1299999999999999</v>
      </c>
      <c r="H534" s="37">
        <v>1.26</v>
      </c>
      <c r="I534" s="37">
        <v>1.27</v>
      </c>
      <c r="J534" s="37">
        <v>1.19</v>
      </c>
      <c r="K534" s="37">
        <v>1.07</v>
      </c>
      <c r="L534" s="37">
        <v>0.93</v>
      </c>
      <c r="M534" s="37">
        <v>0.78</v>
      </c>
      <c r="N534" s="37">
        <v>0.66</v>
      </c>
      <c r="O534" s="37">
        <v>0.62</v>
      </c>
    </row>
    <row r="535" spans="1:15">
      <c r="A535" s="1">
        <f t="shared" si="8"/>
        <v>27.6</v>
      </c>
      <c r="B535" s="38">
        <v>27</v>
      </c>
      <c r="C535" s="37">
        <v>60</v>
      </c>
      <c r="D535" s="37">
        <v>0.6</v>
      </c>
      <c r="E535" s="37">
        <v>0.72</v>
      </c>
      <c r="F535" s="37">
        <v>0.9</v>
      </c>
      <c r="G535" s="37">
        <v>1.1000000000000001</v>
      </c>
      <c r="H535" s="37">
        <v>1.24</v>
      </c>
      <c r="I535" s="37">
        <v>1.24</v>
      </c>
      <c r="J535" s="37">
        <v>0.16</v>
      </c>
      <c r="K535" s="37">
        <v>1.04</v>
      </c>
      <c r="L535" s="37">
        <v>0.88</v>
      </c>
      <c r="M535" s="37">
        <v>0.72</v>
      </c>
      <c r="N535" s="37">
        <v>0.6</v>
      </c>
      <c r="O535" s="37">
        <v>0.55000000000000004</v>
      </c>
    </row>
    <row r="536" spans="1:15">
      <c r="A536" s="1">
        <f t="shared" si="8"/>
        <v>27.65</v>
      </c>
      <c r="B536" s="38">
        <v>27</v>
      </c>
      <c r="C536" s="37">
        <v>65</v>
      </c>
      <c r="D536" s="37">
        <v>0.53</v>
      </c>
      <c r="E536" s="37">
        <v>0.66</v>
      </c>
      <c r="F536" s="37">
        <v>0.85</v>
      </c>
      <c r="G536" s="37">
        <v>1.06</v>
      </c>
      <c r="H536" s="37">
        <v>1.2</v>
      </c>
      <c r="I536" s="37">
        <v>1.21</v>
      </c>
      <c r="J536" s="37">
        <v>1.1299999999999999</v>
      </c>
      <c r="K536" s="37">
        <v>1</v>
      </c>
      <c r="L536" s="37">
        <v>0.83</v>
      </c>
      <c r="M536" s="37">
        <v>0.66</v>
      </c>
      <c r="N536" s="37">
        <v>0.53</v>
      </c>
      <c r="O536" s="37">
        <v>0.48</v>
      </c>
    </row>
    <row r="537" spans="1:15">
      <c r="A537" s="1">
        <f t="shared" si="8"/>
        <v>27.7</v>
      </c>
      <c r="B537" s="38">
        <v>27</v>
      </c>
      <c r="C537" s="37">
        <v>70</v>
      </c>
      <c r="D537" s="37">
        <v>0.45</v>
      </c>
      <c r="E537" s="37">
        <v>0.59</v>
      </c>
      <c r="F537" s="37">
        <v>0.79</v>
      </c>
      <c r="G537" s="37">
        <v>1.01</v>
      </c>
      <c r="H537" s="37">
        <v>1.1599999999999999</v>
      </c>
      <c r="I537" s="37">
        <v>1.17</v>
      </c>
      <c r="J537" s="37">
        <v>1.0900000000000001</v>
      </c>
      <c r="K537" s="37">
        <v>0.95</v>
      </c>
      <c r="L537" s="37">
        <v>0.78</v>
      </c>
      <c r="M537" s="37">
        <v>0.6</v>
      </c>
      <c r="N537" s="37">
        <v>0.46</v>
      </c>
      <c r="O537" s="37">
        <v>0.41</v>
      </c>
    </row>
    <row r="538" spans="1:15">
      <c r="A538" s="1">
        <f t="shared" si="8"/>
        <v>27.75</v>
      </c>
      <c r="B538" s="38">
        <v>27</v>
      </c>
      <c r="C538" s="37">
        <v>75</v>
      </c>
      <c r="D538" s="37">
        <v>0.38</v>
      </c>
      <c r="E538" s="37">
        <v>0.52</v>
      </c>
      <c r="F538" s="37">
        <v>0.73</v>
      </c>
      <c r="G538" s="37">
        <v>0.95</v>
      </c>
      <c r="H538" s="37">
        <v>0.11</v>
      </c>
      <c r="I538" s="37">
        <v>1.1299999999999999</v>
      </c>
      <c r="J538" s="37">
        <v>1.04</v>
      </c>
      <c r="K538" s="37">
        <v>0.9</v>
      </c>
      <c r="L538" s="37">
        <v>0.71</v>
      </c>
      <c r="M538" s="37">
        <v>0.53</v>
      </c>
      <c r="N538" s="37">
        <v>0.39</v>
      </c>
      <c r="O538" s="37">
        <v>0.33</v>
      </c>
    </row>
    <row r="539" spans="1:15">
      <c r="A539" s="1">
        <f t="shared" si="8"/>
        <v>27.8</v>
      </c>
      <c r="B539" s="38">
        <v>27</v>
      </c>
      <c r="C539" s="37">
        <v>80</v>
      </c>
      <c r="D539" s="37">
        <v>0.3</v>
      </c>
      <c r="E539" s="37">
        <v>0.45</v>
      </c>
      <c r="F539" s="37">
        <v>0.66</v>
      </c>
      <c r="G539" s="37">
        <v>0.89</v>
      </c>
      <c r="H539" s="37">
        <v>1.06</v>
      </c>
      <c r="I539" s="37">
        <v>1.08</v>
      </c>
      <c r="J539" s="37">
        <v>0.98</v>
      </c>
      <c r="K539" s="37">
        <v>0.84</v>
      </c>
      <c r="L539" s="37">
        <v>0.65</v>
      </c>
      <c r="M539" s="37">
        <v>0.45</v>
      </c>
      <c r="N539" s="37">
        <v>0.31</v>
      </c>
      <c r="O539" s="37">
        <v>0.26</v>
      </c>
    </row>
    <row r="540" spans="1:15">
      <c r="A540" s="1">
        <f t="shared" si="8"/>
        <v>27.85</v>
      </c>
      <c r="B540" s="38">
        <v>27</v>
      </c>
      <c r="C540" s="37">
        <v>85</v>
      </c>
      <c r="D540" s="37">
        <v>0.22</v>
      </c>
      <c r="E540" s="37">
        <v>0.37</v>
      </c>
      <c r="F540" s="37">
        <v>0.57999999999999996</v>
      </c>
      <c r="G540" s="37">
        <v>0.82</v>
      </c>
      <c r="H540" s="37">
        <v>1</v>
      </c>
      <c r="I540" s="37">
        <v>1.02</v>
      </c>
      <c r="J540" s="37">
        <v>0.93</v>
      </c>
      <c r="K540" s="37">
        <v>0.78</v>
      </c>
      <c r="L540" s="37">
        <v>0.57999999999999996</v>
      </c>
      <c r="M540" s="37">
        <v>0.38</v>
      </c>
      <c r="N540" s="37">
        <v>0.23</v>
      </c>
      <c r="O540" s="37">
        <v>0.18</v>
      </c>
    </row>
    <row r="541" spans="1:15">
      <c r="A541" s="1">
        <f t="shared" si="8"/>
        <v>27.9</v>
      </c>
      <c r="B541" s="38">
        <v>27</v>
      </c>
      <c r="C541" s="37">
        <v>90</v>
      </c>
      <c r="D541" s="37">
        <v>0.14000000000000001</v>
      </c>
      <c r="E541" s="37">
        <v>0.28999999999999998</v>
      </c>
      <c r="F541" s="37">
        <v>0.51</v>
      </c>
      <c r="G541" s="37">
        <v>0.75</v>
      </c>
      <c r="H541" s="37">
        <v>0.93</v>
      </c>
      <c r="I541" s="37">
        <v>0.95</v>
      </c>
      <c r="J541" s="37">
        <v>0.86</v>
      </c>
      <c r="K541" s="37">
        <v>0.71</v>
      </c>
      <c r="L541" s="37">
        <v>0.51</v>
      </c>
      <c r="M541" s="37">
        <v>0.3</v>
      </c>
      <c r="N541" s="37">
        <v>0.15</v>
      </c>
      <c r="O541" s="37">
        <v>0.1</v>
      </c>
    </row>
    <row r="542" spans="1:15">
      <c r="A542" s="1">
        <f t="shared" si="8"/>
        <v>28</v>
      </c>
      <c r="B542" s="38">
        <v>28</v>
      </c>
      <c r="C542" s="37">
        <v>0</v>
      </c>
      <c r="D542" s="37">
        <v>1</v>
      </c>
      <c r="E542" s="37">
        <v>1</v>
      </c>
      <c r="F542" s="37">
        <v>1</v>
      </c>
      <c r="G542" s="37">
        <v>1</v>
      </c>
      <c r="H542" s="37">
        <v>1</v>
      </c>
      <c r="I542" s="37">
        <v>1</v>
      </c>
      <c r="J542" s="37">
        <v>1</v>
      </c>
      <c r="K542" s="37">
        <v>1</v>
      </c>
      <c r="L542" s="37">
        <v>1</v>
      </c>
      <c r="M542" s="37">
        <v>1</v>
      </c>
      <c r="N542" s="37">
        <v>1</v>
      </c>
      <c r="O542" s="37">
        <v>1</v>
      </c>
    </row>
    <row r="543" spans="1:15">
      <c r="A543" s="1">
        <f t="shared" si="8"/>
        <v>28.05</v>
      </c>
      <c r="B543" s="38">
        <v>28</v>
      </c>
      <c r="C543" s="37">
        <v>5</v>
      </c>
      <c r="D543" s="37">
        <v>1</v>
      </c>
      <c r="E543" s="37">
        <v>1.02</v>
      </c>
      <c r="F543" s="37">
        <v>1.03</v>
      </c>
      <c r="G543" s="37">
        <v>1.05</v>
      </c>
      <c r="H543" s="37">
        <v>1.06</v>
      </c>
      <c r="I543" s="37">
        <v>1.06</v>
      </c>
      <c r="J543" s="37">
        <v>1.05</v>
      </c>
      <c r="K543" s="37">
        <v>1.04</v>
      </c>
      <c r="L543" s="37">
        <v>1.03</v>
      </c>
      <c r="M543" s="37">
        <v>1.01</v>
      </c>
      <c r="N543" s="37">
        <v>1</v>
      </c>
      <c r="O543" s="37">
        <v>1</v>
      </c>
    </row>
    <row r="544" spans="1:15">
      <c r="A544" s="1">
        <f t="shared" si="8"/>
        <v>28.1</v>
      </c>
      <c r="B544" s="38">
        <v>28</v>
      </c>
      <c r="C544" s="37">
        <v>10</v>
      </c>
      <c r="D544" s="37">
        <v>1</v>
      </c>
      <c r="E544" s="37">
        <v>1.02</v>
      </c>
      <c r="F544" s="37">
        <v>1.06</v>
      </c>
      <c r="G544" s="37">
        <v>1.1000000000000001</v>
      </c>
      <c r="H544" s="37">
        <v>1.1200000000000001</v>
      </c>
      <c r="I544" s="37">
        <v>1.1200000000000001</v>
      </c>
      <c r="J544" s="37">
        <v>1.1000000000000001</v>
      </c>
      <c r="K544" s="37">
        <v>1.08</v>
      </c>
      <c r="L544" s="37">
        <v>1.05</v>
      </c>
      <c r="M544" s="37">
        <v>1.02</v>
      </c>
      <c r="N544" s="37">
        <v>1</v>
      </c>
      <c r="O544" s="37">
        <v>0.99</v>
      </c>
    </row>
    <row r="545" spans="1:15">
      <c r="A545" s="1">
        <f t="shared" si="8"/>
        <v>28.15</v>
      </c>
      <c r="B545" s="38">
        <v>28</v>
      </c>
      <c r="C545" s="37">
        <v>15</v>
      </c>
      <c r="D545" s="37">
        <v>0.99</v>
      </c>
      <c r="E545" s="37">
        <v>1.03</v>
      </c>
      <c r="F545" s="37">
        <v>1.08</v>
      </c>
      <c r="G545" s="37">
        <v>1.1299999999999999</v>
      </c>
      <c r="H545" s="37">
        <v>1.17</v>
      </c>
      <c r="I545" s="37">
        <v>1.17</v>
      </c>
      <c r="J545" s="37">
        <v>1.1399999999999999</v>
      </c>
      <c r="K545" s="37">
        <v>1.1100000000000001</v>
      </c>
      <c r="L545" s="37">
        <v>1.07</v>
      </c>
      <c r="M545" s="37">
        <v>1.02</v>
      </c>
      <c r="N545" s="37">
        <v>0.99</v>
      </c>
      <c r="O545" s="37">
        <v>0.98</v>
      </c>
    </row>
    <row r="546" spans="1:15">
      <c r="A546" s="1">
        <f t="shared" si="8"/>
        <v>28.2</v>
      </c>
      <c r="B546" s="38">
        <v>28</v>
      </c>
      <c r="C546" s="37">
        <v>20</v>
      </c>
      <c r="D546" s="37">
        <v>0.97</v>
      </c>
      <c r="E546" s="37">
        <v>1.02</v>
      </c>
      <c r="F546" s="37">
        <v>1.0900000000000001</v>
      </c>
      <c r="G546" s="37">
        <v>1.1599999999999999</v>
      </c>
      <c r="H546" s="37">
        <v>1.21</v>
      </c>
      <c r="I546" s="37">
        <v>1.21</v>
      </c>
      <c r="J546" s="37">
        <v>1.17</v>
      </c>
      <c r="K546" s="37">
        <v>1.1299999999999999</v>
      </c>
      <c r="L546" s="37">
        <v>1.08</v>
      </c>
      <c r="M546" s="37">
        <v>1.02</v>
      </c>
      <c r="N546" s="37">
        <v>0.97</v>
      </c>
      <c r="O546" s="37">
        <v>0.95</v>
      </c>
    </row>
    <row r="547" spans="1:15">
      <c r="A547" s="1">
        <f t="shared" si="8"/>
        <v>28.25</v>
      </c>
      <c r="B547" s="38">
        <v>28</v>
      </c>
      <c r="C547" s="37">
        <v>25</v>
      </c>
      <c r="D547" s="37">
        <v>0.95</v>
      </c>
      <c r="E547" s="37">
        <v>1.01</v>
      </c>
      <c r="F547" s="37">
        <v>1.0900000000000001</v>
      </c>
      <c r="G547" s="37">
        <v>1.19</v>
      </c>
      <c r="H547" s="37">
        <v>1.25</v>
      </c>
      <c r="I547" s="37">
        <v>1.24</v>
      </c>
      <c r="J547" s="37">
        <v>1.2</v>
      </c>
      <c r="K547" s="37">
        <v>1.1499999999999999</v>
      </c>
      <c r="L547" s="37">
        <v>1.08</v>
      </c>
      <c r="M547" s="37">
        <v>1</v>
      </c>
      <c r="N547" s="37">
        <v>0.95</v>
      </c>
      <c r="O547" s="37">
        <v>0.93</v>
      </c>
    </row>
    <row r="548" spans="1:15">
      <c r="A548" s="1">
        <f t="shared" si="8"/>
        <v>28.3</v>
      </c>
      <c r="B548" s="38">
        <v>28</v>
      </c>
      <c r="C548" s="37">
        <v>30</v>
      </c>
      <c r="D548" s="37">
        <v>0.92</v>
      </c>
      <c r="E548" s="37">
        <v>0.99</v>
      </c>
      <c r="F548" s="37">
        <v>1.0900000000000001</v>
      </c>
      <c r="G548" s="37">
        <v>1.2</v>
      </c>
      <c r="H548" s="37">
        <v>1.27</v>
      </c>
      <c r="I548" s="37">
        <v>1.27</v>
      </c>
      <c r="J548" s="37">
        <v>1.22</v>
      </c>
      <c r="K548" s="37">
        <v>1.1499999999999999</v>
      </c>
      <c r="L548" s="37">
        <v>1.07</v>
      </c>
      <c r="M548" s="37">
        <v>0.98</v>
      </c>
      <c r="N548" s="37">
        <v>0.92</v>
      </c>
      <c r="O548" s="37">
        <v>0.89</v>
      </c>
    </row>
    <row r="549" spans="1:15">
      <c r="A549" s="1">
        <f t="shared" si="8"/>
        <v>28.35</v>
      </c>
      <c r="B549" s="38">
        <v>28</v>
      </c>
      <c r="C549" s="37">
        <v>35</v>
      </c>
      <c r="D549" s="37">
        <v>0.88</v>
      </c>
      <c r="E549" s="37">
        <v>0.96</v>
      </c>
      <c r="F549" s="37">
        <v>1.08</v>
      </c>
      <c r="G549" s="37">
        <v>1.21</v>
      </c>
      <c r="H549" s="37">
        <v>1.29</v>
      </c>
      <c r="I549" s="37">
        <v>1.29</v>
      </c>
      <c r="J549" s="37">
        <v>1.23</v>
      </c>
      <c r="K549" s="37">
        <v>1.1599999999999999</v>
      </c>
      <c r="L549" s="37">
        <v>1.06</v>
      </c>
      <c r="M549" s="37">
        <v>0.96</v>
      </c>
      <c r="N549" s="37">
        <v>0.88</v>
      </c>
      <c r="O549" s="37">
        <v>0.85</v>
      </c>
    </row>
    <row r="550" spans="1:15">
      <c r="A550" s="1">
        <f t="shared" si="8"/>
        <v>28.4</v>
      </c>
      <c r="B550" s="38">
        <v>28</v>
      </c>
      <c r="C550" s="37">
        <v>40</v>
      </c>
      <c r="D550" s="37">
        <v>0.84</v>
      </c>
      <c r="E550" s="37">
        <v>0.93</v>
      </c>
      <c r="F550" s="37">
        <v>1.06</v>
      </c>
      <c r="G550" s="37">
        <v>1.21</v>
      </c>
      <c r="H550" s="37">
        <v>1.3</v>
      </c>
      <c r="I550" s="37">
        <v>1.3</v>
      </c>
      <c r="J550" s="37">
        <v>1.24</v>
      </c>
      <c r="K550" s="37">
        <v>1.1499999999999999</v>
      </c>
      <c r="L550" s="37">
        <v>1.04</v>
      </c>
      <c r="M550" s="37">
        <v>0.92</v>
      </c>
      <c r="N550" s="37">
        <v>0.84</v>
      </c>
      <c r="O550" s="37">
        <v>0.8</v>
      </c>
    </row>
    <row r="551" spans="1:15">
      <c r="A551" s="1">
        <f t="shared" si="8"/>
        <v>28.45</v>
      </c>
      <c r="B551" s="38">
        <v>28</v>
      </c>
      <c r="C551" s="37">
        <v>45</v>
      </c>
      <c r="D551" s="37">
        <v>0.79</v>
      </c>
      <c r="E551" s="37">
        <v>0.89</v>
      </c>
      <c r="F551" s="37">
        <v>1.04</v>
      </c>
      <c r="G551" s="37">
        <v>1.2</v>
      </c>
      <c r="H551" s="37">
        <v>1.3</v>
      </c>
      <c r="I551" s="37">
        <v>1.3</v>
      </c>
      <c r="J551" s="37">
        <v>1.23</v>
      </c>
      <c r="K551" s="37">
        <v>1.1399999999999999</v>
      </c>
      <c r="L551" s="37">
        <v>1.01</v>
      </c>
      <c r="M551" s="37">
        <v>0.89</v>
      </c>
      <c r="N551" s="37">
        <v>0.79</v>
      </c>
      <c r="O551" s="37">
        <v>0.75</v>
      </c>
    </row>
    <row r="552" spans="1:15">
      <c r="A552" s="1">
        <f t="shared" si="8"/>
        <v>28.5</v>
      </c>
      <c r="B552" s="38">
        <v>28</v>
      </c>
      <c r="C552" s="37">
        <v>50</v>
      </c>
      <c r="D552" s="37">
        <v>0.73</v>
      </c>
      <c r="E552" s="37">
        <v>0.84</v>
      </c>
      <c r="F552" s="37">
        <v>1</v>
      </c>
      <c r="G552" s="37">
        <v>1.18</v>
      </c>
      <c r="H552" s="37">
        <v>1.3</v>
      </c>
      <c r="I552" s="37">
        <v>1.3</v>
      </c>
      <c r="J552" s="37">
        <v>1.22</v>
      </c>
      <c r="K552" s="37">
        <v>1.1200000000000001</v>
      </c>
      <c r="L552" s="37">
        <v>0.98</v>
      </c>
      <c r="M552" s="37">
        <v>0.84</v>
      </c>
      <c r="N552" s="37">
        <v>0.73</v>
      </c>
      <c r="O552" s="37">
        <v>0.69</v>
      </c>
    </row>
    <row r="553" spans="1:15">
      <c r="A553" s="1">
        <f t="shared" si="8"/>
        <v>28.55</v>
      </c>
      <c r="B553" s="38">
        <v>28</v>
      </c>
      <c r="C553" s="37">
        <v>55</v>
      </c>
      <c r="D553" s="37">
        <v>0.67</v>
      </c>
      <c r="E553" s="37">
        <v>0.79</v>
      </c>
      <c r="F553" s="37">
        <v>0.96</v>
      </c>
      <c r="G553" s="37">
        <v>1.1499999999999999</v>
      </c>
      <c r="H553" s="37">
        <v>1.28</v>
      </c>
      <c r="I553" s="37">
        <v>1.28</v>
      </c>
      <c r="J553" s="37">
        <v>1.2</v>
      </c>
      <c r="K553" s="37">
        <v>1.0900000000000001</v>
      </c>
      <c r="L553" s="37">
        <v>0.94</v>
      </c>
      <c r="M553" s="37">
        <v>0.79</v>
      </c>
      <c r="N553" s="37">
        <v>0.68</v>
      </c>
      <c r="O553" s="37">
        <v>0.63</v>
      </c>
    </row>
    <row r="554" spans="1:15">
      <c r="A554" s="1">
        <f t="shared" si="8"/>
        <v>28.6</v>
      </c>
      <c r="B554" s="38">
        <v>28</v>
      </c>
      <c r="C554" s="37">
        <v>60</v>
      </c>
      <c r="D554" s="37">
        <v>0.61</v>
      </c>
      <c r="E554" s="37">
        <v>0.73</v>
      </c>
      <c r="F554" s="37">
        <v>0.92</v>
      </c>
      <c r="G554" s="37">
        <v>1.1200000000000001</v>
      </c>
      <c r="H554" s="37">
        <v>1.26</v>
      </c>
      <c r="I554" s="37">
        <v>1.26</v>
      </c>
      <c r="J554" s="37">
        <v>1.18</v>
      </c>
      <c r="K554" s="37">
        <v>1.05</v>
      </c>
      <c r="L554" s="37">
        <v>0.9</v>
      </c>
      <c r="M554" s="37">
        <v>0.73</v>
      </c>
      <c r="N554" s="37">
        <v>0.61</v>
      </c>
      <c r="O554" s="37">
        <v>0.56999999999999995</v>
      </c>
    </row>
    <row r="555" spans="1:15">
      <c r="A555" s="1">
        <f t="shared" si="8"/>
        <v>28.65</v>
      </c>
      <c r="B555" s="38">
        <v>28</v>
      </c>
      <c r="C555" s="37">
        <v>65</v>
      </c>
      <c r="D555" s="37">
        <v>0.54</v>
      </c>
      <c r="E555" s="37">
        <v>0.67</v>
      </c>
      <c r="F555" s="37">
        <v>0.86</v>
      </c>
      <c r="G555" s="37">
        <v>1.08</v>
      </c>
      <c r="H555" s="37">
        <v>1.22</v>
      </c>
      <c r="I555" s="37">
        <v>1.23</v>
      </c>
      <c r="J555" s="37">
        <v>1.1399999999999999</v>
      </c>
      <c r="K555" s="37">
        <v>1.01</v>
      </c>
      <c r="L555" s="37">
        <v>0.85</v>
      </c>
      <c r="M555" s="37">
        <v>0.67</v>
      </c>
      <c r="N555" s="37">
        <v>0.55000000000000004</v>
      </c>
      <c r="O555" s="37">
        <v>0.5</v>
      </c>
    </row>
    <row r="556" spans="1:15">
      <c r="A556" s="1">
        <f t="shared" si="8"/>
        <v>28.7</v>
      </c>
      <c r="B556" s="38">
        <v>28</v>
      </c>
      <c r="C556" s="37">
        <v>70</v>
      </c>
      <c r="D556" s="37">
        <v>0.47</v>
      </c>
      <c r="E556" s="37">
        <v>0.6</v>
      </c>
      <c r="F556" s="37">
        <v>0.81</v>
      </c>
      <c r="G556" s="37">
        <v>1.03</v>
      </c>
      <c r="H556" s="37">
        <v>1.18</v>
      </c>
      <c r="I556" s="37">
        <v>1.19</v>
      </c>
      <c r="J556" s="37">
        <v>1.1000000000000001</v>
      </c>
      <c r="K556" s="37">
        <v>0.97</v>
      </c>
      <c r="L556" s="37">
        <v>0.79</v>
      </c>
      <c r="M556" s="37">
        <v>0.61</v>
      </c>
      <c r="N556" s="37">
        <v>0.48</v>
      </c>
      <c r="O556" s="37">
        <v>0.42</v>
      </c>
    </row>
    <row r="557" spans="1:15">
      <c r="A557" s="1">
        <f t="shared" si="8"/>
        <v>28.75</v>
      </c>
      <c r="B557" s="38">
        <v>28</v>
      </c>
      <c r="C557" s="37">
        <v>75</v>
      </c>
      <c r="D557" s="37">
        <v>0.39</v>
      </c>
      <c r="E557" s="37">
        <v>0.53</v>
      </c>
      <c r="F557" s="37">
        <v>0.74</v>
      </c>
      <c r="G557" s="37">
        <v>0.97</v>
      </c>
      <c r="H557" s="37">
        <v>1.1399999999999999</v>
      </c>
      <c r="I557" s="37">
        <v>1.1499999999999999</v>
      </c>
      <c r="J557" s="37">
        <v>1.06</v>
      </c>
      <c r="K557" s="37">
        <v>0.91</v>
      </c>
      <c r="L557" s="37">
        <v>0.73</v>
      </c>
      <c r="M557" s="37">
        <v>0.54</v>
      </c>
      <c r="N557" s="37">
        <v>0.4</v>
      </c>
      <c r="O557" s="37">
        <v>0.35</v>
      </c>
    </row>
    <row r="558" spans="1:15">
      <c r="A558" s="1">
        <f t="shared" si="8"/>
        <v>28.8</v>
      </c>
      <c r="B558" s="38">
        <v>28</v>
      </c>
      <c r="C558" s="37">
        <v>80</v>
      </c>
      <c r="D558" s="37">
        <v>0.32</v>
      </c>
      <c r="E558" s="37">
        <v>0.46</v>
      </c>
      <c r="F558" s="37">
        <v>0.67</v>
      </c>
      <c r="G558" s="37">
        <v>0.91</v>
      </c>
      <c r="H558" s="37">
        <v>1.08</v>
      </c>
      <c r="I558" s="37">
        <v>1.1000000000000001</v>
      </c>
      <c r="J558" s="37">
        <v>1</v>
      </c>
      <c r="K558" s="37">
        <v>0.86</v>
      </c>
      <c r="L558" s="37">
        <v>0.66</v>
      </c>
      <c r="M558" s="37">
        <v>0.47</v>
      </c>
      <c r="N558" s="37">
        <v>0.33</v>
      </c>
      <c r="O558" s="37">
        <v>0.27</v>
      </c>
    </row>
    <row r="559" spans="1:15">
      <c r="A559" s="1">
        <f t="shared" si="8"/>
        <v>28.85</v>
      </c>
      <c r="B559" s="38">
        <v>28</v>
      </c>
      <c r="C559" s="37">
        <v>85</v>
      </c>
      <c r="D559" s="37">
        <v>0.24</v>
      </c>
      <c r="E559" s="37">
        <v>0.38</v>
      </c>
      <c r="F559" s="37">
        <v>0.6</v>
      </c>
      <c r="G559" s="37">
        <v>0.84</v>
      </c>
      <c r="H559" s="37">
        <v>1.02</v>
      </c>
      <c r="I559" s="37">
        <v>1.04</v>
      </c>
      <c r="J559" s="37">
        <v>0.94</v>
      </c>
      <c r="K559" s="37">
        <v>0.79</v>
      </c>
      <c r="L559" s="37">
        <v>0.59</v>
      </c>
      <c r="M559" s="37">
        <v>0.39</v>
      </c>
      <c r="N559" s="37">
        <v>0.25</v>
      </c>
      <c r="O559" s="37">
        <v>0.19</v>
      </c>
    </row>
    <row r="560" spans="1:15">
      <c r="A560" s="1">
        <f t="shared" si="8"/>
        <v>28.9</v>
      </c>
      <c r="B560" s="38">
        <v>28</v>
      </c>
      <c r="C560" s="37">
        <v>90</v>
      </c>
      <c r="D560" s="37">
        <v>0.16</v>
      </c>
      <c r="E560" s="37">
        <v>0.31</v>
      </c>
      <c r="F560" s="37">
        <v>0.53</v>
      </c>
      <c r="G560" s="37">
        <v>0.77</v>
      </c>
      <c r="H560" s="37">
        <v>0.95</v>
      </c>
      <c r="I560" s="37">
        <v>0.98</v>
      </c>
      <c r="J560" s="37">
        <v>0.88</v>
      </c>
      <c r="K560" s="37">
        <v>0.72</v>
      </c>
      <c r="L560" s="37">
        <v>0.52</v>
      </c>
      <c r="M560" s="37">
        <v>0.32</v>
      </c>
      <c r="N560" s="37">
        <v>0.17</v>
      </c>
      <c r="O560" s="37">
        <v>0.11</v>
      </c>
    </row>
    <row r="561" spans="1:15">
      <c r="A561" s="1">
        <f t="shared" si="8"/>
        <v>29</v>
      </c>
      <c r="B561" s="38">
        <v>29</v>
      </c>
      <c r="C561" s="39">
        <v>0</v>
      </c>
      <c r="D561" s="39">
        <v>1</v>
      </c>
      <c r="E561" s="39">
        <v>1</v>
      </c>
      <c r="F561" s="39">
        <v>1</v>
      </c>
      <c r="G561" s="39">
        <v>1</v>
      </c>
      <c r="H561" s="39">
        <v>1</v>
      </c>
      <c r="I561" s="39">
        <v>1</v>
      </c>
      <c r="J561" s="39">
        <v>1</v>
      </c>
      <c r="K561" s="39">
        <v>1</v>
      </c>
      <c r="L561" s="39">
        <v>1</v>
      </c>
      <c r="M561" s="39">
        <v>1</v>
      </c>
      <c r="N561" s="39">
        <v>1</v>
      </c>
      <c r="O561" s="39">
        <v>1</v>
      </c>
    </row>
    <row r="562" spans="1:15">
      <c r="A562" s="1">
        <f t="shared" si="8"/>
        <v>29.05</v>
      </c>
      <c r="B562" s="38">
        <v>29</v>
      </c>
      <c r="C562" s="39">
        <v>5</v>
      </c>
      <c r="D562" s="39">
        <v>1</v>
      </c>
      <c r="E562" s="39">
        <v>1.02</v>
      </c>
      <c r="F562" s="39">
        <v>12.03</v>
      </c>
      <c r="G562" s="39">
        <v>1.05</v>
      </c>
      <c r="H562" s="39">
        <v>1.07</v>
      </c>
      <c r="I562" s="39">
        <v>1.06</v>
      </c>
      <c r="J562" s="39">
        <v>1.05</v>
      </c>
      <c r="K562" s="39">
        <v>1.04</v>
      </c>
      <c r="L562" s="39">
        <v>1.03</v>
      </c>
      <c r="M562" s="39">
        <v>1.02</v>
      </c>
      <c r="N562" s="39">
        <v>1</v>
      </c>
      <c r="O562" s="39">
        <v>1</v>
      </c>
    </row>
    <row r="563" spans="1:15">
      <c r="A563" s="1">
        <f t="shared" si="8"/>
        <v>29.1</v>
      </c>
      <c r="B563" s="38">
        <v>29</v>
      </c>
      <c r="C563" s="39">
        <v>10</v>
      </c>
      <c r="D563" s="39">
        <v>1</v>
      </c>
      <c r="E563" s="39">
        <v>1.03</v>
      </c>
      <c r="F563" s="39">
        <v>1.06</v>
      </c>
      <c r="G563" s="39">
        <v>1.1000000000000001</v>
      </c>
      <c r="H563" s="39">
        <v>1.1200000000000001</v>
      </c>
      <c r="I563" s="39">
        <v>1.1200000000000001</v>
      </c>
      <c r="J563" s="39">
        <v>1.1000000000000001</v>
      </c>
      <c r="K563" s="39">
        <v>1.08</v>
      </c>
      <c r="L563" s="39">
        <v>1.05</v>
      </c>
      <c r="M563" s="39">
        <v>1.02</v>
      </c>
      <c r="N563" s="39">
        <v>1</v>
      </c>
      <c r="O563" s="39">
        <v>0.99</v>
      </c>
    </row>
    <row r="564" spans="1:15">
      <c r="A564" s="1">
        <f t="shared" si="8"/>
        <v>29.15</v>
      </c>
      <c r="B564" s="38">
        <v>29</v>
      </c>
      <c r="C564" s="39">
        <v>15</v>
      </c>
      <c r="D564" s="39">
        <v>0.99</v>
      </c>
      <c r="E564" s="39">
        <v>1.03</v>
      </c>
      <c r="F564" s="39">
        <v>1.08</v>
      </c>
      <c r="G564" s="39">
        <v>1.1399999999999999</v>
      </c>
      <c r="H564" s="39">
        <v>1.18</v>
      </c>
      <c r="I564" s="39">
        <v>1.17</v>
      </c>
      <c r="J564" s="39">
        <v>1.1499999999999999</v>
      </c>
      <c r="K564" s="39">
        <v>1.1100000000000001</v>
      </c>
      <c r="L564" s="39">
        <v>1.07</v>
      </c>
      <c r="M564" s="39">
        <v>1.03</v>
      </c>
      <c r="N564" s="39">
        <v>0.99</v>
      </c>
      <c r="O564" s="39">
        <v>0.98</v>
      </c>
    </row>
    <row r="565" spans="1:15">
      <c r="A565" s="1">
        <f t="shared" si="8"/>
        <v>29.2</v>
      </c>
      <c r="B565" s="38">
        <v>29</v>
      </c>
      <c r="C565" s="39">
        <v>20</v>
      </c>
      <c r="D565" s="39">
        <v>0.98</v>
      </c>
      <c r="E565" s="39">
        <v>1.03</v>
      </c>
      <c r="F565" s="39">
        <v>1.1000000000000001</v>
      </c>
      <c r="G565" s="39">
        <v>1.17</v>
      </c>
      <c r="H565" s="39">
        <v>1.22</v>
      </c>
      <c r="I565" s="39">
        <v>1.22</v>
      </c>
      <c r="J565" s="39">
        <v>1.18</v>
      </c>
      <c r="K565" s="39">
        <v>1.1399999999999999</v>
      </c>
      <c r="L565" s="39">
        <v>1.08</v>
      </c>
      <c r="M565" s="39">
        <v>1.02</v>
      </c>
      <c r="N565" s="39">
        <v>0.98</v>
      </c>
      <c r="O565" s="39">
        <v>0.96</v>
      </c>
    </row>
    <row r="566" spans="1:15">
      <c r="A566" s="1">
        <f t="shared" si="8"/>
        <v>29.25</v>
      </c>
      <c r="B566" s="38">
        <v>29</v>
      </c>
      <c r="C566" s="39">
        <v>25</v>
      </c>
      <c r="D566" s="39">
        <v>0.95</v>
      </c>
      <c r="E566" s="39">
        <v>1.01</v>
      </c>
      <c r="F566" s="39">
        <v>1.1000000000000001</v>
      </c>
      <c r="G566" s="39">
        <v>1.2</v>
      </c>
      <c r="H566" s="39">
        <v>1.26</v>
      </c>
      <c r="I566" s="39">
        <v>1.25</v>
      </c>
      <c r="J566" s="39">
        <v>1.21</v>
      </c>
      <c r="K566" s="39">
        <v>1.1499999999999999</v>
      </c>
      <c r="L566" s="39">
        <v>1.08</v>
      </c>
      <c r="M566" s="39">
        <v>1.01</v>
      </c>
      <c r="N566" s="39">
        <v>0.95</v>
      </c>
      <c r="O566" s="39">
        <v>0.93</v>
      </c>
    </row>
    <row r="567" spans="1:15">
      <c r="A567" s="1">
        <f t="shared" si="8"/>
        <v>29.3</v>
      </c>
      <c r="B567" s="38">
        <v>29</v>
      </c>
      <c r="C567" s="39">
        <v>30</v>
      </c>
      <c r="D567" s="39">
        <v>0.92</v>
      </c>
      <c r="E567" s="39">
        <v>1</v>
      </c>
      <c r="F567" s="39">
        <v>1.1000000000000001</v>
      </c>
      <c r="G567" s="39">
        <v>1.21</v>
      </c>
      <c r="H567" s="39">
        <v>1.28</v>
      </c>
      <c r="I567" s="39">
        <v>1.28</v>
      </c>
      <c r="J567" s="39">
        <v>1.23</v>
      </c>
      <c r="K567" s="39">
        <v>1.1599999999999999</v>
      </c>
      <c r="L567" s="39">
        <v>1.08</v>
      </c>
      <c r="M567" s="39">
        <v>0.99</v>
      </c>
      <c r="N567" s="39">
        <v>0.92</v>
      </c>
      <c r="O567" s="39">
        <v>0.9</v>
      </c>
    </row>
    <row r="568" spans="1:15">
      <c r="A568" s="1">
        <f t="shared" si="8"/>
        <v>29.35</v>
      </c>
      <c r="B568" s="38">
        <v>29</v>
      </c>
      <c r="C568" s="39">
        <v>35</v>
      </c>
      <c r="D568" s="39">
        <v>0.89</v>
      </c>
      <c r="E568" s="39">
        <v>0.97</v>
      </c>
      <c r="F568" s="39">
        <v>1.0900000000000001</v>
      </c>
      <c r="G568" s="39">
        <v>1.22</v>
      </c>
      <c r="H568" s="39">
        <v>1.3</v>
      </c>
      <c r="I568" s="39">
        <v>1.3</v>
      </c>
      <c r="J568" s="39">
        <v>1.24</v>
      </c>
      <c r="K568" s="39">
        <v>1.17</v>
      </c>
      <c r="L568" s="39">
        <v>1.07</v>
      </c>
      <c r="M568" s="39">
        <v>0.97</v>
      </c>
      <c r="N568" s="39">
        <v>0.89</v>
      </c>
      <c r="O568" s="39">
        <v>0.86</v>
      </c>
    </row>
    <row r="569" spans="1:15">
      <c r="A569" s="1">
        <f t="shared" si="8"/>
        <v>29.4</v>
      </c>
      <c r="B569" s="38">
        <v>29</v>
      </c>
      <c r="C569" s="39">
        <v>40</v>
      </c>
      <c r="D569" s="39">
        <v>0.85</v>
      </c>
      <c r="E569" s="39">
        <v>0.94</v>
      </c>
      <c r="F569" s="39">
        <v>1.07</v>
      </c>
      <c r="G569" s="39">
        <v>1.22</v>
      </c>
      <c r="H569" s="39">
        <v>1.32</v>
      </c>
      <c r="I569" s="39">
        <v>1.31</v>
      </c>
      <c r="J569" s="39">
        <v>1.25</v>
      </c>
      <c r="K569" s="39">
        <v>1.1599999999999999</v>
      </c>
      <c r="L569" s="39">
        <v>1.05</v>
      </c>
      <c r="M569" s="39">
        <v>0.93</v>
      </c>
      <c r="N569" s="39">
        <v>0.85</v>
      </c>
      <c r="O569" s="39">
        <v>0.81</v>
      </c>
    </row>
    <row r="570" spans="1:15">
      <c r="A570" s="1">
        <f t="shared" si="8"/>
        <v>29.45</v>
      </c>
      <c r="B570" s="38">
        <v>29</v>
      </c>
      <c r="C570" s="39">
        <v>45</v>
      </c>
      <c r="D570" s="39">
        <v>0.8</v>
      </c>
      <c r="E570" s="39">
        <v>0.9</v>
      </c>
      <c r="F570" s="39">
        <v>1.05</v>
      </c>
      <c r="G570" s="39">
        <v>1.21</v>
      </c>
      <c r="H570" s="39">
        <v>1.32</v>
      </c>
      <c r="I570" s="39">
        <v>1.32</v>
      </c>
      <c r="J570" s="39">
        <v>1.24</v>
      </c>
      <c r="K570" s="39">
        <v>1.1499999999999999</v>
      </c>
      <c r="L570" s="39">
        <v>1.02</v>
      </c>
      <c r="M570" s="39">
        <v>0.9</v>
      </c>
      <c r="N570" s="39">
        <v>0.8</v>
      </c>
      <c r="O570" s="39">
        <v>0.76</v>
      </c>
    </row>
    <row r="571" spans="1:15">
      <c r="A571" s="1">
        <f t="shared" si="8"/>
        <v>29.5</v>
      </c>
      <c r="B571" s="38">
        <v>29</v>
      </c>
      <c r="C571" s="39">
        <v>50</v>
      </c>
      <c r="D571" s="39">
        <v>0.74</v>
      </c>
      <c r="E571" s="39">
        <v>0.85</v>
      </c>
      <c r="F571" s="39">
        <v>1.02</v>
      </c>
      <c r="G571" s="39">
        <v>119</v>
      </c>
      <c r="H571" s="39">
        <v>1.31</v>
      </c>
      <c r="I571" s="39">
        <v>1.31</v>
      </c>
      <c r="J571" s="39">
        <v>1.23</v>
      </c>
      <c r="K571" s="39">
        <v>1.1299999999999999</v>
      </c>
      <c r="L571" s="39">
        <v>0.99</v>
      </c>
      <c r="M571" s="39">
        <v>0.85</v>
      </c>
      <c r="N571" s="39">
        <v>0.75</v>
      </c>
      <c r="O571" s="39">
        <v>0.71</v>
      </c>
    </row>
    <row r="572" spans="1:15">
      <c r="A572" s="1">
        <f t="shared" si="8"/>
        <v>29.55</v>
      </c>
      <c r="B572" s="38">
        <v>29</v>
      </c>
      <c r="C572" s="39">
        <v>55</v>
      </c>
      <c r="D572" s="39">
        <v>0.68</v>
      </c>
      <c r="E572" s="39">
        <v>0.8</v>
      </c>
      <c r="F572" s="39">
        <v>0.98</v>
      </c>
      <c r="G572" s="39">
        <v>1.17</v>
      </c>
      <c r="H572" s="39">
        <v>1.3</v>
      </c>
      <c r="I572" s="39">
        <v>1.3</v>
      </c>
      <c r="J572" s="39">
        <v>1.22</v>
      </c>
      <c r="K572" s="39">
        <v>1.1000000000000001</v>
      </c>
      <c r="L572" s="39">
        <v>0.95</v>
      </c>
      <c r="M572" s="39">
        <v>0.8</v>
      </c>
      <c r="N572" s="39">
        <v>0.69</v>
      </c>
      <c r="O572" s="39">
        <v>0.64</v>
      </c>
    </row>
    <row r="573" spans="1:15">
      <c r="A573" s="1">
        <f t="shared" si="8"/>
        <v>29.6</v>
      </c>
      <c r="B573" s="38">
        <v>29</v>
      </c>
      <c r="C573" s="39">
        <v>60</v>
      </c>
      <c r="D573" s="39">
        <v>0.62</v>
      </c>
      <c r="E573" s="39">
        <v>0.75</v>
      </c>
      <c r="F573" s="39">
        <v>0.93</v>
      </c>
      <c r="G573" s="39">
        <v>1.1399999999999999</v>
      </c>
      <c r="H573" s="39">
        <v>1.28</v>
      </c>
      <c r="I573" s="39">
        <v>1.28</v>
      </c>
      <c r="J573" s="39">
        <v>1.19</v>
      </c>
      <c r="K573" s="39">
        <v>1.07</v>
      </c>
      <c r="L573" s="39">
        <v>0.91</v>
      </c>
      <c r="M573" s="39">
        <v>0.75</v>
      </c>
      <c r="N573" s="39">
        <v>0.63</v>
      </c>
      <c r="O573" s="39">
        <v>0.57999999999999996</v>
      </c>
    </row>
    <row r="574" spans="1:15">
      <c r="A574" s="1">
        <f t="shared" si="8"/>
        <v>29.65</v>
      </c>
      <c r="B574" s="38">
        <v>29</v>
      </c>
      <c r="C574" s="39">
        <v>65</v>
      </c>
      <c r="D574" s="39">
        <v>0.55000000000000004</v>
      </c>
      <c r="E574" s="39">
        <v>0.69</v>
      </c>
      <c r="F574" s="39">
        <v>0.88</v>
      </c>
      <c r="G574" s="39">
        <v>1.1000000000000001</v>
      </c>
      <c r="H574" s="39">
        <v>1.24</v>
      </c>
      <c r="I574" s="39">
        <v>1.25</v>
      </c>
      <c r="J574" s="39">
        <v>1.1599999999999999</v>
      </c>
      <c r="K574" s="39">
        <v>1.03</v>
      </c>
      <c r="L574" s="39">
        <v>0.86</v>
      </c>
      <c r="M574" s="39">
        <v>0.69</v>
      </c>
      <c r="N574" s="39">
        <v>0.56000000000000005</v>
      </c>
      <c r="O574" s="39">
        <v>0.51</v>
      </c>
    </row>
    <row r="575" spans="1:15">
      <c r="A575" s="1">
        <f t="shared" si="8"/>
        <v>29.7</v>
      </c>
      <c r="B575" s="38">
        <v>29</v>
      </c>
      <c r="C575" s="39">
        <v>70</v>
      </c>
      <c r="D575" s="39">
        <v>0.48</v>
      </c>
      <c r="E575" s="39">
        <v>0.62</v>
      </c>
      <c r="F575" s="39">
        <v>0.82</v>
      </c>
      <c r="G575" s="39">
        <v>1.05</v>
      </c>
      <c r="H575" s="39">
        <v>1.2</v>
      </c>
      <c r="I575" s="39">
        <v>1.22</v>
      </c>
      <c r="J575" s="39">
        <v>1.1200000000000001</v>
      </c>
      <c r="K575" s="39">
        <v>0.98</v>
      </c>
      <c r="L575" s="39">
        <v>0.8</v>
      </c>
      <c r="M575" s="39">
        <v>0.62</v>
      </c>
      <c r="N575" s="39">
        <v>0.49</v>
      </c>
      <c r="O575" s="39">
        <v>0.44</v>
      </c>
    </row>
    <row r="576" spans="1:15">
      <c r="A576" s="1">
        <f t="shared" si="8"/>
        <v>29.75</v>
      </c>
      <c r="B576" s="38">
        <v>29</v>
      </c>
      <c r="C576" s="39">
        <v>75</v>
      </c>
      <c r="D576" s="39">
        <v>0.41</v>
      </c>
      <c r="E576" s="39">
        <v>0.55000000000000004</v>
      </c>
      <c r="F576" s="39">
        <v>0.76</v>
      </c>
      <c r="G576" s="39">
        <v>0.99</v>
      </c>
      <c r="H576" s="39">
        <v>1.1599999999999999</v>
      </c>
      <c r="I576" s="39">
        <v>1.17</v>
      </c>
      <c r="J576" s="39">
        <v>1.07</v>
      </c>
      <c r="K576" s="39">
        <v>0.93</v>
      </c>
      <c r="L576" s="39">
        <v>0.74</v>
      </c>
      <c r="M576" s="39">
        <v>0.55000000000000004</v>
      </c>
      <c r="N576" s="39">
        <v>0.42</v>
      </c>
      <c r="O576" s="39">
        <v>0.36</v>
      </c>
    </row>
    <row r="577" spans="1:15">
      <c r="A577" s="1">
        <f t="shared" si="8"/>
        <v>29.8</v>
      </c>
      <c r="B577" s="38">
        <v>29</v>
      </c>
      <c r="C577" s="39">
        <v>80</v>
      </c>
      <c r="D577" s="39">
        <v>0.33</v>
      </c>
      <c r="E577" s="39">
        <v>0.48</v>
      </c>
      <c r="F577" s="39">
        <v>0.69</v>
      </c>
      <c r="G577" s="39">
        <v>0.93</v>
      </c>
      <c r="H577" s="39">
        <v>1.1000000000000001</v>
      </c>
      <c r="I577" s="39">
        <v>1.1200000000000001</v>
      </c>
      <c r="J577" s="39">
        <v>1.02</v>
      </c>
      <c r="K577" s="39">
        <v>0.87</v>
      </c>
      <c r="L577" s="39">
        <v>0.68</v>
      </c>
      <c r="M577" s="39">
        <v>0.48</v>
      </c>
      <c r="N577" s="39">
        <v>0.34</v>
      </c>
      <c r="O577" s="39">
        <v>0.28000000000000003</v>
      </c>
    </row>
    <row r="578" spans="1:15">
      <c r="A578" s="1">
        <f t="shared" si="8"/>
        <v>29.85</v>
      </c>
      <c r="B578" s="38">
        <v>29</v>
      </c>
      <c r="C578" s="39">
        <v>85</v>
      </c>
      <c r="D578" s="39">
        <v>0.25</v>
      </c>
      <c r="E578" s="39">
        <v>0.4</v>
      </c>
      <c r="F578" s="39">
        <v>0.62</v>
      </c>
      <c r="G578" s="39">
        <v>0.87</v>
      </c>
      <c r="H578" s="39">
        <v>1.04</v>
      </c>
      <c r="I578" s="39">
        <v>1.06</v>
      </c>
      <c r="J578" s="39">
        <v>0.96</v>
      </c>
      <c r="K578" s="39">
        <v>0.81</v>
      </c>
      <c r="L578" s="39">
        <v>0.61</v>
      </c>
      <c r="M578" s="39">
        <v>0.41</v>
      </c>
      <c r="N578" s="39">
        <v>0.26</v>
      </c>
      <c r="O578" s="39">
        <v>0.21</v>
      </c>
    </row>
    <row r="579" spans="1:15">
      <c r="A579" s="1">
        <f t="shared" si="8"/>
        <v>29.9</v>
      </c>
      <c r="B579" s="38">
        <v>29</v>
      </c>
      <c r="C579" s="39">
        <v>90</v>
      </c>
      <c r="D579" s="39">
        <v>0.17</v>
      </c>
      <c r="E579" s="39">
        <v>0.32</v>
      </c>
      <c r="F579" s="39">
        <v>0.54</v>
      </c>
      <c r="G579" s="39">
        <v>0.79</v>
      </c>
      <c r="H579" s="39">
        <v>0.97</v>
      </c>
      <c r="I579" s="39">
        <v>1</v>
      </c>
      <c r="J579" s="39">
        <v>0.9</v>
      </c>
      <c r="K579" s="39">
        <v>0.74</v>
      </c>
      <c r="L579" s="39">
        <v>0.54</v>
      </c>
      <c r="M579" s="39">
        <v>0.33</v>
      </c>
      <c r="N579" s="39">
        <v>0.18</v>
      </c>
      <c r="O579" s="39">
        <v>0.13</v>
      </c>
    </row>
    <row r="580" spans="1:15">
      <c r="A580" s="1">
        <f t="shared" si="8"/>
        <v>30</v>
      </c>
      <c r="B580" s="38">
        <v>30</v>
      </c>
      <c r="C580" s="39">
        <v>0</v>
      </c>
      <c r="D580" s="39">
        <v>1</v>
      </c>
      <c r="E580" s="39">
        <v>1</v>
      </c>
      <c r="F580" s="39">
        <v>1</v>
      </c>
      <c r="G580" s="39">
        <v>1</v>
      </c>
      <c r="H580" s="39">
        <v>1</v>
      </c>
      <c r="I580" s="39">
        <v>1</v>
      </c>
      <c r="J580" s="39">
        <v>1</v>
      </c>
      <c r="K580" s="39">
        <v>1</v>
      </c>
      <c r="L580" s="39">
        <v>1</v>
      </c>
      <c r="M580" s="39">
        <v>1</v>
      </c>
      <c r="N580" s="39">
        <v>1</v>
      </c>
      <c r="O580" s="39">
        <v>1</v>
      </c>
    </row>
    <row r="581" spans="1:15">
      <c r="A581" s="1">
        <f t="shared" si="8"/>
        <v>30.05</v>
      </c>
      <c r="B581" s="38">
        <v>30</v>
      </c>
      <c r="C581" s="39">
        <v>5</v>
      </c>
      <c r="D581" s="39">
        <v>1.01</v>
      </c>
      <c r="E581" s="39">
        <v>1.02</v>
      </c>
      <c r="F581" s="39">
        <v>1.04</v>
      </c>
      <c r="G581" s="39">
        <v>1.06</v>
      </c>
      <c r="H581" s="39">
        <v>1.07</v>
      </c>
      <c r="I581" s="39">
        <v>1.07</v>
      </c>
      <c r="J581" s="39">
        <v>1.06</v>
      </c>
      <c r="K581" s="39">
        <v>1.05</v>
      </c>
      <c r="L581" s="39">
        <v>1.03</v>
      </c>
      <c r="M581" s="39">
        <v>1.02</v>
      </c>
      <c r="N581" s="39">
        <v>1.01</v>
      </c>
      <c r="O581" s="39">
        <v>1</v>
      </c>
    </row>
    <row r="582" spans="1:15">
      <c r="A582" s="1">
        <f t="shared" si="8"/>
        <v>30.1</v>
      </c>
      <c r="B582" s="38">
        <v>30</v>
      </c>
      <c r="C582" s="39">
        <v>10</v>
      </c>
      <c r="D582" s="39">
        <v>1</v>
      </c>
      <c r="E582" s="39">
        <v>1.03</v>
      </c>
      <c r="F582" s="39">
        <v>1.07</v>
      </c>
      <c r="G582" s="39">
        <v>1.1000000000000001</v>
      </c>
      <c r="H582" s="39">
        <v>1.1299999999999999</v>
      </c>
      <c r="I582" s="39">
        <v>1.1200000000000001</v>
      </c>
      <c r="J582" s="39">
        <v>1.1100000000000001</v>
      </c>
      <c r="K582" s="39">
        <v>1.08</v>
      </c>
      <c r="L582" s="39">
        <v>1.06</v>
      </c>
      <c r="M582" s="39">
        <v>1.03</v>
      </c>
      <c r="N582" s="39">
        <v>1</v>
      </c>
      <c r="O582" s="39">
        <v>1</v>
      </c>
    </row>
    <row r="583" spans="1:15">
      <c r="A583" s="1">
        <f t="shared" si="8"/>
        <v>30.15</v>
      </c>
      <c r="B583" s="38">
        <v>30</v>
      </c>
      <c r="C583" s="39">
        <v>15</v>
      </c>
      <c r="D583" s="39">
        <v>1</v>
      </c>
      <c r="E583" s="39">
        <v>1.03</v>
      </c>
      <c r="F583" s="39">
        <v>1.0900000000000001</v>
      </c>
      <c r="G583" s="39">
        <v>1.1499999999999999</v>
      </c>
      <c r="H583" s="39">
        <v>1.18</v>
      </c>
      <c r="I583" s="39">
        <v>1.18</v>
      </c>
      <c r="J583" s="39">
        <v>1.1499999999999999</v>
      </c>
      <c r="K583" s="39">
        <v>1.1200000000000001</v>
      </c>
      <c r="L583" s="39">
        <v>1.07</v>
      </c>
      <c r="M583" s="39">
        <v>1.03</v>
      </c>
      <c r="N583" s="39">
        <v>1</v>
      </c>
      <c r="O583" s="39">
        <v>0.98</v>
      </c>
    </row>
    <row r="584" spans="1:15">
      <c r="A584" s="1">
        <f t="shared" si="8"/>
        <v>30.2</v>
      </c>
      <c r="B584" s="38">
        <v>30</v>
      </c>
      <c r="C584" s="39">
        <v>20</v>
      </c>
      <c r="D584" s="39">
        <v>0.98</v>
      </c>
      <c r="E584" s="39">
        <v>1.03</v>
      </c>
      <c r="F584" s="39">
        <v>1.1000000000000001</v>
      </c>
      <c r="G584" s="39">
        <v>1.18</v>
      </c>
      <c r="H584" s="39">
        <v>1.23</v>
      </c>
      <c r="I584" s="39">
        <v>1.22</v>
      </c>
      <c r="J584" s="39">
        <v>1.19</v>
      </c>
      <c r="K584" s="39">
        <v>1.1399999999999999</v>
      </c>
      <c r="L584" s="39">
        <v>1.0900000000000001</v>
      </c>
      <c r="M584" s="39">
        <v>1.03</v>
      </c>
      <c r="N584" s="39">
        <v>0.98</v>
      </c>
      <c r="O584" s="39">
        <v>0.96</v>
      </c>
    </row>
    <row r="585" spans="1:15">
      <c r="A585" s="1">
        <f t="shared" si="8"/>
        <v>30.25</v>
      </c>
      <c r="B585" s="38">
        <v>30</v>
      </c>
      <c r="C585" s="39">
        <v>25</v>
      </c>
      <c r="D585" s="39">
        <v>0.96</v>
      </c>
      <c r="E585" s="39">
        <v>1.02</v>
      </c>
      <c r="F585" s="39">
        <v>1.1100000000000001</v>
      </c>
      <c r="G585" s="39">
        <v>1.2</v>
      </c>
      <c r="H585" s="39">
        <v>1.27</v>
      </c>
      <c r="I585" s="39">
        <v>1.26</v>
      </c>
      <c r="J585" s="39">
        <v>1.22</v>
      </c>
      <c r="K585" s="39">
        <v>1.1599999999999999</v>
      </c>
      <c r="L585" s="39">
        <v>1.0900000000000001</v>
      </c>
      <c r="M585" s="39">
        <v>1.02</v>
      </c>
      <c r="N585" s="39">
        <v>0.96</v>
      </c>
      <c r="O585" s="39">
        <v>0.94</v>
      </c>
    </row>
    <row r="586" spans="1:15">
      <c r="A586" s="1">
        <f t="shared" ref="A586:A649" si="9">B586+C586/100</f>
        <v>30.3</v>
      </c>
      <c r="B586" s="38">
        <v>30</v>
      </c>
      <c r="C586" s="39">
        <v>30</v>
      </c>
      <c r="D586" s="39">
        <v>0.93</v>
      </c>
      <c r="E586" s="39">
        <v>1</v>
      </c>
      <c r="F586" s="39">
        <v>1.1100000000000001</v>
      </c>
      <c r="G586" s="39">
        <v>1.22</v>
      </c>
      <c r="H586" s="39">
        <v>1.3</v>
      </c>
      <c r="I586" s="39">
        <v>1.29</v>
      </c>
      <c r="J586" s="39">
        <v>1.24</v>
      </c>
      <c r="K586" s="39">
        <v>1.17</v>
      </c>
      <c r="L586" s="39">
        <v>1.0900000000000001</v>
      </c>
      <c r="M586" s="39">
        <v>1</v>
      </c>
      <c r="N586" s="39">
        <v>0.93</v>
      </c>
      <c r="O586" s="39">
        <v>0.91</v>
      </c>
    </row>
    <row r="587" spans="1:15">
      <c r="A587" s="1">
        <f t="shared" si="9"/>
        <v>30.35</v>
      </c>
      <c r="B587" s="38">
        <v>30</v>
      </c>
      <c r="C587" s="39">
        <v>35</v>
      </c>
      <c r="D587" s="39">
        <v>0.9</v>
      </c>
      <c r="E587" s="39">
        <v>0.98</v>
      </c>
      <c r="F587" s="39">
        <v>1.1000000000000001</v>
      </c>
      <c r="G587" s="39">
        <v>1.23</v>
      </c>
      <c r="H587" s="39">
        <v>1.32</v>
      </c>
      <c r="I587" s="39">
        <v>1.31</v>
      </c>
      <c r="J587" s="39">
        <v>1.25</v>
      </c>
      <c r="K587" s="39">
        <v>1.17</v>
      </c>
      <c r="L587" s="39">
        <v>1.08</v>
      </c>
      <c r="M587" s="39">
        <v>0.97</v>
      </c>
      <c r="N587" s="39">
        <v>0.9</v>
      </c>
      <c r="O587" s="39">
        <v>0.87</v>
      </c>
    </row>
    <row r="588" spans="1:15">
      <c r="A588" s="1">
        <f t="shared" si="9"/>
        <v>30.4</v>
      </c>
      <c r="B588" s="38">
        <v>30</v>
      </c>
      <c r="C588" s="39">
        <v>40</v>
      </c>
      <c r="D588" s="39">
        <v>0.85</v>
      </c>
      <c r="E588" s="39">
        <v>0.95</v>
      </c>
      <c r="F588" s="39">
        <v>1.08</v>
      </c>
      <c r="G588" s="39">
        <v>1.23</v>
      </c>
      <c r="H588" s="39">
        <v>1.33</v>
      </c>
      <c r="I588" s="39">
        <v>1.33</v>
      </c>
      <c r="J588" s="39">
        <v>1.26</v>
      </c>
      <c r="K588" s="39">
        <v>1.17</v>
      </c>
      <c r="L588" s="39">
        <v>1.06</v>
      </c>
      <c r="M588" s="39">
        <v>0.94</v>
      </c>
      <c r="N588" s="39">
        <v>0.86</v>
      </c>
      <c r="O588" s="39">
        <v>0.82</v>
      </c>
    </row>
    <row r="589" spans="1:15">
      <c r="A589" s="1">
        <f t="shared" si="9"/>
        <v>30.45</v>
      </c>
      <c r="B589" s="38">
        <v>30</v>
      </c>
      <c r="C589" s="39">
        <v>45</v>
      </c>
      <c r="D589" s="39">
        <v>0.81</v>
      </c>
      <c r="E589" s="39">
        <v>0.91</v>
      </c>
      <c r="F589" s="39">
        <v>1.06</v>
      </c>
      <c r="G589" s="39">
        <v>1.22</v>
      </c>
      <c r="H589" s="39">
        <v>1.33</v>
      </c>
      <c r="I589" s="39">
        <v>1.33</v>
      </c>
      <c r="J589" s="39">
        <v>1.26</v>
      </c>
      <c r="K589" s="39">
        <v>1.1599999999999999</v>
      </c>
      <c r="L589" s="39">
        <v>1.04</v>
      </c>
      <c r="M589" s="39">
        <v>0.91</v>
      </c>
      <c r="N589" s="39">
        <v>0.81</v>
      </c>
      <c r="O589" s="39">
        <v>0.77</v>
      </c>
    </row>
    <row r="590" spans="1:15">
      <c r="A590" s="1">
        <f t="shared" si="9"/>
        <v>30.5</v>
      </c>
      <c r="B590" s="38">
        <v>30</v>
      </c>
      <c r="C590" s="39">
        <v>50</v>
      </c>
      <c r="D590" s="39">
        <v>0.75</v>
      </c>
      <c r="E590" s="39">
        <v>0.87</v>
      </c>
      <c r="F590" s="39">
        <v>1.03</v>
      </c>
      <c r="G590" s="39">
        <v>1.21</v>
      </c>
      <c r="H590" s="39">
        <v>1.33</v>
      </c>
      <c r="I590" s="39">
        <v>1.33</v>
      </c>
      <c r="J590" s="39">
        <v>1.25</v>
      </c>
      <c r="K590" s="39">
        <v>1.1399999999999999</v>
      </c>
      <c r="L590" s="39">
        <v>1</v>
      </c>
      <c r="M590" s="39">
        <v>0.86</v>
      </c>
      <c r="N590" s="39">
        <v>0.76</v>
      </c>
      <c r="O590" s="39">
        <v>0.72</v>
      </c>
    </row>
    <row r="591" spans="1:15">
      <c r="A591" s="1">
        <f t="shared" si="9"/>
        <v>30.55</v>
      </c>
      <c r="B591" s="38">
        <v>30</v>
      </c>
      <c r="C591" s="39">
        <v>55</v>
      </c>
      <c r="D591" s="39">
        <v>0.7</v>
      </c>
      <c r="E591" s="39">
        <v>0.82</v>
      </c>
      <c r="F591" s="39">
        <v>0.99</v>
      </c>
      <c r="G591" s="39">
        <v>1.19</v>
      </c>
      <c r="H591" s="39">
        <v>1.32</v>
      </c>
      <c r="I591" s="39">
        <v>1.32</v>
      </c>
      <c r="J591" s="39">
        <v>1.23</v>
      </c>
      <c r="K591" s="39">
        <v>1.1200000000000001</v>
      </c>
      <c r="L591" s="39">
        <v>0.97</v>
      </c>
      <c r="M591" s="39">
        <v>0.81</v>
      </c>
      <c r="N591" s="39">
        <v>0.7</v>
      </c>
      <c r="O591" s="39">
        <v>0.66</v>
      </c>
    </row>
    <row r="592" spans="1:15">
      <c r="A592" s="1">
        <f t="shared" si="9"/>
        <v>30.6</v>
      </c>
      <c r="B592" s="38">
        <v>30</v>
      </c>
      <c r="C592" s="39">
        <v>60</v>
      </c>
      <c r="D592" s="39">
        <v>0.63</v>
      </c>
      <c r="E592" s="39">
        <v>0.76</v>
      </c>
      <c r="F592" s="39">
        <v>0.95</v>
      </c>
      <c r="G592" s="39">
        <v>1.1499999999999999</v>
      </c>
      <c r="H592" s="39">
        <v>1.3</v>
      </c>
      <c r="I592" s="39">
        <v>1.3</v>
      </c>
      <c r="J592" s="39">
        <v>1.21</v>
      </c>
      <c r="K592" s="39">
        <v>1.08</v>
      </c>
      <c r="L592" s="39">
        <v>0.92</v>
      </c>
      <c r="M592" s="39">
        <v>0.76</v>
      </c>
      <c r="N592" s="39">
        <v>0.64</v>
      </c>
      <c r="O592" s="39">
        <v>0.59</v>
      </c>
    </row>
    <row r="593" spans="1:15">
      <c r="A593" s="1">
        <f t="shared" si="9"/>
        <v>30.65</v>
      </c>
      <c r="B593" s="38">
        <v>30</v>
      </c>
      <c r="C593" s="39">
        <v>65</v>
      </c>
      <c r="D593" s="39">
        <v>0.56999999999999995</v>
      </c>
      <c r="E593" s="39">
        <v>0.7</v>
      </c>
      <c r="F593" s="39">
        <v>0.9</v>
      </c>
      <c r="G593" s="39">
        <v>1.1100000000000001</v>
      </c>
      <c r="H593" s="39">
        <v>1.27</v>
      </c>
      <c r="I593" s="39">
        <v>1.27</v>
      </c>
      <c r="J593" s="39">
        <v>1.18</v>
      </c>
      <c r="K593" s="39">
        <v>1.04</v>
      </c>
      <c r="L593" s="39">
        <v>0.87</v>
      </c>
      <c r="M593" s="39">
        <v>0.7</v>
      </c>
      <c r="N593" s="39">
        <v>0.56999999999999995</v>
      </c>
      <c r="O593" s="39">
        <v>0.52</v>
      </c>
    </row>
    <row r="594" spans="1:15">
      <c r="A594" s="1">
        <f t="shared" si="9"/>
        <v>30.7</v>
      </c>
      <c r="B594" s="38">
        <v>30</v>
      </c>
      <c r="C594" s="39">
        <v>70</v>
      </c>
      <c r="D594" s="39">
        <v>0.5</v>
      </c>
      <c r="E594" s="39">
        <v>0.63</v>
      </c>
      <c r="F594" s="39">
        <v>0.84</v>
      </c>
      <c r="G594" s="39">
        <v>1.07</v>
      </c>
      <c r="H594" s="39">
        <v>1.23</v>
      </c>
      <c r="I594" s="39">
        <v>1.24</v>
      </c>
      <c r="J594" s="39">
        <v>1.1399999999999999</v>
      </c>
      <c r="K594" s="39">
        <v>1</v>
      </c>
      <c r="L594" s="39">
        <v>0.82</v>
      </c>
      <c r="M594" s="39">
        <v>0.64</v>
      </c>
      <c r="N594" s="39">
        <v>0.5</v>
      </c>
      <c r="O594" s="39">
        <v>0.45</v>
      </c>
    </row>
    <row r="595" spans="1:15">
      <c r="A595" s="1">
        <f t="shared" si="9"/>
        <v>30.75</v>
      </c>
      <c r="B595" s="38">
        <v>30</v>
      </c>
      <c r="C595" s="39">
        <v>75</v>
      </c>
      <c r="D595" s="39">
        <v>0.42</v>
      </c>
      <c r="E595" s="39">
        <v>0.56000000000000005</v>
      </c>
      <c r="F595" s="39">
        <v>0.78</v>
      </c>
      <c r="G595" s="39">
        <v>1.01</v>
      </c>
      <c r="H595" s="39">
        <v>1.18</v>
      </c>
      <c r="I595" s="39">
        <v>1.19</v>
      </c>
      <c r="J595" s="39">
        <v>1.0900000000000001</v>
      </c>
      <c r="K595" s="39">
        <v>0.95</v>
      </c>
      <c r="L595" s="39">
        <v>0.76</v>
      </c>
      <c r="M595" s="39">
        <v>0.56999999999999995</v>
      </c>
      <c r="N595" s="39">
        <v>0.43</v>
      </c>
      <c r="O595" s="39">
        <v>0.38</v>
      </c>
    </row>
    <row r="596" spans="1:15">
      <c r="A596" s="1">
        <f t="shared" si="9"/>
        <v>30.8</v>
      </c>
      <c r="B596" s="38">
        <v>30</v>
      </c>
      <c r="C596" s="39">
        <v>80</v>
      </c>
      <c r="D596" s="39">
        <v>0.35</v>
      </c>
      <c r="E596" s="39">
        <v>0.49</v>
      </c>
      <c r="F596" s="39">
        <v>0.71</v>
      </c>
      <c r="G596" s="39">
        <v>0.95</v>
      </c>
      <c r="H596" s="39">
        <v>1.1299999999999999</v>
      </c>
      <c r="I596" s="39">
        <v>1.1399999999999999</v>
      </c>
      <c r="J596" s="39">
        <v>1.04</v>
      </c>
      <c r="K596" s="39">
        <v>0.89</v>
      </c>
      <c r="L596" s="39">
        <v>0.69</v>
      </c>
      <c r="M596" s="39">
        <v>0.5</v>
      </c>
      <c r="N596" s="39">
        <v>0.35</v>
      </c>
      <c r="O596" s="39">
        <v>0.3</v>
      </c>
    </row>
    <row r="597" spans="1:15">
      <c r="A597" s="1">
        <f t="shared" si="9"/>
        <v>30.85</v>
      </c>
      <c r="B597" s="38">
        <v>30</v>
      </c>
      <c r="C597" s="39">
        <v>85</v>
      </c>
      <c r="D597" s="39">
        <v>0.27</v>
      </c>
      <c r="E597" s="39">
        <v>0.42</v>
      </c>
      <c r="F597" s="39">
        <v>0.64</v>
      </c>
      <c r="G597" s="39">
        <v>0.89</v>
      </c>
      <c r="H597" s="39">
        <v>1.07</v>
      </c>
      <c r="I597" s="39">
        <v>1.0900000000000001</v>
      </c>
      <c r="J597" s="39">
        <v>0.98</v>
      </c>
      <c r="K597" s="39">
        <v>0.83</v>
      </c>
      <c r="L597" s="39">
        <v>0.63</v>
      </c>
      <c r="M597" s="39">
        <v>0.42</v>
      </c>
      <c r="N597" s="39">
        <v>0.28000000000000003</v>
      </c>
      <c r="O597" s="39">
        <v>0.22</v>
      </c>
    </row>
    <row r="598" spans="1:15">
      <c r="A598" s="1">
        <f t="shared" si="9"/>
        <v>30.9</v>
      </c>
      <c r="B598" s="38">
        <v>30</v>
      </c>
      <c r="C598" s="39">
        <v>90</v>
      </c>
      <c r="D598" s="39">
        <v>0.19</v>
      </c>
      <c r="E598" s="39">
        <v>0.34</v>
      </c>
      <c r="F598" s="39">
        <v>0.56000000000000005</v>
      </c>
      <c r="G598" s="39">
        <v>0.81</v>
      </c>
      <c r="H598" s="39">
        <v>1</v>
      </c>
      <c r="I598" s="39">
        <v>1.02</v>
      </c>
      <c r="J598" s="39">
        <v>0.92</v>
      </c>
      <c r="K598" s="39">
        <v>0.76</v>
      </c>
      <c r="L598" s="39">
        <v>0.55000000000000004</v>
      </c>
      <c r="M598" s="39">
        <v>0.35</v>
      </c>
      <c r="N598" s="39">
        <v>0.2</v>
      </c>
      <c r="O598" s="39">
        <v>0.14000000000000001</v>
      </c>
    </row>
    <row r="599" spans="1:15">
      <c r="A599" s="1">
        <f t="shared" si="9"/>
        <v>31</v>
      </c>
      <c r="B599" s="38">
        <v>31</v>
      </c>
      <c r="C599" s="39">
        <v>0</v>
      </c>
      <c r="D599" s="39">
        <v>1</v>
      </c>
      <c r="E599" s="39">
        <v>1</v>
      </c>
      <c r="F599" s="39">
        <v>1</v>
      </c>
      <c r="G599" s="39">
        <v>1</v>
      </c>
      <c r="H599" s="39">
        <v>1</v>
      </c>
      <c r="I599" s="39">
        <v>1</v>
      </c>
      <c r="J599" s="39">
        <v>1</v>
      </c>
      <c r="K599" s="39">
        <v>1</v>
      </c>
      <c r="L599" s="39">
        <v>1</v>
      </c>
      <c r="M599" s="39">
        <v>1</v>
      </c>
      <c r="N599" s="39">
        <v>1</v>
      </c>
      <c r="O599" s="39">
        <v>1</v>
      </c>
    </row>
    <row r="600" spans="1:15">
      <c r="A600" s="1">
        <f t="shared" si="9"/>
        <v>31.05</v>
      </c>
      <c r="B600" s="38">
        <v>31</v>
      </c>
      <c r="C600" s="39">
        <v>5</v>
      </c>
      <c r="D600" s="39">
        <v>1.01</v>
      </c>
      <c r="E600" s="39">
        <v>1.02</v>
      </c>
      <c r="F600" s="39">
        <v>1.04</v>
      </c>
      <c r="G600" s="39">
        <v>1.06</v>
      </c>
      <c r="H600" s="39">
        <v>1.07</v>
      </c>
      <c r="I600" s="39">
        <v>1.07</v>
      </c>
      <c r="J600" s="39">
        <v>1.06</v>
      </c>
      <c r="K600" s="39">
        <v>1.05</v>
      </c>
      <c r="L600" s="39">
        <v>1.03</v>
      </c>
      <c r="M600" s="39">
        <v>1.02</v>
      </c>
      <c r="N600" s="39">
        <v>1.01</v>
      </c>
      <c r="O600" s="39">
        <v>1</v>
      </c>
    </row>
    <row r="601" spans="1:15">
      <c r="A601" s="1">
        <f t="shared" si="9"/>
        <v>31.1</v>
      </c>
      <c r="B601" s="38">
        <v>31</v>
      </c>
      <c r="C601" s="39">
        <v>10</v>
      </c>
      <c r="D601" s="39">
        <v>1.01</v>
      </c>
      <c r="E601" s="39">
        <v>1.03</v>
      </c>
      <c r="F601" s="39">
        <v>1.07</v>
      </c>
      <c r="G601" s="39">
        <v>1.1100000000000001</v>
      </c>
      <c r="H601" s="39">
        <v>1.1299999999999999</v>
      </c>
      <c r="I601" s="39">
        <v>1.1299999999999999</v>
      </c>
      <c r="J601" s="39">
        <v>1.1100000000000001</v>
      </c>
      <c r="K601" s="39">
        <v>1.0900000000000001</v>
      </c>
      <c r="L601" s="39">
        <v>1.06</v>
      </c>
      <c r="M601" s="39">
        <v>1.03</v>
      </c>
      <c r="N601" s="39">
        <v>1.01</v>
      </c>
      <c r="O601" s="39">
        <v>1</v>
      </c>
    </row>
    <row r="602" spans="1:15">
      <c r="A602" s="1">
        <f t="shared" si="9"/>
        <v>31.15</v>
      </c>
      <c r="B602" s="38">
        <v>31</v>
      </c>
      <c r="C602" s="39">
        <v>15</v>
      </c>
      <c r="D602" s="39">
        <v>1</v>
      </c>
      <c r="E602" s="39">
        <v>1.04</v>
      </c>
      <c r="F602" s="39">
        <v>1.0900000000000001</v>
      </c>
      <c r="G602" s="39">
        <v>1.1499999999999999</v>
      </c>
      <c r="H602" s="39">
        <v>1.19</v>
      </c>
      <c r="I602" s="39">
        <v>1.18</v>
      </c>
      <c r="J602" s="39">
        <v>1.1499999999999999</v>
      </c>
      <c r="K602" s="39">
        <v>1.1200000000000001</v>
      </c>
      <c r="L602" s="39">
        <v>1.08</v>
      </c>
      <c r="M602" s="39">
        <v>1.03</v>
      </c>
      <c r="N602" s="39">
        <v>1</v>
      </c>
      <c r="O602" s="39">
        <v>0.99</v>
      </c>
    </row>
    <row r="603" spans="1:15">
      <c r="A603" s="1">
        <f t="shared" si="9"/>
        <v>31.2</v>
      </c>
      <c r="B603" s="38">
        <v>31</v>
      </c>
      <c r="C603" s="39">
        <v>20</v>
      </c>
      <c r="D603" s="39">
        <v>0.99</v>
      </c>
      <c r="E603" s="39">
        <v>1.04</v>
      </c>
      <c r="F603" s="39">
        <v>1.1100000000000001</v>
      </c>
      <c r="G603" s="39">
        <v>1.19</v>
      </c>
      <c r="H603" s="39">
        <v>1.24</v>
      </c>
      <c r="I603" s="39">
        <v>1.23</v>
      </c>
      <c r="J603" s="39">
        <v>1.19</v>
      </c>
      <c r="K603" s="39">
        <v>1.1499999999999999</v>
      </c>
      <c r="L603" s="39">
        <v>1.0900000000000001</v>
      </c>
      <c r="M603" s="39">
        <v>1.03</v>
      </c>
      <c r="N603" s="39">
        <v>0.99</v>
      </c>
      <c r="O603" s="39">
        <v>0.97</v>
      </c>
    </row>
    <row r="604" spans="1:15">
      <c r="A604" s="1">
        <f t="shared" si="9"/>
        <v>31.25</v>
      </c>
      <c r="B604" s="38">
        <v>31</v>
      </c>
      <c r="C604" s="39">
        <v>25</v>
      </c>
      <c r="D604" s="39">
        <v>0.97</v>
      </c>
      <c r="E604" s="39">
        <v>1.03</v>
      </c>
      <c r="F604" s="39">
        <v>1.1200000000000001</v>
      </c>
      <c r="G604" s="39">
        <v>1.21</v>
      </c>
      <c r="H604" s="39">
        <v>1.28</v>
      </c>
      <c r="I604" s="39">
        <v>1.27</v>
      </c>
      <c r="J604" s="39">
        <v>1.22</v>
      </c>
      <c r="K604" s="39">
        <v>1.17</v>
      </c>
      <c r="L604" s="39">
        <v>1.1000000000000001</v>
      </c>
      <c r="M604" s="39">
        <v>1.02</v>
      </c>
      <c r="N604" s="39">
        <v>0.97</v>
      </c>
      <c r="O604" s="39">
        <v>0.94</v>
      </c>
    </row>
    <row r="605" spans="1:15">
      <c r="A605" s="1">
        <f t="shared" si="9"/>
        <v>31.3</v>
      </c>
      <c r="B605" s="38">
        <v>31</v>
      </c>
      <c r="C605" s="39">
        <v>30</v>
      </c>
      <c r="D605" s="39">
        <v>0.94</v>
      </c>
      <c r="E605" s="39">
        <v>1.01</v>
      </c>
      <c r="F605" s="39">
        <v>1.1200000000000001</v>
      </c>
      <c r="G605" s="39">
        <v>1.23</v>
      </c>
      <c r="H605" s="39">
        <v>1.31</v>
      </c>
      <c r="I605" s="39">
        <v>1.3</v>
      </c>
      <c r="J605" s="39">
        <v>1.25</v>
      </c>
      <c r="K605" s="39">
        <v>1.18</v>
      </c>
      <c r="L605" s="39">
        <v>1.0900000000000001</v>
      </c>
      <c r="M605" s="39">
        <v>1.01</v>
      </c>
      <c r="N605" s="39">
        <v>0.94</v>
      </c>
      <c r="O605" s="39">
        <v>0.91</v>
      </c>
    </row>
    <row r="606" spans="1:15">
      <c r="A606" s="1">
        <f t="shared" si="9"/>
        <v>31.35</v>
      </c>
      <c r="B606" s="38">
        <v>31</v>
      </c>
      <c r="C606" s="39">
        <v>35</v>
      </c>
      <c r="D606" s="39">
        <v>0.9</v>
      </c>
      <c r="E606" s="39">
        <v>0.99</v>
      </c>
      <c r="F606" s="39">
        <v>1.1100000000000001</v>
      </c>
      <c r="G606" s="39">
        <v>1.24</v>
      </c>
      <c r="H606" s="39">
        <v>1.33</v>
      </c>
      <c r="I606" s="39">
        <v>1.33</v>
      </c>
      <c r="J606" s="39">
        <v>1.26</v>
      </c>
      <c r="K606" s="39">
        <v>1.18</v>
      </c>
      <c r="L606" s="39">
        <v>1.0900000000000001</v>
      </c>
      <c r="M606" s="39">
        <v>0.98</v>
      </c>
      <c r="N606" s="39">
        <v>0.9</v>
      </c>
      <c r="O606" s="39">
        <v>0.88</v>
      </c>
    </row>
    <row r="607" spans="1:15">
      <c r="A607" s="1">
        <f t="shared" si="9"/>
        <v>31.4</v>
      </c>
      <c r="B607" s="38">
        <v>31</v>
      </c>
      <c r="C607" s="39">
        <v>40</v>
      </c>
      <c r="D607" s="39">
        <v>0.86</v>
      </c>
      <c r="E607" s="39">
        <v>0.96</v>
      </c>
      <c r="F607" s="39">
        <v>1.1000000000000001</v>
      </c>
      <c r="G607" s="39">
        <v>1.25</v>
      </c>
      <c r="H607" s="39">
        <v>1.35</v>
      </c>
      <c r="I607" s="39">
        <v>1.34</v>
      </c>
      <c r="J607" s="39">
        <v>1.27</v>
      </c>
      <c r="K607" s="39">
        <v>1.18</v>
      </c>
      <c r="L607" s="39">
        <v>1.07</v>
      </c>
      <c r="M607" s="39">
        <v>0.95</v>
      </c>
      <c r="N607" s="39">
        <v>0.86</v>
      </c>
      <c r="O607" s="39">
        <v>0.83</v>
      </c>
    </row>
    <row r="608" spans="1:15">
      <c r="A608" s="1">
        <f t="shared" si="9"/>
        <v>31.45</v>
      </c>
      <c r="B608" s="38">
        <v>31</v>
      </c>
      <c r="C608" s="39">
        <v>45</v>
      </c>
      <c r="D608" s="39">
        <v>0.82</v>
      </c>
      <c r="E608" s="39">
        <v>0.92</v>
      </c>
      <c r="F608" s="39">
        <v>1.07</v>
      </c>
      <c r="G608" s="39">
        <v>1.24</v>
      </c>
      <c r="H608" s="39">
        <v>1.35</v>
      </c>
      <c r="I608" s="39">
        <v>1.35</v>
      </c>
      <c r="J608" s="39">
        <v>1.27</v>
      </c>
      <c r="K608" s="39">
        <v>1.17</v>
      </c>
      <c r="L608" s="39">
        <v>1.05</v>
      </c>
      <c r="M608" s="39">
        <v>0.92</v>
      </c>
      <c r="N608" s="39">
        <v>0.82</v>
      </c>
      <c r="O608" s="39">
        <v>0.78</v>
      </c>
    </row>
    <row r="609" spans="1:15">
      <c r="A609" s="1">
        <f t="shared" si="9"/>
        <v>31.5</v>
      </c>
      <c r="B609" s="38">
        <v>31</v>
      </c>
      <c r="C609" s="39">
        <v>50</v>
      </c>
      <c r="D609" s="39">
        <v>0.77</v>
      </c>
      <c r="E609" s="39">
        <v>0.88</v>
      </c>
      <c r="F609" s="39">
        <v>1.04</v>
      </c>
      <c r="G609" s="39">
        <v>1.23</v>
      </c>
      <c r="H609" s="39">
        <v>1.35</v>
      </c>
      <c r="I609" s="39">
        <v>1.35</v>
      </c>
      <c r="J609" s="39">
        <v>1.26</v>
      </c>
      <c r="K609" s="39">
        <v>1.1499999999999999</v>
      </c>
      <c r="L609" s="39">
        <v>1.02</v>
      </c>
      <c r="M609" s="39">
        <v>0.87</v>
      </c>
      <c r="N609" s="39">
        <v>0.77</v>
      </c>
      <c r="O609" s="39">
        <v>0.73</v>
      </c>
    </row>
    <row r="610" spans="1:15">
      <c r="A610" s="1">
        <f t="shared" si="9"/>
        <v>31.55</v>
      </c>
      <c r="B610" s="38">
        <v>31</v>
      </c>
      <c r="C610" s="39">
        <v>55</v>
      </c>
      <c r="D610" s="39">
        <v>0.71</v>
      </c>
      <c r="E610" s="39">
        <v>0.83</v>
      </c>
      <c r="F610" s="39">
        <v>1.01</v>
      </c>
      <c r="G610" s="39">
        <v>12</v>
      </c>
      <c r="H610" s="39">
        <v>1.34</v>
      </c>
      <c r="I610" s="39">
        <v>1.34</v>
      </c>
      <c r="J610" s="39">
        <v>1.25</v>
      </c>
      <c r="K610" s="39">
        <v>1.1299999999999999</v>
      </c>
      <c r="L610" s="39">
        <v>0.98</v>
      </c>
      <c r="M610" s="39">
        <v>0.83</v>
      </c>
      <c r="N610" s="39">
        <v>0.71</v>
      </c>
      <c r="O610" s="39">
        <v>0.67</v>
      </c>
    </row>
    <row r="611" spans="1:15">
      <c r="A611" s="1">
        <f t="shared" si="9"/>
        <v>31.6</v>
      </c>
      <c r="B611" s="38">
        <v>31</v>
      </c>
      <c r="C611" s="39">
        <v>60</v>
      </c>
      <c r="D611" s="39">
        <v>0.65</v>
      </c>
      <c r="E611" s="39">
        <v>0.77</v>
      </c>
      <c r="F611" s="39">
        <v>0.96</v>
      </c>
      <c r="G611" s="39">
        <v>1.17</v>
      </c>
      <c r="H611" s="39">
        <v>1.32</v>
      </c>
      <c r="I611" s="39">
        <v>1.32</v>
      </c>
      <c r="J611" s="39">
        <v>1.22</v>
      </c>
      <c r="K611" s="39">
        <v>1.1000000000000001</v>
      </c>
      <c r="L611" s="39">
        <v>0.94</v>
      </c>
      <c r="M611" s="39">
        <v>0.77</v>
      </c>
      <c r="N611" s="39">
        <v>0.65</v>
      </c>
      <c r="O611" s="39">
        <v>0.6</v>
      </c>
    </row>
    <row r="612" spans="1:15">
      <c r="A612" s="1">
        <f t="shared" si="9"/>
        <v>31.65</v>
      </c>
      <c r="B612" s="38">
        <v>31</v>
      </c>
      <c r="C612" s="39">
        <v>65</v>
      </c>
      <c r="D612" s="39">
        <v>0.57999999999999996</v>
      </c>
      <c r="E612" s="39">
        <v>0.71</v>
      </c>
      <c r="F612" s="39">
        <v>0.91</v>
      </c>
      <c r="G612" s="39">
        <v>1.1299999999999999</v>
      </c>
      <c r="H612" s="39">
        <v>1.29</v>
      </c>
      <c r="I612" s="39">
        <v>1.29</v>
      </c>
      <c r="J612" s="39">
        <v>1.19</v>
      </c>
      <c r="K612" s="39">
        <v>1.06</v>
      </c>
      <c r="L612" s="39">
        <v>0.89</v>
      </c>
      <c r="M612" s="39">
        <v>0.71</v>
      </c>
      <c r="N612" s="39">
        <v>0.59</v>
      </c>
      <c r="O612" s="39">
        <v>0.54</v>
      </c>
    </row>
    <row r="613" spans="1:15">
      <c r="A613" s="1">
        <f t="shared" si="9"/>
        <v>31.7</v>
      </c>
      <c r="B613" s="38">
        <v>31</v>
      </c>
      <c r="C613" s="39">
        <v>70</v>
      </c>
      <c r="D613" s="39">
        <v>0.51</v>
      </c>
      <c r="E613" s="39">
        <v>0.65</v>
      </c>
      <c r="F613" s="39">
        <v>0.86</v>
      </c>
      <c r="G613" s="39">
        <v>1.0900000000000001</v>
      </c>
      <c r="H613" s="39">
        <v>1.25</v>
      </c>
      <c r="I613" s="39">
        <v>1.26</v>
      </c>
      <c r="J613" s="39">
        <v>1.1599999999999999</v>
      </c>
      <c r="K613" s="39">
        <v>1.01</v>
      </c>
      <c r="L613" s="39">
        <v>0.83</v>
      </c>
      <c r="M613" s="39">
        <v>0.65</v>
      </c>
      <c r="N613" s="39">
        <v>0.52</v>
      </c>
      <c r="O613" s="39">
        <v>0.46</v>
      </c>
    </row>
    <row r="614" spans="1:15">
      <c r="A614" s="1">
        <f t="shared" si="9"/>
        <v>31.75</v>
      </c>
      <c r="B614" s="38">
        <v>31</v>
      </c>
      <c r="C614" s="39">
        <v>75</v>
      </c>
      <c r="D614" s="39">
        <v>0.44</v>
      </c>
      <c r="E614" s="39">
        <v>0.57999999999999996</v>
      </c>
      <c r="F614" s="39">
        <v>0.79</v>
      </c>
      <c r="G614" s="39">
        <v>1.04</v>
      </c>
      <c r="H614" s="39">
        <v>1.2</v>
      </c>
      <c r="I614" s="39">
        <v>1.21</v>
      </c>
      <c r="J614" s="39">
        <v>1.1100000000000001</v>
      </c>
      <c r="K614" s="39">
        <v>0.96</v>
      </c>
      <c r="L614" s="39">
        <v>0.77</v>
      </c>
      <c r="M614" s="39">
        <v>0.57999999999999996</v>
      </c>
      <c r="N614" s="39">
        <v>0.44</v>
      </c>
      <c r="O614" s="39">
        <v>0.39</v>
      </c>
    </row>
    <row r="615" spans="1:15">
      <c r="A615" s="1">
        <f t="shared" si="9"/>
        <v>31.8</v>
      </c>
      <c r="B615" s="38">
        <v>31</v>
      </c>
      <c r="C615" s="39">
        <v>80</v>
      </c>
      <c r="D615" s="39">
        <v>0.36</v>
      </c>
      <c r="E615" s="39">
        <v>0.51</v>
      </c>
      <c r="F615" s="39">
        <v>0.73</v>
      </c>
      <c r="G615" s="39">
        <v>0.98</v>
      </c>
      <c r="H615" s="39">
        <v>1.1499999999999999</v>
      </c>
      <c r="I615" s="39">
        <v>1.17</v>
      </c>
      <c r="J615" s="39">
        <v>1.06</v>
      </c>
      <c r="K615" s="39">
        <v>0.91</v>
      </c>
      <c r="L615" s="39">
        <v>0.71</v>
      </c>
      <c r="M615" s="39">
        <v>0.51</v>
      </c>
      <c r="N615" s="39">
        <v>0.37</v>
      </c>
      <c r="O615" s="39">
        <v>0.31</v>
      </c>
    </row>
    <row r="616" spans="1:15">
      <c r="A616" s="1">
        <f t="shared" si="9"/>
        <v>31.85</v>
      </c>
      <c r="B616" s="38">
        <v>31</v>
      </c>
      <c r="C616" s="39">
        <v>85</v>
      </c>
      <c r="D616" s="39">
        <v>0.28000000000000003</v>
      </c>
      <c r="E616" s="39">
        <v>0.43</v>
      </c>
      <c r="F616" s="39">
        <v>0.66</v>
      </c>
      <c r="G616" s="39">
        <v>0.91</v>
      </c>
      <c r="H616" s="39">
        <v>1.0900000000000001</v>
      </c>
      <c r="I616" s="39">
        <v>1.1100000000000001</v>
      </c>
      <c r="J616" s="39">
        <v>1</v>
      </c>
      <c r="K616" s="39">
        <v>0.84</v>
      </c>
      <c r="L616" s="39">
        <v>0.64</v>
      </c>
      <c r="M616" s="39">
        <v>0.44</v>
      </c>
      <c r="N616" s="39">
        <v>0.28999999999999998</v>
      </c>
      <c r="O616" s="39">
        <v>0.23</v>
      </c>
    </row>
    <row r="617" spans="1:15">
      <c r="A617" s="1">
        <f t="shared" si="9"/>
        <v>31.9</v>
      </c>
      <c r="B617" s="38">
        <v>31</v>
      </c>
      <c r="C617" s="39">
        <v>90</v>
      </c>
      <c r="D617" s="39">
        <v>0.2</v>
      </c>
      <c r="E617" s="39">
        <v>0.35</v>
      </c>
      <c r="F617" s="39">
        <v>0.57999999999999996</v>
      </c>
      <c r="G617" s="39">
        <v>0.84</v>
      </c>
      <c r="H617" s="39">
        <v>1.02</v>
      </c>
      <c r="I617" s="39">
        <v>1.05</v>
      </c>
      <c r="J617" s="39">
        <v>0.94</v>
      </c>
      <c r="K617" s="39">
        <v>0.78</v>
      </c>
      <c r="L617" s="39">
        <v>0.56999999999999995</v>
      </c>
      <c r="M617" s="39">
        <v>0.36</v>
      </c>
      <c r="N617" s="39">
        <v>0.21</v>
      </c>
      <c r="O617" s="39">
        <v>0.16</v>
      </c>
    </row>
    <row r="618" spans="1:15">
      <c r="A618" s="1">
        <f t="shared" si="9"/>
        <v>32</v>
      </c>
      <c r="B618" s="38">
        <v>32</v>
      </c>
      <c r="C618" s="39">
        <v>0</v>
      </c>
      <c r="D618" s="39">
        <v>1</v>
      </c>
      <c r="E618" s="39">
        <v>1</v>
      </c>
      <c r="F618" s="39">
        <v>1</v>
      </c>
      <c r="G618" s="39">
        <v>1</v>
      </c>
      <c r="H618" s="39">
        <v>1</v>
      </c>
      <c r="I618" s="39">
        <v>1</v>
      </c>
      <c r="J618" s="39">
        <v>1</v>
      </c>
      <c r="K618" s="39">
        <v>1</v>
      </c>
      <c r="L618" s="39">
        <v>1</v>
      </c>
      <c r="M618" s="39">
        <v>1</v>
      </c>
      <c r="N618" s="39">
        <v>1</v>
      </c>
      <c r="O618" s="39">
        <v>1</v>
      </c>
    </row>
    <row r="619" spans="1:15">
      <c r="A619" s="1">
        <f t="shared" si="9"/>
        <v>32.049999999999997</v>
      </c>
      <c r="B619" s="38">
        <v>32</v>
      </c>
      <c r="C619" s="39">
        <v>5</v>
      </c>
      <c r="D619" s="39">
        <v>1.01</v>
      </c>
      <c r="E619" s="39">
        <v>1.02</v>
      </c>
      <c r="F619" s="39">
        <v>1.04</v>
      </c>
      <c r="G619" s="39">
        <v>1.06</v>
      </c>
      <c r="H619" s="39">
        <v>1.07</v>
      </c>
      <c r="I619" s="39">
        <v>1.07</v>
      </c>
      <c r="J619" s="39">
        <v>1.06</v>
      </c>
      <c r="K619" s="39">
        <v>1.05</v>
      </c>
      <c r="L619" s="39">
        <v>1.03</v>
      </c>
      <c r="M619" s="39">
        <v>1.02</v>
      </c>
      <c r="N619" s="39">
        <v>1.01</v>
      </c>
      <c r="O619" s="39">
        <v>1</v>
      </c>
    </row>
    <row r="620" spans="1:15">
      <c r="A620" s="1">
        <f t="shared" si="9"/>
        <v>32.1</v>
      </c>
      <c r="B620" s="38">
        <v>32</v>
      </c>
      <c r="C620" s="39">
        <v>10</v>
      </c>
      <c r="D620" s="39">
        <v>1.01</v>
      </c>
      <c r="E620" s="39">
        <v>1.04</v>
      </c>
      <c r="F620" s="39">
        <v>1.07</v>
      </c>
      <c r="G620" s="39">
        <v>1.1100000000000001</v>
      </c>
      <c r="H620" s="39">
        <v>1.1399999999999999</v>
      </c>
      <c r="I620" s="39">
        <v>1.1299999999999999</v>
      </c>
      <c r="J620" s="39">
        <v>1.1100000000000001</v>
      </c>
      <c r="K620" s="39">
        <v>1.0900000000000001</v>
      </c>
      <c r="L620" s="39">
        <v>1.06</v>
      </c>
      <c r="M620" s="39">
        <v>1.03</v>
      </c>
      <c r="N620" s="39">
        <v>1.01</v>
      </c>
      <c r="O620" s="39">
        <v>1</v>
      </c>
    </row>
    <row r="621" spans="1:15">
      <c r="A621" s="1">
        <f t="shared" si="9"/>
        <v>32.15</v>
      </c>
      <c r="B621" s="38">
        <v>32</v>
      </c>
      <c r="C621" s="39">
        <v>15</v>
      </c>
      <c r="D621" s="39">
        <v>1</v>
      </c>
      <c r="E621" s="39">
        <v>1.04</v>
      </c>
      <c r="F621" s="39">
        <v>1.1000000000000001</v>
      </c>
      <c r="G621" s="39">
        <v>1.1599999999999999</v>
      </c>
      <c r="H621" s="39">
        <v>1.19</v>
      </c>
      <c r="I621" s="39">
        <v>1.19</v>
      </c>
      <c r="J621" s="39">
        <v>1.1599999999999999</v>
      </c>
      <c r="K621" s="39">
        <v>1.1200000000000001</v>
      </c>
      <c r="L621" s="39">
        <v>1.08</v>
      </c>
      <c r="M621" s="39">
        <v>1.04</v>
      </c>
      <c r="N621" s="39">
        <v>1</v>
      </c>
      <c r="O621" s="39">
        <v>0.99</v>
      </c>
    </row>
    <row r="622" spans="1:15">
      <c r="A622" s="1">
        <f t="shared" si="9"/>
        <v>32.200000000000003</v>
      </c>
      <c r="B622" s="38">
        <v>32</v>
      </c>
      <c r="C622" s="39">
        <v>20</v>
      </c>
      <c r="D622" s="39">
        <v>0.99</v>
      </c>
      <c r="E622" s="39">
        <v>1.04</v>
      </c>
      <c r="F622" s="39">
        <v>1.1100000000000001</v>
      </c>
      <c r="G622" s="39">
        <v>1.19</v>
      </c>
      <c r="H622" s="39">
        <v>1.24</v>
      </c>
      <c r="I622" s="39">
        <v>1.24</v>
      </c>
      <c r="J622" s="39">
        <v>1.2</v>
      </c>
      <c r="K622" s="39">
        <v>1.1499999999999999</v>
      </c>
      <c r="L622" s="39">
        <v>1.1000000000000001</v>
      </c>
      <c r="M622" s="39">
        <v>1.04</v>
      </c>
      <c r="N622" s="39">
        <v>0.99</v>
      </c>
      <c r="O622" s="39">
        <v>0.97</v>
      </c>
    </row>
    <row r="623" spans="1:15">
      <c r="A623" s="1">
        <f t="shared" si="9"/>
        <v>32.25</v>
      </c>
      <c r="B623" s="38">
        <v>32</v>
      </c>
      <c r="C623" s="39">
        <v>25</v>
      </c>
      <c r="D623" s="39">
        <v>0.97</v>
      </c>
      <c r="E623" s="39">
        <v>1.03</v>
      </c>
      <c r="F623" s="39">
        <v>1.1200000000000001</v>
      </c>
      <c r="G623" s="39">
        <v>1.22</v>
      </c>
      <c r="H623" s="39">
        <v>1.29</v>
      </c>
      <c r="I623" s="39">
        <v>1.28</v>
      </c>
      <c r="J623" s="39">
        <v>1.3</v>
      </c>
      <c r="K623" s="39">
        <v>1.17</v>
      </c>
      <c r="L623" s="39">
        <v>1.1000000000000001</v>
      </c>
      <c r="M623" s="39">
        <v>1.03</v>
      </c>
      <c r="N623" s="39">
        <v>0.97</v>
      </c>
      <c r="O623" s="39">
        <v>0.95</v>
      </c>
    </row>
    <row r="624" spans="1:15">
      <c r="A624" s="1">
        <f t="shared" si="9"/>
        <v>32.299999999999997</v>
      </c>
      <c r="B624" s="38">
        <v>32</v>
      </c>
      <c r="C624" s="39">
        <v>30</v>
      </c>
      <c r="D624" s="39">
        <v>0.95</v>
      </c>
      <c r="E624" s="39">
        <v>1.02</v>
      </c>
      <c r="F624" s="39">
        <v>1.1299999999999999</v>
      </c>
      <c r="G624" s="39">
        <v>1.24</v>
      </c>
      <c r="H624" s="39">
        <v>1.32</v>
      </c>
      <c r="I624" s="39">
        <v>1.31</v>
      </c>
      <c r="J624" s="39">
        <v>1.26</v>
      </c>
      <c r="K624" s="39">
        <v>1.19</v>
      </c>
      <c r="L624" s="39">
        <v>1.1000000000000001</v>
      </c>
      <c r="M624" s="39">
        <v>1.01</v>
      </c>
      <c r="N624" s="39">
        <v>0.95</v>
      </c>
      <c r="O624" s="39">
        <v>0.92</v>
      </c>
    </row>
    <row r="625" spans="1:15">
      <c r="A625" s="1">
        <f t="shared" si="9"/>
        <v>32.35</v>
      </c>
      <c r="B625" s="38">
        <v>32</v>
      </c>
      <c r="C625" s="39">
        <v>35</v>
      </c>
      <c r="D625" s="39">
        <v>0.91</v>
      </c>
      <c r="E625" s="39">
        <v>1</v>
      </c>
      <c r="F625" s="39">
        <v>1.1200000000000001</v>
      </c>
      <c r="G625" s="39">
        <v>1.26</v>
      </c>
      <c r="H625" s="39">
        <v>1.34</v>
      </c>
      <c r="I625" s="39">
        <v>1.34</v>
      </c>
      <c r="J625" s="39">
        <v>1.27</v>
      </c>
      <c r="K625" s="39">
        <v>1.19</v>
      </c>
      <c r="L625" s="39">
        <v>1.0900000000000001</v>
      </c>
      <c r="M625" s="39">
        <v>0.99</v>
      </c>
      <c r="N625" s="39">
        <v>0.91</v>
      </c>
      <c r="O625" s="39">
        <v>0.88</v>
      </c>
    </row>
    <row r="626" spans="1:15">
      <c r="A626" s="1">
        <f t="shared" si="9"/>
        <v>32.4</v>
      </c>
      <c r="B626" s="38">
        <v>32</v>
      </c>
      <c r="C626" s="39">
        <v>40</v>
      </c>
      <c r="D626" s="39">
        <v>0.87</v>
      </c>
      <c r="E626" s="39">
        <v>0.97</v>
      </c>
      <c r="F626" s="39">
        <v>1.1100000000000001</v>
      </c>
      <c r="G626" s="39">
        <v>1.26</v>
      </c>
      <c r="H626" s="39">
        <v>1.36</v>
      </c>
      <c r="I626" s="39">
        <v>1.35</v>
      </c>
      <c r="J626" s="39">
        <v>1.28</v>
      </c>
      <c r="K626" s="39">
        <v>1.19</v>
      </c>
      <c r="L626" s="39">
        <v>1.08</v>
      </c>
      <c r="M626" s="39">
        <v>0.96</v>
      </c>
      <c r="N626" s="39">
        <v>0.87</v>
      </c>
      <c r="O626" s="39">
        <v>0.84</v>
      </c>
    </row>
    <row r="627" spans="1:15">
      <c r="A627" s="1">
        <f t="shared" si="9"/>
        <v>32.450000000000003</v>
      </c>
      <c r="B627" s="38">
        <v>32</v>
      </c>
      <c r="C627" s="39">
        <v>45</v>
      </c>
      <c r="D627" s="39">
        <v>0.83</v>
      </c>
      <c r="E627" s="39">
        <v>0.93</v>
      </c>
      <c r="F627" s="39">
        <v>1.0900000000000001</v>
      </c>
      <c r="G627" s="39">
        <v>1.26</v>
      </c>
      <c r="H627" s="39">
        <v>1.37</v>
      </c>
      <c r="I627" s="39">
        <v>1.36</v>
      </c>
      <c r="J627" s="39">
        <v>1.28</v>
      </c>
      <c r="K627" s="39">
        <v>1.18</v>
      </c>
      <c r="L627" s="39">
        <v>1.06</v>
      </c>
      <c r="M627" s="39">
        <v>0.93</v>
      </c>
      <c r="N627" s="39">
        <v>0.83</v>
      </c>
      <c r="O627" s="39">
        <v>0.79</v>
      </c>
    </row>
    <row r="628" spans="1:15">
      <c r="A628" s="1">
        <f t="shared" si="9"/>
        <v>32.5</v>
      </c>
      <c r="B628" s="38">
        <v>32</v>
      </c>
      <c r="C628" s="39">
        <v>50</v>
      </c>
      <c r="D628" s="39">
        <v>0.78</v>
      </c>
      <c r="E628" s="39">
        <v>0.89</v>
      </c>
      <c r="F628" s="39">
        <v>1.06</v>
      </c>
      <c r="G628" s="39">
        <v>1.24</v>
      </c>
      <c r="H628" s="39">
        <v>1.37</v>
      </c>
      <c r="I628" s="39">
        <v>1.36</v>
      </c>
      <c r="J628" s="39">
        <v>1.28</v>
      </c>
      <c r="K628" s="39">
        <v>1.17</v>
      </c>
      <c r="L628" s="39">
        <v>1.03</v>
      </c>
      <c r="M628" s="39">
        <v>0.88</v>
      </c>
      <c r="N628" s="39">
        <v>0.78</v>
      </c>
      <c r="O628" s="39">
        <v>0.74</v>
      </c>
    </row>
    <row r="629" spans="1:15">
      <c r="A629" s="1">
        <f t="shared" si="9"/>
        <v>32.549999999999997</v>
      </c>
      <c r="B629" s="38">
        <v>32</v>
      </c>
      <c r="C629" s="39">
        <v>55</v>
      </c>
      <c r="D629" s="39">
        <v>0.72</v>
      </c>
      <c r="E629" s="39">
        <v>0.84</v>
      </c>
      <c r="F629" s="39">
        <v>1.02</v>
      </c>
      <c r="G629" s="39">
        <v>1.22</v>
      </c>
      <c r="H629" s="39">
        <v>1.36</v>
      </c>
      <c r="I629" s="39">
        <v>1.35</v>
      </c>
      <c r="J629" s="39">
        <v>1.26</v>
      </c>
      <c r="K629" s="39">
        <v>1.1399999999999999</v>
      </c>
      <c r="L629" s="39">
        <v>0.99</v>
      </c>
      <c r="M629" s="39">
        <v>0.84</v>
      </c>
      <c r="N629" s="39">
        <v>0.72</v>
      </c>
      <c r="O629" s="39">
        <v>0.68</v>
      </c>
    </row>
    <row r="630" spans="1:15">
      <c r="A630" s="1">
        <f t="shared" si="9"/>
        <v>32.6</v>
      </c>
      <c r="B630" s="38">
        <v>32</v>
      </c>
      <c r="C630" s="39">
        <v>60</v>
      </c>
      <c r="D630" s="39">
        <v>0.66</v>
      </c>
      <c r="E630" s="39">
        <v>0.79</v>
      </c>
      <c r="F630" s="39">
        <v>0.98</v>
      </c>
      <c r="G630" s="39">
        <v>1.19</v>
      </c>
      <c r="H630" s="39">
        <v>1.34</v>
      </c>
      <c r="I630" s="39">
        <v>1.34</v>
      </c>
      <c r="J630" s="39">
        <v>1.24</v>
      </c>
      <c r="K630" s="39">
        <v>1.1100000000000001</v>
      </c>
      <c r="L630" s="39">
        <v>0.95</v>
      </c>
      <c r="M630" s="39">
        <v>0.78</v>
      </c>
      <c r="N630" s="39">
        <v>0.66</v>
      </c>
      <c r="O630" s="39">
        <v>0.62</v>
      </c>
    </row>
    <row r="631" spans="1:15">
      <c r="A631" s="1">
        <f t="shared" si="9"/>
        <v>32.65</v>
      </c>
      <c r="B631" s="38">
        <v>32</v>
      </c>
      <c r="C631" s="39">
        <v>65</v>
      </c>
      <c r="D631" s="39">
        <v>0.59</v>
      </c>
      <c r="E631" s="39">
        <v>0.73</v>
      </c>
      <c r="F631" s="39">
        <v>0.93</v>
      </c>
      <c r="G631" s="39">
        <v>1.1499999999999999</v>
      </c>
      <c r="H631" s="39">
        <v>1.31</v>
      </c>
      <c r="I631" s="39">
        <v>1.31</v>
      </c>
      <c r="J631" s="39">
        <v>1.21</v>
      </c>
      <c r="K631" s="39">
        <v>1.07</v>
      </c>
      <c r="L631" s="39">
        <v>0.9</v>
      </c>
      <c r="M631" s="39">
        <v>0.73</v>
      </c>
      <c r="N631" s="39">
        <v>0.6</v>
      </c>
      <c r="O631" s="39">
        <v>0.55000000000000004</v>
      </c>
    </row>
    <row r="632" spans="1:15">
      <c r="A632" s="1">
        <f t="shared" si="9"/>
        <v>32.700000000000003</v>
      </c>
      <c r="B632" s="38">
        <v>32</v>
      </c>
      <c r="C632" s="39">
        <v>70</v>
      </c>
      <c r="D632" s="39">
        <v>0.53</v>
      </c>
      <c r="E632" s="39">
        <v>0.66</v>
      </c>
      <c r="F632" s="39">
        <v>0.87</v>
      </c>
      <c r="G632" s="39">
        <v>1.1100000000000001</v>
      </c>
      <c r="H632" s="39">
        <v>1.27</v>
      </c>
      <c r="I632" s="39">
        <v>1.28</v>
      </c>
      <c r="J632" s="39">
        <v>1.17</v>
      </c>
      <c r="K632" s="39">
        <v>1.03</v>
      </c>
      <c r="L632" s="39">
        <v>0.85</v>
      </c>
      <c r="M632" s="39">
        <v>0.66</v>
      </c>
      <c r="N632" s="39">
        <v>0.53</v>
      </c>
      <c r="O632" s="39">
        <v>0.48</v>
      </c>
    </row>
    <row r="633" spans="1:15">
      <c r="A633" s="1">
        <f t="shared" si="9"/>
        <v>32.75</v>
      </c>
      <c r="B633" s="38">
        <v>32</v>
      </c>
      <c r="C633" s="39">
        <v>75</v>
      </c>
      <c r="D633" s="39">
        <v>0.45</v>
      </c>
      <c r="E633" s="39">
        <v>0.6</v>
      </c>
      <c r="F633" s="39" t="s">
        <v>692</v>
      </c>
      <c r="G633" s="39">
        <v>1.06</v>
      </c>
      <c r="H633" s="39">
        <v>1.23</v>
      </c>
      <c r="I633" s="39">
        <v>1.24</v>
      </c>
      <c r="J633" s="39">
        <v>1.1299999999999999</v>
      </c>
      <c r="K633" s="39">
        <v>0.98</v>
      </c>
      <c r="L633" s="39">
        <v>0.79</v>
      </c>
      <c r="M633" s="39">
        <v>0.6</v>
      </c>
      <c r="N633" s="39">
        <v>0.46</v>
      </c>
      <c r="O633" s="39">
        <v>0.4</v>
      </c>
    </row>
    <row r="634" spans="1:15">
      <c r="A634" s="1">
        <f t="shared" si="9"/>
        <v>32.799999999999997</v>
      </c>
      <c r="B634" s="38">
        <v>32</v>
      </c>
      <c r="C634" s="39">
        <v>80</v>
      </c>
      <c r="D634" s="39">
        <v>0.38</v>
      </c>
      <c r="E634" s="39">
        <v>0.52</v>
      </c>
      <c r="F634" s="39">
        <v>0.75</v>
      </c>
      <c r="G634" s="39">
        <v>1</v>
      </c>
      <c r="H634" s="39">
        <v>1.18</v>
      </c>
      <c r="I634" s="39">
        <v>1.19</v>
      </c>
      <c r="J634" s="39">
        <v>1.08</v>
      </c>
      <c r="K634" s="39">
        <v>0.92</v>
      </c>
      <c r="L634" s="39">
        <v>0.73</v>
      </c>
      <c r="M634" s="39">
        <v>0.53</v>
      </c>
      <c r="N634" s="39">
        <v>0.38</v>
      </c>
      <c r="O634" s="39">
        <v>0.33</v>
      </c>
    </row>
    <row r="635" spans="1:15">
      <c r="A635" s="1">
        <f t="shared" si="9"/>
        <v>32.85</v>
      </c>
      <c r="B635" s="38">
        <v>32</v>
      </c>
      <c r="C635" s="39">
        <v>85</v>
      </c>
      <c r="D635" s="39">
        <v>0.3</v>
      </c>
      <c r="E635" s="39">
        <v>0.45</v>
      </c>
      <c r="F635" s="39">
        <v>0.67</v>
      </c>
      <c r="G635" s="39">
        <v>0.93</v>
      </c>
      <c r="H635" s="39">
        <v>1.1200000000000001</v>
      </c>
      <c r="I635" s="39">
        <v>1.1299999999999999</v>
      </c>
      <c r="J635" s="39">
        <v>1.02</v>
      </c>
      <c r="K635" s="39">
        <v>0.86</v>
      </c>
      <c r="L635" s="39">
        <v>0.66</v>
      </c>
      <c r="M635" s="39">
        <v>0.45</v>
      </c>
      <c r="N635" s="39">
        <v>0.31</v>
      </c>
      <c r="O635" s="39">
        <v>0.25</v>
      </c>
    </row>
    <row r="636" spans="1:15">
      <c r="A636" s="1">
        <f t="shared" si="9"/>
        <v>32.9</v>
      </c>
      <c r="B636" s="38">
        <v>32</v>
      </c>
      <c r="C636" s="39">
        <v>90</v>
      </c>
      <c r="D636" s="39">
        <v>0.22</v>
      </c>
      <c r="E636" s="39">
        <v>0.37</v>
      </c>
      <c r="F636" s="39">
        <v>0.6</v>
      </c>
      <c r="G636" s="39">
        <v>0.86</v>
      </c>
      <c r="H636" s="39">
        <v>1.05</v>
      </c>
      <c r="I636" s="39">
        <v>1.07</v>
      </c>
      <c r="J636" s="39">
        <v>0.96</v>
      </c>
      <c r="K636" s="39">
        <v>0.79</v>
      </c>
      <c r="L636" s="39">
        <v>0.59</v>
      </c>
      <c r="M636" s="39">
        <v>0.38</v>
      </c>
      <c r="N636" s="39">
        <v>0.23</v>
      </c>
      <c r="O636" s="39">
        <v>0.17</v>
      </c>
    </row>
    <row r="637" spans="1:15">
      <c r="A637" s="1">
        <f t="shared" si="9"/>
        <v>33</v>
      </c>
      <c r="B637" s="38">
        <v>33</v>
      </c>
      <c r="C637" s="39">
        <v>0</v>
      </c>
      <c r="D637" s="39">
        <v>1</v>
      </c>
      <c r="E637" s="39">
        <v>1</v>
      </c>
      <c r="F637" s="39">
        <v>1</v>
      </c>
      <c r="G637" s="39">
        <v>1</v>
      </c>
      <c r="H637" s="39">
        <v>1</v>
      </c>
      <c r="I637" s="39">
        <v>1</v>
      </c>
      <c r="J637" s="39">
        <v>1</v>
      </c>
      <c r="K637" s="39">
        <v>1</v>
      </c>
      <c r="L637" s="39">
        <v>1</v>
      </c>
      <c r="M637" s="39">
        <v>1</v>
      </c>
      <c r="N637" s="39">
        <v>1</v>
      </c>
      <c r="O637" s="39">
        <v>1</v>
      </c>
    </row>
    <row r="638" spans="1:15">
      <c r="A638" s="1">
        <f t="shared" si="9"/>
        <v>33.049999999999997</v>
      </c>
      <c r="B638" s="38">
        <v>33</v>
      </c>
      <c r="C638" s="39">
        <v>5</v>
      </c>
      <c r="D638" s="39">
        <v>1.01</v>
      </c>
      <c r="E638" s="39">
        <v>1.02</v>
      </c>
      <c r="F638" s="39">
        <v>1.04</v>
      </c>
      <c r="G638" s="39">
        <v>1.06</v>
      </c>
      <c r="H638" s="39">
        <v>1.07</v>
      </c>
      <c r="I638" s="39">
        <v>1.07</v>
      </c>
      <c r="J638" s="39">
        <v>1.06</v>
      </c>
      <c r="K638" s="39">
        <v>1.05</v>
      </c>
      <c r="L638" s="39">
        <v>1.04</v>
      </c>
      <c r="M638" s="39">
        <v>1.02</v>
      </c>
      <c r="N638" s="39">
        <v>1.01</v>
      </c>
      <c r="O638" s="39">
        <v>1.01</v>
      </c>
    </row>
    <row r="639" spans="1:15">
      <c r="A639" s="1">
        <f t="shared" si="9"/>
        <v>33.1</v>
      </c>
      <c r="B639" s="38">
        <v>33</v>
      </c>
      <c r="C639" s="39">
        <v>10</v>
      </c>
      <c r="D639" s="39">
        <v>1.01</v>
      </c>
      <c r="E639" s="39">
        <v>1.04</v>
      </c>
      <c r="F639" s="39">
        <v>1.07</v>
      </c>
      <c r="G639" s="39">
        <v>1.1200000000000001</v>
      </c>
      <c r="H639" s="39">
        <v>1.1399999999999999</v>
      </c>
      <c r="I639" s="39">
        <v>1.1399999999999999</v>
      </c>
      <c r="J639" s="39">
        <v>1.1200000000000001</v>
      </c>
      <c r="K639" s="39">
        <v>1.0900000000000001</v>
      </c>
      <c r="L639" s="39">
        <v>1.06</v>
      </c>
      <c r="M639" s="39">
        <v>1.03</v>
      </c>
      <c r="N639" s="39">
        <v>1.01</v>
      </c>
      <c r="O639" s="39">
        <v>1</v>
      </c>
    </row>
    <row r="640" spans="1:15">
      <c r="A640" s="1">
        <f t="shared" si="9"/>
        <v>33.15</v>
      </c>
      <c r="B640" s="38">
        <v>33</v>
      </c>
      <c r="C640" s="39">
        <v>15</v>
      </c>
      <c r="D640" s="39">
        <v>1.01</v>
      </c>
      <c r="E640" s="39">
        <v>1.05</v>
      </c>
      <c r="F640" s="39">
        <v>1.1000000000000001</v>
      </c>
      <c r="G640" s="39">
        <v>1.1599999999999999</v>
      </c>
      <c r="H640" s="39">
        <v>1.2</v>
      </c>
      <c r="I640" s="39">
        <v>1.19</v>
      </c>
      <c r="J640" s="39">
        <v>1.1599999999999999</v>
      </c>
      <c r="K640" s="39">
        <v>1.1299999999999999</v>
      </c>
      <c r="L640" s="39">
        <v>1.0900000000000001</v>
      </c>
      <c r="M640" s="39">
        <v>1.04</v>
      </c>
      <c r="N640" s="39">
        <v>1.01</v>
      </c>
      <c r="O640" s="39">
        <v>1</v>
      </c>
    </row>
    <row r="641" spans="1:15">
      <c r="A641" s="1">
        <f t="shared" si="9"/>
        <v>33.200000000000003</v>
      </c>
      <c r="B641" s="38">
        <v>33</v>
      </c>
      <c r="C641" s="39">
        <v>20</v>
      </c>
      <c r="D641" s="39">
        <v>1</v>
      </c>
      <c r="E641" s="39">
        <v>1.05</v>
      </c>
      <c r="F641" s="39">
        <v>1.1200000000000001</v>
      </c>
      <c r="G641" s="39">
        <v>1.2</v>
      </c>
      <c r="H641" s="39">
        <v>1.25</v>
      </c>
      <c r="I641" s="39">
        <v>1.24</v>
      </c>
      <c r="J641" s="39">
        <v>1.2</v>
      </c>
      <c r="K641" s="39">
        <v>1.1599999999999999</v>
      </c>
      <c r="L641" s="39">
        <v>1.1000000000000001</v>
      </c>
      <c r="M641" s="39">
        <v>1.04</v>
      </c>
      <c r="N641" s="39">
        <v>1</v>
      </c>
      <c r="O641" s="39">
        <v>0.98</v>
      </c>
    </row>
    <row r="642" spans="1:15">
      <c r="A642" s="1">
        <f t="shared" si="9"/>
        <v>33.25</v>
      </c>
      <c r="B642" s="38">
        <v>33</v>
      </c>
      <c r="C642" s="39">
        <v>25</v>
      </c>
      <c r="D642" s="39">
        <v>0.98</v>
      </c>
      <c r="E642" s="39">
        <v>1.04</v>
      </c>
      <c r="F642" s="39">
        <v>1.1299999999999999</v>
      </c>
      <c r="G642" s="39">
        <v>1.23</v>
      </c>
      <c r="H642" s="39">
        <v>1.3</v>
      </c>
      <c r="I642" s="39">
        <v>1.29</v>
      </c>
      <c r="J642" s="39">
        <v>1.24</v>
      </c>
      <c r="K642" s="39">
        <v>1.18</v>
      </c>
      <c r="L642" s="39">
        <v>1.1100000000000001</v>
      </c>
      <c r="M642" s="39">
        <v>1.03</v>
      </c>
      <c r="N642" s="39">
        <v>0.98</v>
      </c>
      <c r="O642" s="39">
        <v>0.96</v>
      </c>
    </row>
    <row r="643" spans="1:15">
      <c r="A643" s="1">
        <f t="shared" si="9"/>
        <v>33.299999999999997</v>
      </c>
      <c r="B643" s="38">
        <v>33</v>
      </c>
      <c r="C643" s="39">
        <v>30</v>
      </c>
      <c r="D643" s="39">
        <v>0.95</v>
      </c>
      <c r="E643" s="39">
        <v>1.03</v>
      </c>
      <c r="F643" s="39">
        <v>1.1399999999999999</v>
      </c>
      <c r="G643" s="39">
        <v>1.25</v>
      </c>
      <c r="H643" s="39">
        <v>1.33</v>
      </c>
      <c r="I643" s="39">
        <v>1.32</v>
      </c>
      <c r="J643" s="39">
        <v>1.26</v>
      </c>
      <c r="K643" s="39">
        <v>1.2</v>
      </c>
      <c r="L643" s="39">
        <v>1.1100000000000001</v>
      </c>
      <c r="M643" s="39">
        <v>1.02</v>
      </c>
      <c r="N643" s="39">
        <v>0.95</v>
      </c>
      <c r="O643" s="39">
        <v>0.93</v>
      </c>
    </row>
    <row r="644" spans="1:15">
      <c r="A644" s="1">
        <f t="shared" si="9"/>
        <v>33.35</v>
      </c>
      <c r="B644" s="38">
        <v>33</v>
      </c>
      <c r="C644" s="39">
        <v>35</v>
      </c>
      <c r="D644" s="39">
        <v>0.92</v>
      </c>
      <c r="E644" s="39">
        <v>1.01</v>
      </c>
      <c r="F644" s="39">
        <v>1.1299999999999999</v>
      </c>
      <c r="G644" s="39">
        <v>1.27</v>
      </c>
      <c r="H644" s="39">
        <v>1.36</v>
      </c>
      <c r="I644" s="39">
        <v>1.35</v>
      </c>
      <c r="J644" s="39">
        <v>1.28</v>
      </c>
      <c r="K644" s="39">
        <v>1.2</v>
      </c>
      <c r="L644" s="39">
        <v>1.1000000000000001</v>
      </c>
      <c r="M644" s="39">
        <v>1</v>
      </c>
      <c r="N644" s="39">
        <v>0.92</v>
      </c>
      <c r="O644" s="39">
        <v>0.89</v>
      </c>
    </row>
    <row r="645" spans="1:15">
      <c r="A645" s="1">
        <f t="shared" si="9"/>
        <v>33.4</v>
      </c>
      <c r="B645" s="38">
        <v>33</v>
      </c>
      <c r="C645" s="39">
        <v>40</v>
      </c>
      <c r="D645" s="39">
        <v>0.88</v>
      </c>
      <c r="E645" s="39">
        <v>0.98</v>
      </c>
      <c r="F645" s="39">
        <v>1.1200000000000001</v>
      </c>
      <c r="G645" s="39">
        <v>1.27</v>
      </c>
      <c r="H645" s="39">
        <v>1.38</v>
      </c>
      <c r="I645" s="39">
        <v>1.37</v>
      </c>
      <c r="J645" s="39">
        <v>1.29</v>
      </c>
      <c r="K645" s="39">
        <v>1.2</v>
      </c>
      <c r="L645" s="39">
        <v>1.0900000000000001</v>
      </c>
      <c r="M645" s="39">
        <v>0.97</v>
      </c>
      <c r="N645" s="39">
        <v>0.88</v>
      </c>
      <c r="O645" s="39">
        <v>0.85</v>
      </c>
    </row>
    <row r="646" spans="1:15">
      <c r="A646" s="1">
        <f t="shared" si="9"/>
        <v>33.450000000000003</v>
      </c>
      <c r="B646" s="38">
        <v>33</v>
      </c>
      <c r="C646" s="39">
        <v>45</v>
      </c>
      <c r="D646" s="39">
        <v>0.84</v>
      </c>
      <c r="E646" s="39">
        <v>0.94</v>
      </c>
      <c r="F646" s="39">
        <v>1.1000000000000001</v>
      </c>
      <c r="G646" s="39">
        <v>1.27</v>
      </c>
      <c r="H646" s="39">
        <v>1.39</v>
      </c>
      <c r="I646" s="39">
        <v>1.38</v>
      </c>
      <c r="J646" s="39">
        <v>1.3</v>
      </c>
      <c r="K646" s="39">
        <v>1.2</v>
      </c>
      <c r="L646" s="39">
        <v>1.07</v>
      </c>
      <c r="M646" s="39">
        <v>0.94</v>
      </c>
      <c r="N646" s="39">
        <v>0.84</v>
      </c>
      <c r="O646" s="39">
        <v>0.8</v>
      </c>
    </row>
    <row r="647" spans="1:15">
      <c r="A647" s="1">
        <f t="shared" si="9"/>
        <v>33.5</v>
      </c>
      <c r="B647" s="38">
        <v>33</v>
      </c>
      <c r="C647" s="39">
        <v>50</v>
      </c>
      <c r="D647" s="39">
        <v>0.79</v>
      </c>
      <c r="E647" s="39">
        <v>0.9</v>
      </c>
      <c r="F647" s="39">
        <v>1.07</v>
      </c>
      <c r="G647" s="39">
        <v>1.26</v>
      </c>
      <c r="H647" s="39">
        <v>1.39</v>
      </c>
      <c r="I647" s="39">
        <v>1.38</v>
      </c>
      <c r="J647" s="39">
        <v>1.29</v>
      </c>
      <c r="K647" s="39">
        <v>1.18</v>
      </c>
      <c r="L647" s="39">
        <v>1.04</v>
      </c>
      <c r="M647" s="39">
        <v>0.9</v>
      </c>
      <c r="N647" s="39">
        <v>0.79</v>
      </c>
      <c r="O647" s="39">
        <v>0.75</v>
      </c>
    </row>
    <row r="648" spans="1:15">
      <c r="A648" s="1">
        <f t="shared" si="9"/>
        <v>33.549999999999997</v>
      </c>
      <c r="B648" s="38">
        <v>33</v>
      </c>
      <c r="C648" s="39">
        <v>55</v>
      </c>
      <c r="D648" s="39">
        <v>0.73</v>
      </c>
      <c r="E648" s="39">
        <v>0.85</v>
      </c>
      <c r="F648" s="39">
        <v>1.04</v>
      </c>
      <c r="G648" s="39">
        <v>1.24</v>
      </c>
      <c r="H648" s="39">
        <v>1.38</v>
      </c>
      <c r="I648" s="39">
        <v>1.37</v>
      </c>
      <c r="J648" s="39">
        <v>1.28</v>
      </c>
      <c r="K648" s="39">
        <v>1.1599999999999999</v>
      </c>
      <c r="L648" s="39">
        <v>1.01</v>
      </c>
      <c r="M648" s="39">
        <v>0.85</v>
      </c>
      <c r="N648" s="39">
        <v>0.74</v>
      </c>
      <c r="O648" s="39">
        <v>0.69</v>
      </c>
    </row>
    <row r="649" spans="1:15">
      <c r="A649" s="1">
        <f t="shared" si="9"/>
        <v>33.6</v>
      </c>
      <c r="B649" s="38">
        <v>33</v>
      </c>
      <c r="C649" s="39">
        <v>60</v>
      </c>
      <c r="D649" s="39">
        <v>0.67</v>
      </c>
      <c r="E649" s="39">
        <v>0.8</v>
      </c>
      <c r="F649" s="39">
        <v>1</v>
      </c>
      <c r="G649" s="39">
        <v>1.21</v>
      </c>
      <c r="H649" s="39">
        <v>1.36</v>
      </c>
      <c r="I649" s="39">
        <v>1.36</v>
      </c>
      <c r="J649" s="39">
        <v>1.26</v>
      </c>
      <c r="K649" s="39">
        <v>1.1299999999999999</v>
      </c>
      <c r="L649" s="39">
        <v>0.96</v>
      </c>
      <c r="M649" s="39">
        <v>0.8</v>
      </c>
      <c r="N649" s="39">
        <v>0.68</v>
      </c>
      <c r="O649" s="39">
        <v>0.63</v>
      </c>
    </row>
    <row r="650" spans="1:15">
      <c r="A650" s="1">
        <f t="shared" ref="A650:A713" si="10">B650+C650/100</f>
        <v>33.65</v>
      </c>
      <c r="B650" s="38">
        <v>33</v>
      </c>
      <c r="C650" s="39">
        <v>65</v>
      </c>
      <c r="D650" s="39">
        <v>0.61</v>
      </c>
      <c r="E650" s="39">
        <v>0.74</v>
      </c>
      <c r="F650" s="39">
        <v>0.95</v>
      </c>
      <c r="G650" s="39">
        <v>1.18</v>
      </c>
      <c r="H650" s="39">
        <v>1.33</v>
      </c>
      <c r="I650" s="39">
        <v>1.33</v>
      </c>
      <c r="J650" s="39">
        <v>1.23</v>
      </c>
      <c r="K650" s="39">
        <v>1.0900000000000001</v>
      </c>
      <c r="L650" s="39">
        <v>0.92</v>
      </c>
      <c r="M650" s="39">
        <v>0.74</v>
      </c>
      <c r="N650" s="39">
        <v>0.61</v>
      </c>
      <c r="O650" s="39">
        <v>0.56000000000000005</v>
      </c>
    </row>
    <row r="651" spans="1:15">
      <c r="A651" s="1">
        <f t="shared" si="10"/>
        <v>33.700000000000003</v>
      </c>
      <c r="B651" s="38">
        <v>33</v>
      </c>
      <c r="C651" s="39">
        <v>70</v>
      </c>
      <c r="D651" s="39">
        <v>0.54</v>
      </c>
      <c r="E651" s="39">
        <v>0.68</v>
      </c>
      <c r="F651" s="39">
        <v>0.89</v>
      </c>
      <c r="G651" s="39">
        <v>1.1299999999999999</v>
      </c>
      <c r="H651" s="39">
        <v>1.3</v>
      </c>
      <c r="I651" s="39">
        <v>1.3</v>
      </c>
      <c r="J651" s="39">
        <v>1.19</v>
      </c>
      <c r="K651" s="39">
        <v>1.05</v>
      </c>
      <c r="L651" s="39">
        <v>0.86</v>
      </c>
      <c r="M651" s="39">
        <v>0.68</v>
      </c>
      <c r="N651" s="39">
        <v>0.54</v>
      </c>
      <c r="O651" s="39">
        <v>0.49</v>
      </c>
    </row>
    <row r="652" spans="1:15">
      <c r="A652" s="1">
        <f t="shared" si="10"/>
        <v>33.75</v>
      </c>
      <c r="B652" s="38">
        <v>33</v>
      </c>
      <c r="C652" s="39">
        <v>75</v>
      </c>
      <c r="D652" s="39">
        <v>0.47</v>
      </c>
      <c r="E652" s="39">
        <v>0.61</v>
      </c>
      <c r="F652" s="39">
        <v>0.83</v>
      </c>
      <c r="G652" s="39">
        <v>1.08</v>
      </c>
      <c r="H652" s="39">
        <v>1.25</v>
      </c>
      <c r="I652" s="39">
        <v>1.26</v>
      </c>
      <c r="J652" s="39">
        <v>1.1499999999999999</v>
      </c>
      <c r="K652" s="39">
        <v>1</v>
      </c>
      <c r="L652" s="39">
        <v>0.81</v>
      </c>
      <c r="M652" s="39">
        <v>0.61</v>
      </c>
      <c r="N652" s="39">
        <v>0.47</v>
      </c>
      <c r="O652" s="39">
        <v>0.42</v>
      </c>
    </row>
    <row r="653" spans="1:15">
      <c r="A653" s="1">
        <f t="shared" si="10"/>
        <v>33.799999999999997</v>
      </c>
      <c r="B653" s="38">
        <v>33</v>
      </c>
      <c r="C653" s="39">
        <v>80</v>
      </c>
      <c r="D653" s="39">
        <v>0.39</v>
      </c>
      <c r="E653" s="39">
        <v>0.54</v>
      </c>
      <c r="F653" s="39">
        <v>0.76</v>
      </c>
      <c r="G653" s="41">
        <v>1032</v>
      </c>
      <c r="H653" s="39">
        <v>1.2</v>
      </c>
      <c r="I653" s="39">
        <v>1.21</v>
      </c>
      <c r="J653" s="39">
        <v>1.1000000000000001</v>
      </c>
      <c r="K653" s="39">
        <v>0.94</v>
      </c>
      <c r="L653" s="39">
        <v>0.74</v>
      </c>
      <c r="M653" s="39">
        <v>0.54</v>
      </c>
      <c r="N653" s="39">
        <v>0.4</v>
      </c>
      <c r="O653" s="39">
        <v>0.34</v>
      </c>
    </row>
    <row r="654" spans="1:15">
      <c r="A654" s="1">
        <f t="shared" si="10"/>
        <v>33.85</v>
      </c>
      <c r="B654" s="38">
        <v>33</v>
      </c>
      <c r="C654" s="39">
        <v>85</v>
      </c>
      <c r="D654" s="39">
        <v>0.31</v>
      </c>
      <c r="E654" s="39">
        <v>0.46</v>
      </c>
      <c r="F654" s="39">
        <v>0.69</v>
      </c>
      <c r="G654" s="39">
        <v>0.95</v>
      </c>
      <c r="H654" s="39">
        <v>1.1399999999999999</v>
      </c>
      <c r="I654" s="39">
        <v>1.1599999999999999</v>
      </c>
      <c r="J654" s="39">
        <v>1.04</v>
      </c>
      <c r="K654" s="39">
        <v>0.88</v>
      </c>
      <c r="L654" s="39">
        <v>0.67</v>
      </c>
      <c r="M654" s="39">
        <v>0.47</v>
      </c>
      <c r="N654" s="39">
        <v>0.32</v>
      </c>
      <c r="O654" s="39">
        <v>0.26</v>
      </c>
    </row>
    <row r="655" spans="1:15">
      <c r="A655" s="1">
        <f t="shared" si="10"/>
        <v>33.9</v>
      </c>
      <c r="B655" s="38">
        <v>33</v>
      </c>
      <c r="C655" s="39">
        <v>90</v>
      </c>
      <c r="D655" s="39">
        <v>0.23</v>
      </c>
      <c r="E655" s="39">
        <v>0.39</v>
      </c>
      <c r="F655" s="39">
        <v>0.62</v>
      </c>
      <c r="G655" s="39">
        <v>0.88</v>
      </c>
      <c r="H655" s="39">
        <v>1.08</v>
      </c>
      <c r="I655" s="39">
        <v>1.0900000000000001</v>
      </c>
      <c r="J655" s="39">
        <v>0.98</v>
      </c>
      <c r="K655" s="39">
        <v>0.81</v>
      </c>
      <c r="L655" s="39">
        <v>0.6</v>
      </c>
      <c r="M655" s="39">
        <v>0.39</v>
      </c>
      <c r="N655" s="39">
        <v>0.24</v>
      </c>
      <c r="O655" s="39">
        <v>0.18</v>
      </c>
    </row>
    <row r="656" spans="1:15">
      <c r="A656" s="1">
        <f t="shared" si="10"/>
        <v>34</v>
      </c>
      <c r="B656" s="38">
        <v>34</v>
      </c>
      <c r="C656" s="39">
        <v>0</v>
      </c>
      <c r="D656" s="39">
        <v>1</v>
      </c>
      <c r="E656" s="39">
        <v>1</v>
      </c>
      <c r="F656" s="39">
        <v>1</v>
      </c>
      <c r="G656" s="39">
        <v>1</v>
      </c>
      <c r="H656" s="39">
        <v>1</v>
      </c>
      <c r="I656" s="39">
        <v>1</v>
      </c>
      <c r="J656" s="39">
        <v>1</v>
      </c>
      <c r="K656" s="39">
        <v>1</v>
      </c>
      <c r="L656" s="39">
        <v>1</v>
      </c>
      <c r="M656" s="39">
        <v>1</v>
      </c>
      <c r="N656" s="39">
        <v>1</v>
      </c>
      <c r="O656" s="39">
        <v>1</v>
      </c>
    </row>
    <row r="657" spans="1:15">
      <c r="A657" s="1">
        <f t="shared" si="10"/>
        <v>34.049999999999997</v>
      </c>
      <c r="B657" s="38">
        <v>34</v>
      </c>
      <c r="C657" s="39">
        <v>5</v>
      </c>
      <c r="D657" s="39">
        <v>1.01</v>
      </c>
      <c r="E657" s="39">
        <v>1.02</v>
      </c>
      <c r="F657" s="39">
        <v>1.04</v>
      </c>
      <c r="G657" s="39">
        <v>1.06</v>
      </c>
      <c r="H657" s="39">
        <v>1.07</v>
      </c>
      <c r="I657" s="39">
        <v>1.07</v>
      </c>
      <c r="J657" s="39">
        <v>1.06</v>
      </c>
      <c r="K657" s="39">
        <v>1.05</v>
      </c>
      <c r="L657" s="39">
        <v>1.03</v>
      </c>
      <c r="M657" s="39">
        <v>1.02</v>
      </c>
      <c r="N657" s="39">
        <v>1.01</v>
      </c>
      <c r="O657" s="39">
        <v>1</v>
      </c>
    </row>
    <row r="658" spans="1:15">
      <c r="A658" s="1">
        <f t="shared" si="10"/>
        <v>34.1</v>
      </c>
      <c r="B658" s="38">
        <v>34</v>
      </c>
      <c r="C658" s="39">
        <v>10</v>
      </c>
      <c r="D658" s="39">
        <v>1.01</v>
      </c>
      <c r="E658" s="39">
        <v>1.04</v>
      </c>
      <c r="F658" s="39">
        <v>1.07</v>
      </c>
      <c r="G658" s="39">
        <v>1.1100000000000001</v>
      </c>
      <c r="H658" s="39">
        <v>1.1399999999999999</v>
      </c>
      <c r="I658" s="39">
        <v>1.1299999999999999</v>
      </c>
      <c r="J658" s="39">
        <v>1.1100000000000001</v>
      </c>
      <c r="K658" s="39">
        <v>1.0900000000000001</v>
      </c>
      <c r="L658" s="39">
        <v>1.06</v>
      </c>
      <c r="M658" s="39">
        <v>1.03</v>
      </c>
      <c r="N658" s="39">
        <v>1.01</v>
      </c>
      <c r="O658" s="39">
        <v>1</v>
      </c>
    </row>
    <row r="659" spans="1:15">
      <c r="A659" s="1">
        <f t="shared" si="10"/>
        <v>34.15</v>
      </c>
      <c r="B659" s="38">
        <v>34</v>
      </c>
      <c r="C659" s="39">
        <v>15</v>
      </c>
      <c r="D659" s="39">
        <v>1</v>
      </c>
      <c r="E659" s="39">
        <v>1.04</v>
      </c>
      <c r="F659" s="39">
        <v>1.1000000000000001</v>
      </c>
      <c r="G659" s="39">
        <v>1.1599999999999999</v>
      </c>
      <c r="H659" s="39">
        <v>1.19</v>
      </c>
      <c r="I659" s="39">
        <v>1.19</v>
      </c>
      <c r="J659" s="39">
        <v>1.1599999999999999</v>
      </c>
      <c r="K659" s="39">
        <v>1.1200000000000001</v>
      </c>
      <c r="L659" s="39">
        <v>1.08</v>
      </c>
      <c r="M659" s="39">
        <v>1.04</v>
      </c>
      <c r="N659" s="39">
        <v>1</v>
      </c>
      <c r="O659" s="39">
        <v>0.99</v>
      </c>
    </row>
    <row r="660" spans="1:15">
      <c r="A660" s="1">
        <f t="shared" si="10"/>
        <v>34.200000000000003</v>
      </c>
      <c r="B660" s="38">
        <v>34</v>
      </c>
      <c r="C660" s="39">
        <v>20</v>
      </c>
      <c r="D660" s="39">
        <v>0.99</v>
      </c>
      <c r="E660" s="39">
        <v>1.04</v>
      </c>
      <c r="F660" s="39">
        <v>1.1100000000000001</v>
      </c>
      <c r="G660" s="39">
        <v>1.19</v>
      </c>
      <c r="H660" s="39">
        <v>1.24</v>
      </c>
      <c r="I660" s="39">
        <v>1.24</v>
      </c>
      <c r="J660" s="39">
        <v>1.2</v>
      </c>
      <c r="K660" s="39">
        <v>1.1499999999999999</v>
      </c>
      <c r="L660" s="39">
        <v>1.1000000000000001</v>
      </c>
      <c r="M660" s="39">
        <v>1.04</v>
      </c>
      <c r="N660" s="39">
        <v>0.99</v>
      </c>
      <c r="O660" s="39">
        <v>0.97</v>
      </c>
    </row>
    <row r="661" spans="1:15">
      <c r="A661" s="1">
        <f t="shared" si="10"/>
        <v>34.25</v>
      </c>
      <c r="B661" s="38">
        <v>34</v>
      </c>
      <c r="C661" s="39">
        <v>25</v>
      </c>
      <c r="D661" s="39">
        <v>0.97</v>
      </c>
      <c r="E661" s="39">
        <v>1.03</v>
      </c>
      <c r="F661" s="39">
        <v>1.1200000000000001</v>
      </c>
      <c r="G661" s="39">
        <v>1.22</v>
      </c>
      <c r="H661" s="39">
        <v>1.29</v>
      </c>
      <c r="I661" s="39">
        <v>1.28</v>
      </c>
      <c r="J661" s="39">
        <v>1.3</v>
      </c>
      <c r="K661" s="39">
        <v>1.17</v>
      </c>
      <c r="L661" s="39">
        <v>1.1000000000000001</v>
      </c>
      <c r="M661" s="39">
        <v>1.03</v>
      </c>
      <c r="N661" s="39">
        <v>0.97</v>
      </c>
      <c r="O661" s="39">
        <v>0.95</v>
      </c>
    </row>
    <row r="662" spans="1:15">
      <c r="A662" s="1">
        <f t="shared" si="10"/>
        <v>34.299999999999997</v>
      </c>
      <c r="B662" s="38">
        <v>34</v>
      </c>
      <c r="C662" s="39">
        <v>30</v>
      </c>
      <c r="D662" s="39">
        <v>0.95</v>
      </c>
      <c r="E662" s="39">
        <v>1.02</v>
      </c>
      <c r="F662" s="39">
        <v>1.1299999999999999</v>
      </c>
      <c r="G662" s="39">
        <v>1.24</v>
      </c>
      <c r="H662" s="39">
        <v>1.32</v>
      </c>
      <c r="I662" s="39">
        <v>1.31</v>
      </c>
      <c r="J662" s="39">
        <v>1.26</v>
      </c>
      <c r="K662" s="39">
        <v>1.19</v>
      </c>
      <c r="L662" s="39">
        <v>1.1000000000000001</v>
      </c>
      <c r="M662" s="39">
        <v>1.01</v>
      </c>
      <c r="N662" s="39">
        <v>0.95</v>
      </c>
      <c r="O662" s="39">
        <v>0.92</v>
      </c>
    </row>
    <row r="663" spans="1:15">
      <c r="A663" s="1">
        <f t="shared" si="10"/>
        <v>34.35</v>
      </c>
      <c r="B663" s="38">
        <v>34</v>
      </c>
      <c r="C663" s="39">
        <v>35</v>
      </c>
      <c r="D663" s="39">
        <v>0.91</v>
      </c>
      <c r="E663" s="39">
        <v>1</v>
      </c>
      <c r="F663" s="39">
        <v>1.1200000000000001</v>
      </c>
      <c r="G663" s="39">
        <v>1.26</v>
      </c>
      <c r="H663" s="39">
        <v>1.34</v>
      </c>
      <c r="I663" s="39">
        <v>1.34</v>
      </c>
      <c r="J663" s="39">
        <v>1.27</v>
      </c>
      <c r="K663" s="39">
        <v>1.19</v>
      </c>
      <c r="L663" s="39">
        <v>1.0900000000000001</v>
      </c>
      <c r="M663" s="39">
        <v>0.99</v>
      </c>
      <c r="N663" s="39">
        <v>0.91</v>
      </c>
      <c r="O663" s="39">
        <v>0.88</v>
      </c>
    </row>
    <row r="664" spans="1:15">
      <c r="A664" s="1">
        <f t="shared" si="10"/>
        <v>34.4</v>
      </c>
      <c r="B664" s="38">
        <v>34</v>
      </c>
      <c r="C664" s="39">
        <v>40</v>
      </c>
      <c r="D664" s="39">
        <v>0.87</v>
      </c>
      <c r="E664" s="39">
        <v>0.97</v>
      </c>
      <c r="F664" s="39">
        <v>1.1100000000000001</v>
      </c>
      <c r="G664" s="39">
        <v>1.26</v>
      </c>
      <c r="H664" s="39">
        <v>1.36</v>
      </c>
      <c r="I664" s="39">
        <v>1.35</v>
      </c>
      <c r="J664" s="39">
        <v>1.28</v>
      </c>
      <c r="K664" s="39">
        <v>1.19</v>
      </c>
      <c r="L664" s="39">
        <v>1.08</v>
      </c>
      <c r="M664" s="39">
        <v>0.96</v>
      </c>
      <c r="N664" s="39">
        <v>0.87</v>
      </c>
      <c r="O664" s="39">
        <v>0.84</v>
      </c>
    </row>
    <row r="665" spans="1:15">
      <c r="A665" s="1">
        <f t="shared" si="10"/>
        <v>34.450000000000003</v>
      </c>
      <c r="B665" s="38">
        <v>34</v>
      </c>
      <c r="C665" s="39">
        <v>45</v>
      </c>
      <c r="D665" s="39">
        <v>0.83</v>
      </c>
      <c r="E665" s="39">
        <v>0.93</v>
      </c>
      <c r="F665" s="39">
        <v>1.0900000000000001</v>
      </c>
      <c r="G665" s="39">
        <v>1.26</v>
      </c>
      <c r="H665" s="39">
        <v>1.37</v>
      </c>
      <c r="I665" s="39">
        <v>1.36</v>
      </c>
      <c r="J665" s="39">
        <v>1.28</v>
      </c>
      <c r="K665" s="39">
        <v>1.18</v>
      </c>
      <c r="L665" s="39">
        <v>1.06</v>
      </c>
      <c r="M665" s="39">
        <v>0.93</v>
      </c>
      <c r="N665" s="39">
        <v>0.83</v>
      </c>
      <c r="O665" s="39">
        <v>0.79</v>
      </c>
    </row>
    <row r="666" spans="1:15">
      <c r="A666" s="1">
        <f t="shared" si="10"/>
        <v>34.5</v>
      </c>
      <c r="B666" s="38">
        <v>34</v>
      </c>
      <c r="C666" s="39">
        <v>50</v>
      </c>
      <c r="D666" s="39">
        <v>0.78</v>
      </c>
      <c r="E666" s="39">
        <v>0.89</v>
      </c>
      <c r="F666" s="39">
        <v>1.06</v>
      </c>
      <c r="G666" s="39">
        <v>1.24</v>
      </c>
      <c r="H666" s="39">
        <v>1.37</v>
      </c>
      <c r="I666" s="39">
        <v>1.36</v>
      </c>
      <c r="J666" s="39">
        <v>1.28</v>
      </c>
      <c r="K666" s="39">
        <v>1.17</v>
      </c>
      <c r="L666" s="39">
        <v>1.03</v>
      </c>
      <c r="M666" s="39">
        <v>0.88</v>
      </c>
      <c r="N666" s="39">
        <v>0.78</v>
      </c>
      <c r="O666" s="39">
        <v>0.74</v>
      </c>
    </row>
    <row r="667" spans="1:15">
      <c r="A667" s="1">
        <f t="shared" si="10"/>
        <v>34.549999999999997</v>
      </c>
      <c r="B667" s="38">
        <v>34</v>
      </c>
      <c r="C667" s="39">
        <v>55</v>
      </c>
      <c r="D667" s="39">
        <v>0.72</v>
      </c>
      <c r="E667" s="39">
        <v>0.84</v>
      </c>
      <c r="F667" s="39">
        <v>1.02</v>
      </c>
      <c r="G667" s="39">
        <v>1.22</v>
      </c>
      <c r="H667" s="39">
        <v>1.36</v>
      </c>
      <c r="I667" s="39">
        <v>1.35</v>
      </c>
      <c r="J667" s="39">
        <v>1.26</v>
      </c>
      <c r="K667" s="39">
        <v>1.1399999999999999</v>
      </c>
      <c r="L667" s="39">
        <v>0.99</v>
      </c>
      <c r="M667" s="39">
        <v>0.84</v>
      </c>
      <c r="N667" s="39">
        <v>0.72</v>
      </c>
      <c r="O667" s="39">
        <v>0.68</v>
      </c>
    </row>
    <row r="668" spans="1:15">
      <c r="A668" s="1">
        <f t="shared" si="10"/>
        <v>34.6</v>
      </c>
      <c r="B668" s="38">
        <v>34</v>
      </c>
      <c r="C668" s="39">
        <v>60</v>
      </c>
      <c r="D668" s="39">
        <v>0.66</v>
      </c>
      <c r="E668" s="39">
        <v>0.79</v>
      </c>
      <c r="F668" s="39">
        <v>0.98</v>
      </c>
      <c r="G668" s="39">
        <v>1.19</v>
      </c>
      <c r="H668" s="39">
        <v>1.34</v>
      </c>
      <c r="I668" s="39">
        <v>1.34</v>
      </c>
      <c r="J668" s="39">
        <v>1.24</v>
      </c>
      <c r="K668" s="39">
        <v>1.1100000000000001</v>
      </c>
      <c r="L668" s="39">
        <v>0.95</v>
      </c>
      <c r="M668" s="39">
        <v>0.78</v>
      </c>
      <c r="N668" s="39">
        <v>0.66</v>
      </c>
      <c r="O668" s="39">
        <v>0.62</v>
      </c>
    </row>
    <row r="669" spans="1:15">
      <c r="A669" s="1">
        <f t="shared" si="10"/>
        <v>34.65</v>
      </c>
      <c r="B669" s="38">
        <v>34</v>
      </c>
      <c r="C669" s="39">
        <v>65</v>
      </c>
      <c r="D669" s="39">
        <v>0.59</v>
      </c>
      <c r="E669" s="39">
        <v>0.73</v>
      </c>
      <c r="F669" s="39">
        <v>0.93</v>
      </c>
      <c r="G669" s="39">
        <v>1.1499999999999999</v>
      </c>
      <c r="H669" s="39">
        <v>1.31</v>
      </c>
      <c r="I669" s="39">
        <v>1.31</v>
      </c>
      <c r="J669" s="39">
        <v>1.21</v>
      </c>
      <c r="K669" s="39">
        <v>1.07</v>
      </c>
      <c r="L669" s="39">
        <v>0.9</v>
      </c>
      <c r="M669" s="39">
        <v>0.73</v>
      </c>
      <c r="N669" s="39">
        <v>0.6</v>
      </c>
      <c r="O669" s="39">
        <v>0.55000000000000004</v>
      </c>
    </row>
    <row r="670" spans="1:15">
      <c r="A670" s="1">
        <f t="shared" si="10"/>
        <v>34.700000000000003</v>
      </c>
      <c r="B670" s="38">
        <v>34</v>
      </c>
      <c r="C670" s="39">
        <v>70</v>
      </c>
      <c r="D670" s="39">
        <v>0.53</v>
      </c>
      <c r="E670" s="39">
        <v>0.66</v>
      </c>
      <c r="F670" s="39">
        <v>0.87</v>
      </c>
      <c r="G670" s="39">
        <v>1.1100000000000001</v>
      </c>
      <c r="H670" s="39">
        <v>1.27</v>
      </c>
      <c r="I670" s="39">
        <v>1.28</v>
      </c>
      <c r="J670" s="39">
        <v>1.17</v>
      </c>
      <c r="K670" s="39">
        <v>1.03</v>
      </c>
      <c r="L670" s="39">
        <v>0.85</v>
      </c>
      <c r="M670" s="39">
        <v>0.66</v>
      </c>
      <c r="N670" s="39">
        <v>0.53</v>
      </c>
      <c r="O670" s="39">
        <v>0.48</v>
      </c>
    </row>
    <row r="671" spans="1:15">
      <c r="A671" s="1">
        <f t="shared" si="10"/>
        <v>34.75</v>
      </c>
      <c r="B671" s="38">
        <v>34</v>
      </c>
      <c r="C671" s="39">
        <v>75</v>
      </c>
      <c r="D671" s="39">
        <v>0.45</v>
      </c>
      <c r="E671" s="39">
        <v>0.6</v>
      </c>
      <c r="F671" s="39" t="s">
        <v>692</v>
      </c>
      <c r="G671" s="39">
        <v>1.06</v>
      </c>
      <c r="H671" s="39">
        <v>1.23</v>
      </c>
      <c r="I671" s="39">
        <v>1.24</v>
      </c>
      <c r="J671" s="39">
        <v>1.1299999999999999</v>
      </c>
      <c r="K671" s="39">
        <v>0.98</v>
      </c>
      <c r="L671" s="39">
        <v>0.79</v>
      </c>
      <c r="M671" s="39">
        <v>0.6</v>
      </c>
      <c r="N671" s="39">
        <v>0.46</v>
      </c>
      <c r="O671" s="39">
        <v>0.4</v>
      </c>
    </row>
    <row r="672" spans="1:15">
      <c r="A672" s="1">
        <f t="shared" si="10"/>
        <v>34.799999999999997</v>
      </c>
      <c r="B672" s="38">
        <v>34</v>
      </c>
      <c r="C672" s="39">
        <v>80</v>
      </c>
      <c r="D672" s="39">
        <v>0.38</v>
      </c>
      <c r="E672" s="39">
        <v>0.52</v>
      </c>
      <c r="F672" s="39">
        <v>0.75</v>
      </c>
      <c r="G672" s="39">
        <v>1</v>
      </c>
      <c r="H672" s="39">
        <v>1.18</v>
      </c>
      <c r="I672" s="39">
        <v>1.19</v>
      </c>
      <c r="J672" s="39">
        <v>1.08</v>
      </c>
      <c r="K672" s="39">
        <v>0.92</v>
      </c>
      <c r="L672" s="39">
        <v>0.73</v>
      </c>
      <c r="M672" s="39">
        <v>0.53</v>
      </c>
      <c r="N672" s="39">
        <v>0.38</v>
      </c>
      <c r="O672" s="39">
        <v>0.33</v>
      </c>
    </row>
    <row r="673" spans="1:15">
      <c r="A673" s="1">
        <f t="shared" si="10"/>
        <v>34.85</v>
      </c>
      <c r="B673" s="38">
        <v>34</v>
      </c>
      <c r="C673" s="39">
        <v>85</v>
      </c>
      <c r="D673" s="39">
        <v>0.3</v>
      </c>
      <c r="E673" s="39">
        <v>0.45</v>
      </c>
      <c r="F673" s="39">
        <v>0.67</v>
      </c>
      <c r="G673" s="39">
        <v>0.93</v>
      </c>
      <c r="H673" s="39">
        <v>1.1200000000000001</v>
      </c>
      <c r="I673" s="39">
        <v>1.1299999999999999</v>
      </c>
      <c r="J673" s="39">
        <v>1.02</v>
      </c>
      <c r="K673" s="39">
        <v>0.86</v>
      </c>
      <c r="L673" s="39">
        <v>0.66</v>
      </c>
      <c r="M673" s="39">
        <v>0.45</v>
      </c>
      <c r="N673" s="39">
        <v>0.31</v>
      </c>
      <c r="O673" s="39">
        <v>0.25</v>
      </c>
    </row>
    <row r="674" spans="1:15">
      <c r="A674" s="1">
        <f t="shared" si="10"/>
        <v>34.9</v>
      </c>
      <c r="B674" s="38">
        <v>34</v>
      </c>
      <c r="C674" s="39">
        <v>90</v>
      </c>
      <c r="D674" s="39">
        <v>0.22</v>
      </c>
      <c r="E674" s="39">
        <v>0.37</v>
      </c>
      <c r="F674" s="39">
        <v>0.6</v>
      </c>
      <c r="G674" s="39">
        <v>0.86</v>
      </c>
      <c r="H674" s="39">
        <v>1.05</v>
      </c>
      <c r="I674" s="39">
        <v>1.07</v>
      </c>
      <c r="J674" s="39">
        <v>0.96</v>
      </c>
      <c r="K674" s="39">
        <v>0.79</v>
      </c>
      <c r="L674" s="39">
        <v>0.59</v>
      </c>
      <c r="M674" s="39">
        <v>0.38</v>
      </c>
      <c r="N674" s="39">
        <v>0.23</v>
      </c>
      <c r="O674" s="39">
        <v>0.17</v>
      </c>
    </row>
    <row r="675" spans="1:15">
      <c r="A675" s="1">
        <f t="shared" si="10"/>
        <v>35</v>
      </c>
      <c r="B675" s="38">
        <v>35</v>
      </c>
      <c r="C675" s="39">
        <v>0</v>
      </c>
      <c r="D675" s="39">
        <v>1</v>
      </c>
      <c r="E675" s="39">
        <v>1</v>
      </c>
      <c r="F675" s="39">
        <v>1</v>
      </c>
      <c r="G675" s="39">
        <v>1</v>
      </c>
      <c r="H675" s="39">
        <v>1</v>
      </c>
      <c r="I675" s="39">
        <v>1</v>
      </c>
      <c r="J675" s="39">
        <v>1</v>
      </c>
      <c r="K675" s="39">
        <v>1</v>
      </c>
      <c r="L675" s="39">
        <v>1</v>
      </c>
      <c r="M675" s="39">
        <v>1</v>
      </c>
      <c r="N675" s="39">
        <v>1</v>
      </c>
      <c r="O675" s="39">
        <v>1</v>
      </c>
    </row>
    <row r="676" spans="1:15">
      <c r="A676" s="1">
        <f t="shared" si="10"/>
        <v>35.049999999999997</v>
      </c>
      <c r="B676" s="38">
        <v>35</v>
      </c>
      <c r="C676" s="39">
        <v>5</v>
      </c>
      <c r="D676" s="39">
        <v>1.01</v>
      </c>
      <c r="E676" s="39">
        <v>1.03</v>
      </c>
      <c r="F676" s="39">
        <v>1.04</v>
      </c>
      <c r="G676" s="39">
        <v>1.06</v>
      </c>
      <c r="H676" s="39">
        <v>1.08</v>
      </c>
      <c r="I676" s="39">
        <v>1.07</v>
      </c>
      <c r="J676" s="39">
        <v>1.06</v>
      </c>
      <c r="K676" s="39">
        <v>1.05</v>
      </c>
      <c r="L676" s="39">
        <v>1.04</v>
      </c>
      <c r="M676" s="39">
        <v>1.02</v>
      </c>
      <c r="N676" s="39">
        <v>1.01</v>
      </c>
      <c r="O676" s="39">
        <v>1.01</v>
      </c>
    </row>
    <row r="677" spans="1:15">
      <c r="A677" s="1">
        <f t="shared" si="10"/>
        <v>35.1</v>
      </c>
      <c r="B677" s="38">
        <v>35</v>
      </c>
      <c r="C677" s="39">
        <v>10</v>
      </c>
      <c r="D677" s="39">
        <v>1.02</v>
      </c>
      <c r="E677" s="39">
        <v>1.04</v>
      </c>
      <c r="F677" s="39">
        <v>1.08</v>
      </c>
      <c r="G677" s="39">
        <v>1.1200000000000001</v>
      </c>
      <c r="H677" s="39">
        <v>1.1499999999999999</v>
      </c>
      <c r="I677" s="39">
        <v>1.1399999999999999</v>
      </c>
      <c r="J677" s="39">
        <v>1.1200000000000001</v>
      </c>
      <c r="K677" s="39">
        <v>1.1000000000000001</v>
      </c>
      <c r="L677" s="39">
        <v>1.07</v>
      </c>
      <c r="M677" s="39">
        <v>1.04</v>
      </c>
      <c r="N677" s="39">
        <v>1.02</v>
      </c>
      <c r="O677" s="39">
        <v>1.01</v>
      </c>
    </row>
    <row r="678" spans="1:15">
      <c r="A678" s="1">
        <f t="shared" si="10"/>
        <v>35.15</v>
      </c>
      <c r="B678" s="38">
        <v>35</v>
      </c>
      <c r="C678" s="39">
        <v>15</v>
      </c>
      <c r="D678" s="39">
        <v>1.02</v>
      </c>
      <c r="E678" s="39">
        <v>1.05</v>
      </c>
      <c r="F678" s="39">
        <v>1.1100000000000001</v>
      </c>
      <c r="G678" s="39">
        <v>1.17</v>
      </c>
      <c r="H678" s="39">
        <v>1.21</v>
      </c>
      <c r="I678" s="39">
        <v>1.21</v>
      </c>
      <c r="J678" s="39">
        <v>1.17</v>
      </c>
      <c r="K678" s="39">
        <v>1.1399999999999999</v>
      </c>
      <c r="L678" s="39">
        <v>1.0900000000000001</v>
      </c>
      <c r="M678" s="39">
        <v>1.05</v>
      </c>
      <c r="N678" s="39">
        <v>1.02</v>
      </c>
      <c r="O678" s="39">
        <v>1</v>
      </c>
    </row>
    <row r="679" spans="1:15">
      <c r="A679" s="1">
        <f t="shared" si="10"/>
        <v>35.200000000000003</v>
      </c>
      <c r="B679" s="38">
        <v>35</v>
      </c>
      <c r="C679" s="39">
        <v>20</v>
      </c>
      <c r="D679" s="39">
        <v>1.01</v>
      </c>
      <c r="E679" s="39">
        <v>1.06</v>
      </c>
      <c r="F679" s="39">
        <v>1.1299999999999999</v>
      </c>
      <c r="G679" s="39">
        <v>1.22</v>
      </c>
      <c r="H679" s="39">
        <v>1.27</v>
      </c>
      <c r="I679" s="39">
        <v>1.26</v>
      </c>
      <c r="J679" s="39">
        <v>1.22</v>
      </c>
      <c r="K679" s="39">
        <v>1.17</v>
      </c>
      <c r="L679" s="39">
        <v>1.1100000000000001</v>
      </c>
      <c r="M679" s="39">
        <v>1.05</v>
      </c>
      <c r="N679" s="39">
        <v>1.01</v>
      </c>
      <c r="O679" s="39">
        <v>0.99</v>
      </c>
    </row>
    <row r="680" spans="1:15">
      <c r="A680" s="1">
        <f t="shared" si="10"/>
        <v>35.25</v>
      </c>
      <c r="B680" s="38">
        <v>35</v>
      </c>
      <c r="C680" s="39">
        <v>25</v>
      </c>
      <c r="D680" s="39">
        <v>0.99</v>
      </c>
      <c r="E680" s="39">
        <v>1.05</v>
      </c>
      <c r="F680" s="39">
        <v>1.1499999999999999</v>
      </c>
      <c r="G680" s="39">
        <v>1.25</v>
      </c>
      <c r="H680" s="39">
        <v>1.32</v>
      </c>
      <c r="I680" s="39">
        <v>1.31</v>
      </c>
      <c r="J680" s="39">
        <v>1.25</v>
      </c>
      <c r="K680" s="39">
        <v>1.2</v>
      </c>
      <c r="L680" s="39">
        <v>1.1200000000000001</v>
      </c>
      <c r="M680" s="39">
        <v>1.05</v>
      </c>
      <c r="N680" s="39">
        <v>0.99</v>
      </c>
      <c r="O680" s="39">
        <v>0.97</v>
      </c>
    </row>
    <row r="681" spans="1:15">
      <c r="A681" s="1">
        <f t="shared" si="10"/>
        <v>35.299999999999997</v>
      </c>
      <c r="B681" s="38">
        <v>35</v>
      </c>
      <c r="C681" s="39">
        <v>30</v>
      </c>
      <c r="D681" s="39">
        <v>0.97</v>
      </c>
      <c r="E681" s="39">
        <v>1.04</v>
      </c>
      <c r="F681" s="39">
        <v>1.1499999999999999</v>
      </c>
      <c r="G681" s="39">
        <v>1.28</v>
      </c>
      <c r="H681" s="39">
        <v>1.36</v>
      </c>
      <c r="I681" s="39">
        <v>1.35</v>
      </c>
      <c r="J681" s="39">
        <v>1.28</v>
      </c>
      <c r="K681" s="39">
        <v>1.21</v>
      </c>
      <c r="L681" s="39">
        <v>1.1299999999999999</v>
      </c>
      <c r="M681" s="39">
        <v>1.04</v>
      </c>
      <c r="N681" s="39">
        <v>0.97</v>
      </c>
      <c r="O681" s="39">
        <v>0.94</v>
      </c>
    </row>
    <row r="682" spans="1:15">
      <c r="A682" s="1">
        <f t="shared" si="10"/>
        <v>35.35</v>
      </c>
      <c r="B682" s="38">
        <v>35</v>
      </c>
      <c r="C682" s="39">
        <v>35</v>
      </c>
      <c r="D682" s="39">
        <v>0.94</v>
      </c>
      <c r="E682" s="39">
        <v>1.02</v>
      </c>
      <c r="F682" s="39">
        <v>1.1499999999999999</v>
      </c>
      <c r="G682" s="39">
        <v>1.29</v>
      </c>
      <c r="H682" s="39">
        <v>1.39</v>
      </c>
      <c r="I682" s="39">
        <v>1.38</v>
      </c>
      <c r="J682" s="39">
        <v>1.31</v>
      </c>
      <c r="K682" s="39">
        <v>1.22</v>
      </c>
      <c r="L682" s="39">
        <v>1.1200000000000001</v>
      </c>
      <c r="M682" s="39">
        <v>1.02</v>
      </c>
      <c r="N682" s="39">
        <v>0.94</v>
      </c>
      <c r="O682" s="39">
        <v>0.91</v>
      </c>
    </row>
    <row r="683" spans="1:15">
      <c r="A683" s="1">
        <f t="shared" si="10"/>
        <v>35.4</v>
      </c>
      <c r="B683" s="38">
        <v>35</v>
      </c>
      <c r="C683" s="39">
        <v>40</v>
      </c>
      <c r="D683" s="39">
        <v>0.9</v>
      </c>
      <c r="E683" s="39">
        <v>1</v>
      </c>
      <c r="F683" s="39">
        <v>1.1399999999999999</v>
      </c>
      <c r="G683" s="39">
        <v>1.3</v>
      </c>
      <c r="H683" s="39">
        <v>1.41</v>
      </c>
      <c r="I683" s="39">
        <v>1.4</v>
      </c>
      <c r="J683" s="39">
        <v>1.32</v>
      </c>
      <c r="K683" s="39">
        <v>1.23</v>
      </c>
      <c r="L683" s="39">
        <v>1.1100000000000001</v>
      </c>
      <c r="M683" s="39">
        <v>0.99</v>
      </c>
      <c r="N683" s="39">
        <v>0.9</v>
      </c>
      <c r="O683" s="39">
        <v>0.87</v>
      </c>
    </row>
    <row r="684" spans="1:15">
      <c r="A684" s="1">
        <f t="shared" si="10"/>
        <v>35.450000000000003</v>
      </c>
      <c r="B684" s="38">
        <v>35</v>
      </c>
      <c r="C684" s="39">
        <v>45</v>
      </c>
      <c r="D684" s="39">
        <v>0.86</v>
      </c>
      <c r="E684" s="39">
        <v>0.97</v>
      </c>
      <c r="F684" s="39">
        <v>1.1299999999999999</v>
      </c>
      <c r="G684" s="39">
        <v>1.3</v>
      </c>
      <c r="H684" s="39">
        <v>1.42</v>
      </c>
      <c r="I684" s="39">
        <v>1.41</v>
      </c>
      <c r="J684" s="39">
        <v>1.33</v>
      </c>
      <c r="K684" s="39">
        <v>1.22</v>
      </c>
      <c r="L684" s="39">
        <v>1.0900000000000001</v>
      </c>
      <c r="M684" s="39">
        <v>0.96</v>
      </c>
      <c r="N684" s="39">
        <v>0.86</v>
      </c>
      <c r="O684" s="39">
        <v>0.82</v>
      </c>
    </row>
    <row r="685" spans="1:15">
      <c r="A685" s="1">
        <f t="shared" si="10"/>
        <v>35.5</v>
      </c>
      <c r="B685" s="38">
        <v>35</v>
      </c>
      <c r="C685" s="39">
        <v>50</v>
      </c>
      <c r="D685" s="39">
        <v>0.81</v>
      </c>
      <c r="E685" s="39">
        <v>0.93</v>
      </c>
      <c r="F685" s="39">
        <v>1.1000000000000001</v>
      </c>
      <c r="G685" s="39">
        <v>1.3</v>
      </c>
      <c r="H685" s="39">
        <v>1.43</v>
      </c>
      <c r="I685" s="39">
        <v>1.42</v>
      </c>
      <c r="J685" s="39">
        <v>1.32</v>
      </c>
      <c r="K685" s="39">
        <v>1.21</v>
      </c>
      <c r="L685" s="39">
        <v>1.07</v>
      </c>
      <c r="M685" s="39">
        <v>0.92</v>
      </c>
      <c r="N685" s="39">
        <v>0.81</v>
      </c>
      <c r="O685" s="39">
        <v>0.77</v>
      </c>
    </row>
    <row r="686" spans="1:15">
      <c r="A686" s="1">
        <f t="shared" si="10"/>
        <v>35.549999999999997</v>
      </c>
      <c r="B686" s="38">
        <v>35</v>
      </c>
      <c r="C686" s="39">
        <v>55</v>
      </c>
      <c r="D686" s="39">
        <v>0.76</v>
      </c>
      <c r="E686" s="39">
        <v>0.88</v>
      </c>
      <c r="F686" s="39">
        <v>1.07</v>
      </c>
      <c r="G686" s="39">
        <v>1.28</v>
      </c>
      <c r="H686" s="39">
        <v>1.42</v>
      </c>
      <c r="I686" s="39">
        <v>1.41</v>
      </c>
      <c r="J686" s="39">
        <v>1.31</v>
      </c>
      <c r="K686" s="39">
        <v>1.19</v>
      </c>
      <c r="L686" s="39">
        <v>1.03</v>
      </c>
      <c r="M686" s="39">
        <v>0.87</v>
      </c>
      <c r="N686" s="39">
        <v>0.76</v>
      </c>
      <c r="O686" s="39">
        <v>0.72</v>
      </c>
    </row>
    <row r="687" spans="1:15">
      <c r="A687" s="1">
        <f t="shared" si="10"/>
        <v>35.6</v>
      </c>
      <c r="B687" s="38">
        <v>35</v>
      </c>
      <c r="C687" s="39">
        <v>60</v>
      </c>
      <c r="D687" s="39">
        <v>0.7</v>
      </c>
      <c r="E687" s="39">
        <v>0.83</v>
      </c>
      <c r="F687" s="39">
        <v>1.03</v>
      </c>
      <c r="G687" s="39">
        <v>1.25</v>
      </c>
      <c r="H687" s="39">
        <v>1.41</v>
      </c>
      <c r="I687" s="39">
        <v>1.4</v>
      </c>
      <c r="J687" s="39">
        <v>1.29</v>
      </c>
      <c r="K687" s="39">
        <v>1.1599999999999999</v>
      </c>
      <c r="L687" s="39">
        <v>0.99</v>
      </c>
      <c r="M687" s="39">
        <v>0.82</v>
      </c>
      <c r="N687" s="39">
        <v>0.7</v>
      </c>
      <c r="O687" s="39">
        <v>0.66</v>
      </c>
    </row>
    <row r="688" spans="1:15">
      <c r="A688" s="1">
        <f t="shared" si="10"/>
        <v>35.65</v>
      </c>
      <c r="B688" s="38">
        <v>35</v>
      </c>
      <c r="C688" s="39">
        <v>65</v>
      </c>
      <c r="D688" s="39">
        <v>0.64</v>
      </c>
      <c r="E688" s="39">
        <v>0.77</v>
      </c>
      <c r="F688" s="39">
        <v>0.98</v>
      </c>
      <c r="G688" s="39">
        <v>1.22</v>
      </c>
      <c r="H688" s="39">
        <v>1.38</v>
      </c>
      <c r="I688" s="39">
        <v>1.38</v>
      </c>
      <c r="J688" s="39">
        <v>1.27</v>
      </c>
      <c r="K688" s="39">
        <v>1.1200000000000001</v>
      </c>
      <c r="L688" s="39">
        <v>0.95</v>
      </c>
      <c r="M688" s="39">
        <v>0.77</v>
      </c>
      <c r="N688" s="39">
        <v>0.64</v>
      </c>
      <c r="O688" s="39">
        <v>0.59</v>
      </c>
    </row>
    <row r="689" spans="1:15">
      <c r="A689" s="1">
        <f t="shared" si="10"/>
        <v>35.700000000000003</v>
      </c>
      <c r="B689" s="38">
        <v>35</v>
      </c>
      <c r="C689" s="39">
        <v>70</v>
      </c>
      <c r="D689" s="39">
        <v>0.56999999999999995</v>
      </c>
      <c r="E689" s="39">
        <v>0.71</v>
      </c>
      <c r="F689" s="39">
        <v>0.93</v>
      </c>
      <c r="G689" s="39">
        <v>1.18</v>
      </c>
      <c r="H689" s="39">
        <v>1.35</v>
      </c>
      <c r="I689" s="39">
        <v>1.35</v>
      </c>
      <c r="J689" s="39">
        <v>1.23</v>
      </c>
      <c r="K689" s="39">
        <v>1.08</v>
      </c>
      <c r="L689" s="39">
        <v>0.9</v>
      </c>
      <c r="M689" s="39">
        <v>0.71</v>
      </c>
      <c r="N689" s="39">
        <v>0.56999999999999995</v>
      </c>
      <c r="O689" s="39">
        <v>0.52</v>
      </c>
    </row>
    <row r="690" spans="1:15">
      <c r="A690" s="1">
        <f t="shared" si="10"/>
        <v>35.75</v>
      </c>
      <c r="B690" s="38">
        <v>35</v>
      </c>
      <c r="C690" s="39">
        <v>75</v>
      </c>
      <c r="D690" s="39">
        <v>0.5</v>
      </c>
      <c r="E690" s="39">
        <v>0.64</v>
      </c>
      <c r="F690" s="39">
        <v>0.87</v>
      </c>
      <c r="G690" s="39">
        <v>1.1299999999999999</v>
      </c>
      <c r="H690" s="39">
        <v>1.31</v>
      </c>
      <c r="I690" s="39">
        <v>1.31</v>
      </c>
      <c r="J690" s="39">
        <v>1.19</v>
      </c>
      <c r="K690" s="39">
        <v>1.03</v>
      </c>
      <c r="L690" s="39">
        <v>0.84</v>
      </c>
      <c r="M690" s="39">
        <v>0.64</v>
      </c>
      <c r="N690" s="39">
        <v>0.5</v>
      </c>
      <c r="O690" s="39">
        <v>0.45</v>
      </c>
    </row>
    <row r="691" spans="1:15">
      <c r="A691" s="1">
        <f t="shared" si="10"/>
        <v>35.799999999999997</v>
      </c>
      <c r="B691" s="38">
        <v>35</v>
      </c>
      <c r="C691" s="39">
        <v>80</v>
      </c>
      <c r="D691" s="39">
        <v>0.42</v>
      </c>
      <c r="E691" s="39">
        <v>0.56999999999999995</v>
      </c>
      <c r="F691" s="39">
        <v>8</v>
      </c>
      <c r="G691" s="39">
        <v>1.07</v>
      </c>
      <c r="H691" s="39">
        <v>1.26</v>
      </c>
      <c r="I691" s="39">
        <v>1.26</v>
      </c>
      <c r="J691" s="39">
        <v>1.1399999999999999</v>
      </c>
      <c r="K691" s="39">
        <v>0.98</v>
      </c>
      <c r="L691" s="39">
        <v>0.78</v>
      </c>
      <c r="M691" s="39">
        <v>0.56999999999999995</v>
      </c>
      <c r="N691" s="39">
        <v>0.43</v>
      </c>
      <c r="O691" s="39">
        <v>0.37</v>
      </c>
    </row>
    <row r="692" spans="1:15">
      <c r="A692" s="1">
        <f t="shared" si="10"/>
        <v>35.85</v>
      </c>
      <c r="B692" s="38">
        <v>35</v>
      </c>
      <c r="C692" s="39">
        <v>85</v>
      </c>
      <c r="D692" s="39">
        <v>0.34</v>
      </c>
      <c r="E692" s="39">
        <v>0.5</v>
      </c>
      <c r="F692" s="39">
        <v>0.73</v>
      </c>
      <c r="G692" s="39">
        <v>1</v>
      </c>
      <c r="H692" s="39">
        <v>1.2</v>
      </c>
      <c r="I692" s="39">
        <v>1.21</v>
      </c>
      <c r="J692" s="39">
        <v>1.0900000000000001</v>
      </c>
      <c r="K692" s="39">
        <v>0.92</v>
      </c>
      <c r="L692" s="39">
        <v>0.71</v>
      </c>
      <c r="M692" s="39">
        <v>0.5</v>
      </c>
      <c r="N692" s="39">
        <v>0.35</v>
      </c>
      <c r="O692" s="39">
        <v>0.28999999999999998</v>
      </c>
    </row>
    <row r="693" spans="1:15">
      <c r="A693" s="1">
        <f t="shared" si="10"/>
        <v>35.9</v>
      </c>
      <c r="B693" s="38">
        <v>35</v>
      </c>
      <c r="C693" s="39">
        <v>90</v>
      </c>
      <c r="D693" s="39">
        <v>0.26</v>
      </c>
      <c r="E693" s="39">
        <v>0.42</v>
      </c>
      <c r="F693" s="39">
        <v>0.66</v>
      </c>
      <c r="G693" s="39">
        <v>0.93</v>
      </c>
      <c r="H693" s="39">
        <v>1.1299999999999999</v>
      </c>
      <c r="I693" s="39">
        <v>1.1499999999999999</v>
      </c>
      <c r="J693" s="39">
        <v>1.02</v>
      </c>
      <c r="K693" s="39">
        <v>0.85</v>
      </c>
      <c r="L693" s="39">
        <v>0.64</v>
      </c>
      <c r="M693" s="39">
        <v>0.42</v>
      </c>
      <c r="N693" s="39">
        <v>0.27</v>
      </c>
      <c r="O693" s="39">
        <v>0.21</v>
      </c>
    </row>
    <row r="694" spans="1:15">
      <c r="A694" s="1">
        <f t="shared" si="10"/>
        <v>36</v>
      </c>
      <c r="B694" s="38">
        <v>36</v>
      </c>
      <c r="C694" s="39">
        <v>0</v>
      </c>
      <c r="D694" s="39">
        <v>1</v>
      </c>
      <c r="E694" s="39">
        <v>1</v>
      </c>
      <c r="F694" s="39">
        <v>1</v>
      </c>
      <c r="G694" s="39">
        <v>1</v>
      </c>
      <c r="H694" s="39">
        <v>1</v>
      </c>
      <c r="I694" s="39">
        <v>1</v>
      </c>
      <c r="J694" s="39">
        <v>1</v>
      </c>
      <c r="K694" s="39">
        <v>1</v>
      </c>
      <c r="L694" s="39">
        <v>1</v>
      </c>
      <c r="M694" s="39">
        <v>1</v>
      </c>
      <c r="N694" s="39">
        <v>1</v>
      </c>
      <c r="O694" s="39">
        <v>1</v>
      </c>
    </row>
    <row r="695" spans="1:15">
      <c r="A695" s="1">
        <f t="shared" si="10"/>
        <v>36.049999999999997</v>
      </c>
      <c r="B695" s="38">
        <v>36</v>
      </c>
      <c r="C695" s="39">
        <v>5</v>
      </c>
      <c r="D695" s="39">
        <v>1.01</v>
      </c>
      <c r="E695" s="39">
        <v>1.03</v>
      </c>
      <c r="F695" s="39">
        <v>1.05</v>
      </c>
      <c r="G695" s="39">
        <v>1.07</v>
      </c>
      <c r="H695" s="39">
        <v>1.08</v>
      </c>
      <c r="I695" s="39">
        <v>1.08</v>
      </c>
      <c r="J695" s="39">
        <v>1.07</v>
      </c>
      <c r="K695" s="39">
        <v>1.05</v>
      </c>
      <c r="L695" s="39">
        <v>1.04</v>
      </c>
      <c r="M695" s="39">
        <v>1.02</v>
      </c>
      <c r="N695" s="39">
        <v>1.01</v>
      </c>
      <c r="O695" s="39">
        <v>1.01</v>
      </c>
    </row>
    <row r="696" spans="1:15">
      <c r="A696" s="1">
        <f t="shared" si="10"/>
        <v>36.1</v>
      </c>
      <c r="B696" s="38">
        <v>36</v>
      </c>
      <c r="C696" s="39">
        <v>10</v>
      </c>
      <c r="D696" s="39">
        <v>1.02</v>
      </c>
      <c r="E696" s="39">
        <v>1.05</v>
      </c>
      <c r="F696" s="39">
        <v>1.08</v>
      </c>
      <c r="G696" s="39">
        <v>1.1299999999999999</v>
      </c>
      <c r="H696" s="39">
        <v>1.1499999999999999</v>
      </c>
      <c r="I696" s="39">
        <v>1.1499999999999999</v>
      </c>
      <c r="J696" s="39">
        <v>1.1299999999999999</v>
      </c>
      <c r="K696" s="39">
        <v>1.1000000000000001</v>
      </c>
      <c r="L696" s="39">
        <v>1.07</v>
      </c>
      <c r="M696" s="39">
        <v>1.04</v>
      </c>
      <c r="N696" s="39">
        <v>1.02</v>
      </c>
      <c r="O696" s="39">
        <v>1.01</v>
      </c>
    </row>
    <row r="697" spans="1:15">
      <c r="A697" s="1">
        <f t="shared" si="10"/>
        <v>36.15</v>
      </c>
      <c r="B697" s="38">
        <v>36</v>
      </c>
      <c r="C697" s="39">
        <v>15</v>
      </c>
      <c r="D697" s="39">
        <v>1.02</v>
      </c>
      <c r="E697" s="39">
        <v>1.06</v>
      </c>
      <c r="F697" s="39">
        <v>1.1200000000000001</v>
      </c>
      <c r="G697" s="39">
        <v>1.18</v>
      </c>
      <c r="H697" s="39">
        <v>1.22</v>
      </c>
      <c r="I697" s="39">
        <v>1.21</v>
      </c>
      <c r="J697" s="39">
        <v>1.18</v>
      </c>
      <c r="K697" s="39">
        <v>1.1399999999999999</v>
      </c>
      <c r="L697" s="39">
        <v>1.1000000000000001</v>
      </c>
      <c r="M697" s="39">
        <v>1.05</v>
      </c>
      <c r="N697" s="39">
        <v>1.02</v>
      </c>
      <c r="O697" s="39">
        <v>1.01</v>
      </c>
    </row>
    <row r="698" spans="1:15">
      <c r="A698" s="1">
        <f t="shared" si="10"/>
        <v>36.200000000000003</v>
      </c>
      <c r="B698" s="38">
        <v>36</v>
      </c>
      <c r="C698" s="39">
        <v>20</v>
      </c>
      <c r="D698" s="39">
        <v>1.01</v>
      </c>
      <c r="E698" s="39">
        <v>1.06</v>
      </c>
      <c r="F698" s="39">
        <v>1.1399999999999999</v>
      </c>
      <c r="G698" s="39">
        <v>1.22</v>
      </c>
      <c r="H698" s="39">
        <v>1.28</v>
      </c>
      <c r="I698" s="39">
        <v>1.27</v>
      </c>
      <c r="J698" s="39">
        <v>1.22</v>
      </c>
      <c r="K698" s="39">
        <v>1.18</v>
      </c>
      <c r="L698" s="39">
        <v>1.1200000000000001</v>
      </c>
      <c r="M698" s="39">
        <v>1.06</v>
      </c>
      <c r="N698" s="39">
        <v>1.01</v>
      </c>
      <c r="O698" s="39">
        <v>0.99</v>
      </c>
    </row>
    <row r="699" spans="1:15">
      <c r="A699" s="1">
        <f t="shared" si="10"/>
        <v>36.25</v>
      </c>
      <c r="B699" s="38">
        <v>36</v>
      </c>
      <c r="C699" s="39">
        <v>25</v>
      </c>
      <c r="D699" s="39">
        <v>1</v>
      </c>
      <c r="E699" s="39">
        <v>1.06</v>
      </c>
      <c r="F699" s="39">
        <v>1.1599999999999999</v>
      </c>
      <c r="G699" s="39">
        <v>1.26</v>
      </c>
      <c r="H699" s="39">
        <v>1.33</v>
      </c>
      <c r="I699" s="39">
        <v>1.32</v>
      </c>
      <c r="J699" s="39">
        <v>1.26</v>
      </c>
      <c r="K699" s="39">
        <v>1.2</v>
      </c>
      <c r="L699" s="39">
        <v>1.1299999999999999</v>
      </c>
      <c r="M699" s="39">
        <v>1.05</v>
      </c>
      <c r="N699" s="39">
        <v>1</v>
      </c>
      <c r="O699" s="39">
        <v>0.98</v>
      </c>
    </row>
    <row r="700" spans="1:15">
      <c r="A700" s="1">
        <f t="shared" si="10"/>
        <v>36.299999999999997</v>
      </c>
      <c r="B700" s="38">
        <v>36</v>
      </c>
      <c r="C700" s="39">
        <v>30</v>
      </c>
      <c r="D700" s="39">
        <v>0.98</v>
      </c>
      <c r="E700" s="39">
        <v>1.05</v>
      </c>
      <c r="F700" s="39">
        <v>1.1599999999999999</v>
      </c>
      <c r="G700" s="39">
        <v>1.29</v>
      </c>
      <c r="H700" s="39">
        <v>1.37</v>
      </c>
      <c r="I700" s="39">
        <v>1.36</v>
      </c>
      <c r="J700" s="39">
        <v>1.29</v>
      </c>
      <c r="K700" s="39">
        <v>1.22</v>
      </c>
      <c r="L700" s="39">
        <v>1.1299999999999999</v>
      </c>
      <c r="M700" s="39">
        <v>1.04</v>
      </c>
      <c r="N700" s="39">
        <v>0.98</v>
      </c>
      <c r="O700" s="39">
        <v>0.95</v>
      </c>
    </row>
    <row r="701" spans="1:15">
      <c r="A701" s="1">
        <f t="shared" si="10"/>
        <v>36.35</v>
      </c>
      <c r="B701" s="38">
        <v>36</v>
      </c>
      <c r="C701" s="39">
        <v>35</v>
      </c>
      <c r="D701" s="39">
        <v>0.95</v>
      </c>
      <c r="E701" s="39">
        <v>1.03</v>
      </c>
      <c r="F701" s="39">
        <v>1.1599999999999999</v>
      </c>
      <c r="G701" s="39">
        <v>1.31</v>
      </c>
      <c r="H701" s="39">
        <v>1.4</v>
      </c>
      <c r="I701" s="39">
        <v>1.39</v>
      </c>
      <c r="J701" s="39">
        <v>1.32</v>
      </c>
      <c r="K701" s="39">
        <v>1.23</v>
      </c>
      <c r="L701" s="39">
        <v>1.1299999999999999</v>
      </c>
      <c r="M701" s="39">
        <v>1.02</v>
      </c>
      <c r="N701" s="39">
        <v>0.95</v>
      </c>
      <c r="O701" s="39">
        <v>0.92</v>
      </c>
    </row>
    <row r="702" spans="1:15">
      <c r="A702" s="1">
        <f t="shared" si="10"/>
        <v>36.4</v>
      </c>
      <c r="B702" s="38">
        <v>36</v>
      </c>
      <c r="C702" s="39">
        <v>40</v>
      </c>
      <c r="D702" s="39">
        <v>0.91</v>
      </c>
      <c r="E702" s="39">
        <v>1.01</v>
      </c>
      <c r="F702" s="39">
        <v>1.1599999999999999</v>
      </c>
      <c r="G702" s="39">
        <v>1.32</v>
      </c>
      <c r="H702" s="39">
        <v>1.43</v>
      </c>
      <c r="I702" s="39">
        <v>1.41</v>
      </c>
      <c r="J702" s="39">
        <v>1.33</v>
      </c>
      <c r="K702" s="39">
        <v>1.24</v>
      </c>
      <c r="L702" s="39">
        <v>1.1200000000000001</v>
      </c>
      <c r="M702" s="39">
        <v>1</v>
      </c>
      <c r="N702" s="39">
        <v>0.91</v>
      </c>
      <c r="O702" s="39">
        <v>0.88</v>
      </c>
    </row>
    <row r="703" spans="1:15">
      <c r="A703" s="1">
        <f t="shared" si="10"/>
        <v>36.450000000000003</v>
      </c>
      <c r="B703" s="38">
        <v>36</v>
      </c>
      <c r="C703" s="39">
        <v>45</v>
      </c>
      <c r="D703" s="39">
        <v>0.87</v>
      </c>
      <c r="E703" s="39">
        <v>0.98</v>
      </c>
      <c r="F703" s="39">
        <v>1.1399999999999999</v>
      </c>
      <c r="G703" s="39">
        <v>1.32</v>
      </c>
      <c r="H703" s="39">
        <v>1.44</v>
      </c>
      <c r="I703" s="39">
        <v>1.43</v>
      </c>
      <c r="J703" s="39">
        <v>1.34</v>
      </c>
      <c r="K703" s="39">
        <v>1.23</v>
      </c>
      <c r="L703" s="39">
        <v>1.1000000000000001</v>
      </c>
      <c r="M703" s="39">
        <v>0.97</v>
      </c>
      <c r="N703" s="39">
        <v>0.87</v>
      </c>
      <c r="O703" s="39">
        <v>0.84</v>
      </c>
    </row>
    <row r="704" spans="1:15">
      <c r="A704" s="1">
        <f t="shared" si="10"/>
        <v>36.5</v>
      </c>
      <c r="B704" s="38">
        <v>36</v>
      </c>
      <c r="C704" s="39">
        <v>50</v>
      </c>
      <c r="D704" s="39">
        <v>0.82</v>
      </c>
      <c r="E704" s="39">
        <v>0.94</v>
      </c>
      <c r="F704" s="39">
        <v>1.1200000000000001</v>
      </c>
      <c r="G704" s="39">
        <v>1.31</v>
      </c>
      <c r="H704" s="39">
        <v>1.45</v>
      </c>
      <c r="I704" s="39">
        <v>1.44</v>
      </c>
      <c r="J704" s="39">
        <v>1.34</v>
      </c>
      <c r="K704" s="39">
        <v>1.22</v>
      </c>
      <c r="L704" s="39">
        <v>1.08</v>
      </c>
      <c r="M704" s="39">
        <v>0.93</v>
      </c>
      <c r="N704" s="39">
        <v>0.82</v>
      </c>
      <c r="O704" s="39">
        <v>0.78</v>
      </c>
    </row>
    <row r="705" spans="1:15">
      <c r="A705" s="1">
        <f t="shared" si="10"/>
        <v>36.549999999999997</v>
      </c>
      <c r="B705" s="38">
        <v>36</v>
      </c>
      <c r="C705" s="39">
        <v>55</v>
      </c>
      <c r="D705" s="39">
        <v>0.77</v>
      </c>
      <c r="E705" s="39">
        <v>0.9</v>
      </c>
      <c r="F705" s="39">
        <v>1.08</v>
      </c>
      <c r="G705" s="39">
        <v>1.3</v>
      </c>
      <c r="H705" s="39">
        <v>1.44</v>
      </c>
      <c r="I705" s="39">
        <v>1.43</v>
      </c>
      <c r="J705" s="39">
        <v>1.33</v>
      </c>
      <c r="K705" s="39">
        <v>1.2</v>
      </c>
      <c r="L705" s="39">
        <v>1.05</v>
      </c>
      <c r="M705" s="39">
        <v>0.89</v>
      </c>
      <c r="N705" s="39">
        <v>0.77</v>
      </c>
      <c r="O705" s="39">
        <v>0.73</v>
      </c>
    </row>
    <row r="706" spans="1:15">
      <c r="A706" s="1">
        <f t="shared" si="10"/>
        <v>36.6</v>
      </c>
      <c r="B706" s="38">
        <v>36</v>
      </c>
      <c r="C706" s="39">
        <v>60</v>
      </c>
      <c r="D706" s="39">
        <v>0.71</v>
      </c>
      <c r="E706" s="39">
        <v>0.84</v>
      </c>
      <c r="F706" s="39">
        <v>1.5</v>
      </c>
      <c r="G706" s="39">
        <v>1.27</v>
      </c>
      <c r="H706" s="39">
        <v>1.43</v>
      </c>
      <c r="I706" s="39">
        <v>1.42</v>
      </c>
      <c r="J706" s="39">
        <v>1.31</v>
      </c>
      <c r="K706" s="39">
        <v>1.17</v>
      </c>
      <c r="L706" s="39">
        <v>1.01</v>
      </c>
      <c r="M706" s="39">
        <v>0.84</v>
      </c>
      <c r="N706" s="39">
        <v>0.71</v>
      </c>
      <c r="O706" s="39">
        <v>0.67</v>
      </c>
    </row>
    <row r="707" spans="1:15">
      <c r="A707" s="1">
        <f t="shared" si="10"/>
        <v>36.65</v>
      </c>
      <c r="B707" s="38">
        <v>36</v>
      </c>
      <c r="C707" s="39">
        <v>65</v>
      </c>
      <c r="D707" s="39">
        <v>0.65</v>
      </c>
      <c r="E707" s="39">
        <v>0.79</v>
      </c>
      <c r="F707" s="39">
        <v>1</v>
      </c>
      <c r="G707" s="39">
        <v>1.24</v>
      </c>
      <c r="H707" s="39">
        <v>1.41</v>
      </c>
      <c r="I707" s="39">
        <v>1.4</v>
      </c>
      <c r="J707" s="39">
        <v>1.29</v>
      </c>
      <c r="K707" s="39">
        <v>1.1399999999999999</v>
      </c>
      <c r="L707" s="39">
        <v>0.96</v>
      </c>
      <c r="M707" s="39">
        <v>0.78</v>
      </c>
      <c r="N707" s="39">
        <v>0.65</v>
      </c>
      <c r="O707" s="39">
        <v>0.6</v>
      </c>
    </row>
    <row r="708" spans="1:15">
      <c r="A708" s="1">
        <f t="shared" si="10"/>
        <v>36.700000000000003</v>
      </c>
      <c r="B708" s="38">
        <v>36</v>
      </c>
      <c r="C708" s="39">
        <v>70</v>
      </c>
      <c r="D708" s="39">
        <v>0.57999999999999996</v>
      </c>
      <c r="E708" s="39">
        <v>0.73</v>
      </c>
      <c r="F708" s="39">
        <v>0.95</v>
      </c>
      <c r="G708" s="39">
        <v>1.2</v>
      </c>
      <c r="H708" s="39">
        <v>1.37</v>
      </c>
      <c r="I708" s="39">
        <v>1.37</v>
      </c>
      <c r="J708" s="39">
        <v>1.25</v>
      </c>
      <c r="K708" s="39">
        <v>1.1000000000000001</v>
      </c>
      <c r="L708" s="39">
        <v>0.91</v>
      </c>
      <c r="M708" s="39">
        <v>0.72</v>
      </c>
      <c r="N708" s="39">
        <v>0.59</v>
      </c>
      <c r="O708" s="39">
        <v>0.53</v>
      </c>
    </row>
    <row r="709" spans="1:15">
      <c r="A709" s="1">
        <f t="shared" si="10"/>
        <v>36.75</v>
      </c>
      <c r="B709" s="38">
        <v>36</v>
      </c>
      <c r="C709" s="39">
        <v>75</v>
      </c>
      <c r="D709" s="39">
        <v>0.51</v>
      </c>
      <c r="E709" s="39">
        <v>0.66</v>
      </c>
      <c r="F709" s="39">
        <v>0.89</v>
      </c>
      <c r="G709" s="39">
        <v>1.1499999999999999</v>
      </c>
      <c r="H709" s="39">
        <v>1.33</v>
      </c>
      <c r="I709" s="39">
        <v>1.33</v>
      </c>
      <c r="J709" s="39">
        <v>1.21</v>
      </c>
      <c r="K709" s="39">
        <v>1.05</v>
      </c>
      <c r="L709" s="39">
        <v>0.85</v>
      </c>
      <c r="M709" s="39">
        <v>0.66</v>
      </c>
      <c r="N709" s="39">
        <v>0.52</v>
      </c>
      <c r="O709" s="39">
        <v>0.46</v>
      </c>
    </row>
    <row r="710" spans="1:15">
      <c r="A710" s="1">
        <f t="shared" si="10"/>
        <v>36.799999999999997</v>
      </c>
      <c r="B710" s="38">
        <v>36</v>
      </c>
      <c r="C710" s="39">
        <v>80</v>
      </c>
      <c r="D710" s="39">
        <v>0.44</v>
      </c>
      <c r="E710" s="39">
        <v>0.59</v>
      </c>
      <c r="F710" s="39">
        <v>0.82</v>
      </c>
      <c r="G710" s="39">
        <v>1.0900000000000001</v>
      </c>
      <c r="H710" s="39">
        <v>1.28</v>
      </c>
      <c r="I710" s="39">
        <v>1.29</v>
      </c>
      <c r="J710" s="39">
        <v>1.1599999999999999</v>
      </c>
      <c r="K710" s="39">
        <v>1</v>
      </c>
      <c r="L710" s="39">
        <v>0.79</v>
      </c>
      <c r="M710" s="39">
        <v>0.59</v>
      </c>
      <c r="N710" s="39">
        <v>0.44</v>
      </c>
      <c r="O710" s="39">
        <v>0.39</v>
      </c>
    </row>
    <row r="711" spans="1:15">
      <c r="A711" s="1">
        <f t="shared" si="10"/>
        <v>36.85</v>
      </c>
      <c r="B711" s="38">
        <v>36</v>
      </c>
      <c r="C711" s="39">
        <v>85</v>
      </c>
      <c r="D711" s="39">
        <v>0.36</v>
      </c>
      <c r="E711" s="39">
        <v>0.51</v>
      </c>
      <c r="F711" s="39">
        <v>0.75</v>
      </c>
      <c r="G711" s="39">
        <v>1.03</v>
      </c>
      <c r="H711" s="39">
        <v>1.23</v>
      </c>
      <c r="I711" s="39">
        <v>1.23</v>
      </c>
      <c r="J711" s="39">
        <v>1.1100000000000001</v>
      </c>
      <c r="K711" s="39">
        <v>0.94</v>
      </c>
      <c r="L711" s="39">
        <v>0.73</v>
      </c>
      <c r="M711" s="39">
        <v>0.52</v>
      </c>
      <c r="N711" s="39">
        <v>0.37</v>
      </c>
      <c r="O711" s="39">
        <v>0.31</v>
      </c>
    </row>
    <row r="712" spans="1:15">
      <c r="A712" s="1">
        <f t="shared" si="10"/>
        <v>36.9</v>
      </c>
      <c r="B712" s="38">
        <v>36</v>
      </c>
      <c r="C712" s="39">
        <v>90</v>
      </c>
      <c r="D712" s="39">
        <v>0.28000000000000003</v>
      </c>
      <c r="E712" s="39">
        <v>0.44</v>
      </c>
      <c r="F712" s="39">
        <v>0.68</v>
      </c>
      <c r="G712" s="39">
        <v>0.96</v>
      </c>
      <c r="H712" s="39">
        <v>1.1599999999999999</v>
      </c>
      <c r="I712" s="39">
        <v>1.17</v>
      </c>
      <c r="J712" s="39">
        <v>1.05</v>
      </c>
      <c r="K712" s="39">
        <v>0.87</v>
      </c>
      <c r="L712" s="39">
        <v>0.65</v>
      </c>
      <c r="M712" s="39">
        <v>0.44</v>
      </c>
      <c r="N712" s="39">
        <v>0.28999999999999998</v>
      </c>
      <c r="O712" s="39">
        <v>0.23</v>
      </c>
    </row>
    <row r="713" spans="1:15">
      <c r="A713" s="1">
        <f t="shared" si="10"/>
        <v>37</v>
      </c>
      <c r="B713" s="38">
        <v>37</v>
      </c>
      <c r="C713" s="39">
        <v>0</v>
      </c>
      <c r="D713" s="39">
        <v>1</v>
      </c>
      <c r="E713" s="39">
        <v>1</v>
      </c>
      <c r="F713" s="39">
        <v>1</v>
      </c>
      <c r="G713" s="39">
        <v>1</v>
      </c>
      <c r="H713" s="39">
        <v>1</v>
      </c>
      <c r="I713" s="39">
        <v>1</v>
      </c>
      <c r="J713" s="39">
        <v>1</v>
      </c>
      <c r="K713" s="39">
        <v>1</v>
      </c>
      <c r="L713" s="39">
        <v>1</v>
      </c>
      <c r="M713" s="39">
        <v>1</v>
      </c>
      <c r="N713" s="39">
        <v>1</v>
      </c>
      <c r="O713" s="39">
        <v>1</v>
      </c>
    </row>
    <row r="714" spans="1:15">
      <c r="A714" s="1">
        <f t="shared" ref="A714:A777" si="11">B714+C714/100</f>
        <v>37.049999999999997</v>
      </c>
      <c r="B714" s="38">
        <v>37</v>
      </c>
      <c r="C714" s="39">
        <v>5</v>
      </c>
      <c r="D714" s="39">
        <v>1.02</v>
      </c>
      <c r="E714" s="39">
        <v>1.03</v>
      </c>
      <c r="F714" s="39">
        <v>1.05</v>
      </c>
      <c r="G714" s="39">
        <v>1.07</v>
      </c>
      <c r="H714" s="39">
        <v>1.08</v>
      </c>
      <c r="I714" s="39">
        <v>1.08</v>
      </c>
      <c r="J714" s="39">
        <v>1.07</v>
      </c>
      <c r="K714" s="39">
        <v>1.06</v>
      </c>
      <c r="L714" s="39">
        <v>1.04</v>
      </c>
      <c r="M714" s="39">
        <v>1.03</v>
      </c>
      <c r="N714" s="39">
        <v>1.01</v>
      </c>
      <c r="O714" s="39">
        <v>1.01</v>
      </c>
    </row>
    <row r="715" spans="1:15">
      <c r="A715" s="1">
        <f t="shared" si="11"/>
        <v>37.1</v>
      </c>
      <c r="B715" s="38">
        <v>37</v>
      </c>
      <c r="C715" s="39">
        <v>10</v>
      </c>
      <c r="D715" s="39">
        <v>1.02</v>
      </c>
      <c r="E715" s="39">
        <v>1.05</v>
      </c>
      <c r="F715" s="39">
        <v>1.0900000000000001</v>
      </c>
      <c r="G715" s="39">
        <v>1.1299999999999999</v>
      </c>
      <c r="H715" s="39">
        <v>1.1599999999999999</v>
      </c>
      <c r="I715" s="39">
        <v>1.1499999999999999</v>
      </c>
      <c r="J715" s="39">
        <v>1.1299999999999999</v>
      </c>
      <c r="K715" s="39">
        <v>1.1000000000000001</v>
      </c>
      <c r="L715" s="39">
        <v>1.08</v>
      </c>
      <c r="M715" s="39">
        <v>1.05</v>
      </c>
      <c r="N715" s="39">
        <v>1.02</v>
      </c>
      <c r="O715" s="39">
        <v>1.01</v>
      </c>
    </row>
    <row r="716" spans="1:15">
      <c r="A716" s="1">
        <f t="shared" si="11"/>
        <v>37.15</v>
      </c>
      <c r="B716" s="38">
        <v>37</v>
      </c>
      <c r="C716" s="39">
        <v>15</v>
      </c>
      <c r="D716" s="39">
        <v>1.02</v>
      </c>
      <c r="E716" s="39">
        <v>1.06</v>
      </c>
      <c r="F716" s="39">
        <v>1.1200000000000001</v>
      </c>
      <c r="G716" s="39">
        <v>1.19</v>
      </c>
      <c r="H716" s="39">
        <v>1.23</v>
      </c>
      <c r="I716" s="39">
        <v>1.22</v>
      </c>
      <c r="J716" s="39">
        <v>1.18</v>
      </c>
      <c r="K716" s="39">
        <v>1.1499999999999999</v>
      </c>
      <c r="L716" s="39">
        <v>1.1000000000000001</v>
      </c>
      <c r="M716" s="39">
        <v>1.06</v>
      </c>
      <c r="N716" s="39">
        <v>1.02</v>
      </c>
      <c r="O716" s="39">
        <v>1.01</v>
      </c>
    </row>
    <row r="717" spans="1:15">
      <c r="A717" s="1">
        <f t="shared" si="11"/>
        <v>37.200000000000003</v>
      </c>
      <c r="B717" s="38">
        <v>37</v>
      </c>
      <c r="C717" s="39">
        <v>20</v>
      </c>
      <c r="D717" s="39">
        <v>1.02</v>
      </c>
      <c r="E717" s="39">
        <v>1.07</v>
      </c>
      <c r="F717" s="39">
        <v>1.1499999999999999</v>
      </c>
      <c r="G717" s="39">
        <v>1.23</v>
      </c>
      <c r="H717" s="39">
        <v>1.29</v>
      </c>
      <c r="I717" s="39">
        <v>1.28</v>
      </c>
      <c r="J717" s="39">
        <v>1.23</v>
      </c>
      <c r="K717" s="39">
        <v>1.18</v>
      </c>
      <c r="L717" s="39">
        <v>1.1200000000000001</v>
      </c>
      <c r="M717" s="39">
        <v>1.06</v>
      </c>
      <c r="N717" s="39">
        <v>1.02</v>
      </c>
      <c r="O717" s="39">
        <v>1</v>
      </c>
    </row>
    <row r="718" spans="1:15">
      <c r="A718" s="1">
        <f t="shared" si="11"/>
        <v>37.25</v>
      </c>
      <c r="B718" s="38">
        <v>37</v>
      </c>
      <c r="C718" s="39">
        <v>25</v>
      </c>
      <c r="D718" s="39">
        <v>1</v>
      </c>
      <c r="E718" s="39">
        <v>1.07</v>
      </c>
      <c r="F718" s="39">
        <v>1.1599999999999999</v>
      </c>
      <c r="G718" s="39">
        <v>1.27</v>
      </c>
      <c r="H718" s="39">
        <v>1.34</v>
      </c>
      <c r="I718" s="39">
        <v>1.33</v>
      </c>
      <c r="J718" s="39">
        <v>1.27</v>
      </c>
      <c r="K718" s="39">
        <v>1.21</v>
      </c>
      <c r="L718" s="39">
        <v>1.1399999999999999</v>
      </c>
      <c r="M718" s="39">
        <v>1.06</v>
      </c>
      <c r="N718" s="39">
        <v>1</v>
      </c>
      <c r="O718" s="39">
        <v>0.98</v>
      </c>
    </row>
    <row r="719" spans="1:15">
      <c r="A719" s="1">
        <f t="shared" si="11"/>
        <v>37.299999999999997</v>
      </c>
      <c r="B719" s="38">
        <v>37</v>
      </c>
      <c r="C719" s="39">
        <v>30</v>
      </c>
      <c r="D719" s="39">
        <v>0.98</v>
      </c>
      <c r="E719" s="39">
        <v>1.06</v>
      </c>
      <c r="F719" s="39">
        <v>1.17</v>
      </c>
      <c r="G719" s="39">
        <v>1.3</v>
      </c>
      <c r="H719" s="39">
        <v>1.38</v>
      </c>
      <c r="I719" s="39">
        <v>1.37</v>
      </c>
      <c r="J719" s="39">
        <v>1.3</v>
      </c>
      <c r="K719" s="39">
        <v>1.23</v>
      </c>
      <c r="L719" s="39">
        <v>1.1399999999999999</v>
      </c>
      <c r="M719" s="39">
        <v>1.05</v>
      </c>
      <c r="N719" s="39">
        <v>0.98</v>
      </c>
      <c r="O719" s="39">
        <v>0.96</v>
      </c>
    </row>
    <row r="720" spans="1:15">
      <c r="A720" s="1">
        <f t="shared" si="11"/>
        <v>37.35</v>
      </c>
      <c r="B720" s="38">
        <v>37</v>
      </c>
      <c r="C720" s="39">
        <v>35</v>
      </c>
      <c r="D720" s="39">
        <v>0.96</v>
      </c>
      <c r="E720" s="39">
        <v>1.04</v>
      </c>
      <c r="F720" s="39">
        <v>1.17</v>
      </c>
      <c r="G720" s="39">
        <v>1.32</v>
      </c>
      <c r="H720" s="39">
        <v>1.42</v>
      </c>
      <c r="I720" s="39">
        <v>1.41</v>
      </c>
      <c r="J720" s="39">
        <v>1.33</v>
      </c>
      <c r="K720" s="39">
        <v>1.24</v>
      </c>
      <c r="L720" s="39">
        <v>1.1399999999999999</v>
      </c>
      <c r="M720" s="39">
        <v>1.03</v>
      </c>
      <c r="N720" s="39">
        <v>0.96</v>
      </c>
      <c r="O720" s="39">
        <v>0.93</v>
      </c>
    </row>
    <row r="721" spans="1:15">
      <c r="A721" s="1">
        <f t="shared" si="11"/>
        <v>37.4</v>
      </c>
      <c r="B721" s="38">
        <v>37</v>
      </c>
      <c r="C721" s="39">
        <v>40</v>
      </c>
      <c r="D721" s="39">
        <v>0.92</v>
      </c>
      <c r="E721" s="39">
        <v>1.02</v>
      </c>
      <c r="F721" s="39">
        <v>1.17</v>
      </c>
      <c r="G721" s="39">
        <v>1.34</v>
      </c>
      <c r="H721" s="39">
        <v>1.44</v>
      </c>
      <c r="I721" s="39">
        <v>1.43</v>
      </c>
      <c r="J721" s="39">
        <v>1.35</v>
      </c>
      <c r="K721" s="39">
        <v>1.25</v>
      </c>
      <c r="L721" s="39">
        <v>1.1299999999999999</v>
      </c>
      <c r="M721" s="39">
        <v>1.01</v>
      </c>
      <c r="N721" s="39">
        <v>0.92</v>
      </c>
      <c r="O721" s="39">
        <v>0.89</v>
      </c>
    </row>
    <row r="722" spans="1:15">
      <c r="A722" s="1">
        <f t="shared" si="11"/>
        <v>37.450000000000003</v>
      </c>
      <c r="B722" s="38">
        <v>37</v>
      </c>
      <c r="C722" s="39">
        <v>45</v>
      </c>
      <c r="D722" s="39">
        <v>0.88</v>
      </c>
      <c r="E722" s="39">
        <v>0.99</v>
      </c>
      <c r="F722" s="39">
        <v>1.1499999999999999</v>
      </c>
      <c r="G722" s="39">
        <v>1.34</v>
      </c>
      <c r="H722" s="39">
        <v>1.46</v>
      </c>
      <c r="I722" s="39">
        <v>1.45</v>
      </c>
      <c r="J722" s="39">
        <v>1.35</v>
      </c>
      <c r="K722" s="39">
        <v>1.25</v>
      </c>
      <c r="L722" s="39">
        <v>1.1100000000000001</v>
      </c>
      <c r="M722" s="39">
        <v>0.98</v>
      </c>
      <c r="N722" s="39">
        <v>0.88</v>
      </c>
      <c r="O722" s="39">
        <v>0.85</v>
      </c>
    </row>
    <row r="723" spans="1:15">
      <c r="A723" s="1">
        <f t="shared" si="11"/>
        <v>37.5</v>
      </c>
      <c r="B723" s="38">
        <v>37</v>
      </c>
      <c r="C723" s="39">
        <v>50</v>
      </c>
      <c r="D723" s="39">
        <v>0.84</v>
      </c>
      <c r="E723" s="39">
        <v>0.95</v>
      </c>
      <c r="F723" s="39">
        <v>1.1299999999999999</v>
      </c>
      <c r="G723" s="39">
        <v>1.33</v>
      </c>
      <c r="H723" s="39">
        <v>1.47</v>
      </c>
      <c r="I723" s="39">
        <v>1.46</v>
      </c>
      <c r="J723" s="39">
        <v>1.35</v>
      </c>
      <c r="K723" s="39">
        <v>1.24</v>
      </c>
      <c r="L723" s="39">
        <v>1.0900000000000001</v>
      </c>
      <c r="M723" s="39">
        <v>0.94</v>
      </c>
      <c r="N723" s="39">
        <v>0.84</v>
      </c>
      <c r="O723" s="39">
        <v>0.8</v>
      </c>
    </row>
    <row r="724" spans="1:15">
      <c r="A724" s="1">
        <f t="shared" si="11"/>
        <v>37.549999999999997</v>
      </c>
      <c r="B724" s="38">
        <v>37</v>
      </c>
      <c r="C724" s="39">
        <v>55</v>
      </c>
      <c r="D724" s="39">
        <v>0.78</v>
      </c>
      <c r="E724" s="39">
        <v>0.91</v>
      </c>
      <c r="F724" s="39">
        <v>1.1000000000000001</v>
      </c>
      <c r="G724" s="39">
        <v>1.32</v>
      </c>
      <c r="H724" s="39">
        <v>1.47</v>
      </c>
      <c r="I724" s="39">
        <v>1.45</v>
      </c>
      <c r="J724" s="39">
        <v>1.35</v>
      </c>
      <c r="K724" s="39">
        <v>1.22</v>
      </c>
      <c r="L724" s="39">
        <v>1.06</v>
      </c>
      <c r="M724" s="39">
        <v>0.9</v>
      </c>
      <c r="N724" s="39">
        <v>0.78</v>
      </c>
      <c r="O724" s="39">
        <v>0.74</v>
      </c>
    </row>
    <row r="725" spans="1:15">
      <c r="A725" s="1">
        <f t="shared" si="11"/>
        <v>37.6</v>
      </c>
      <c r="B725" s="38">
        <v>37</v>
      </c>
      <c r="C725" s="39">
        <v>60</v>
      </c>
      <c r="D725" s="39">
        <v>0.73</v>
      </c>
      <c r="E725" s="39">
        <v>0.86</v>
      </c>
      <c r="F725" s="39">
        <v>1.06</v>
      </c>
      <c r="G725" s="39">
        <v>1.3</v>
      </c>
      <c r="H725" s="39">
        <v>1.45</v>
      </c>
      <c r="I725" s="39">
        <v>1.44</v>
      </c>
      <c r="J725" s="39">
        <v>1.33</v>
      </c>
      <c r="K725" s="39">
        <v>1.19</v>
      </c>
      <c r="L725" s="39">
        <v>1.02</v>
      </c>
      <c r="M725" s="39">
        <v>0.85</v>
      </c>
      <c r="N725" s="39">
        <v>0.73</v>
      </c>
      <c r="O725" s="39">
        <v>0.68</v>
      </c>
    </row>
    <row r="726" spans="1:15">
      <c r="A726" s="1">
        <f t="shared" si="11"/>
        <v>37.65</v>
      </c>
      <c r="B726" s="38">
        <v>37</v>
      </c>
      <c r="C726" s="39">
        <v>65</v>
      </c>
      <c r="D726" s="39">
        <v>0.66</v>
      </c>
      <c r="E726" s="39">
        <v>0.8</v>
      </c>
      <c r="F726" s="39">
        <v>1.02</v>
      </c>
      <c r="G726" s="39">
        <v>1.26</v>
      </c>
      <c r="H726" s="39">
        <v>1.43</v>
      </c>
      <c r="I726" s="39">
        <v>1.42</v>
      </c>
      <c r="J726" s="39">
        <v>1.31</v>
      </c>
      <c r="K726" s="39">
        <v>1.1599999999999999</v>
      </c>
      <c r="L726" s="39">
        <v>0.98</v>
      </c>
      <c r="M726" s="39">
        <v>0.8</v>
      </c>
      <c r="N726" s="39">
        <v>0.67</v>
      </c>
      <c r="O726" s="39">
        <v>0.62</v>
      </c>
    </row>
    <row r="727" spans="1:15">
      <c r="A727" s="1">
        <f t="shared" si="11"/>
        <v>37.700000000000003</v>
      </c>
      <c r="B727" s="38">
        <v>37</v>
      </c>
      <c r="C727" s="39">
        <v>70</v>
      </c>
      <c r="D727" s="39">
        <v>0.6</v>
      </c>
      <c r="E727" s="39">
        <v>0.74</v>
      </c>
      <c r="F727" s="39">
        <v>0.9</v>
      </c>
      <c r="G727" s="39">
        <v>1.22</v>
      </c>
      <c r="H727" s="39">
        <v>1.4</v>
      </c>
      <c r="I727" s="39">
        <v>1.4</v>
      </c>
      <c r="J727" s="39">
        <v>1.27</v>
      </c>
      <c r="K727" s="39">
        <v>1.1200000000000001</v>
      </c>
      <c r="L727" s="39">
        <v>0.93</v>
      </c>
      <c r="M727" s="39">
        <v>0.74</v>
      </c>
      <c r="N727" s="39">
        <v>0.6</v>
      </c>
      <c r="O727" s="39">
        <v>0.55000000000000004</v>
      </c>
    </row>
    <row r="728" spans="1:15">
      <c r="A728" s="1">
        <f t="shared" si="11"/>
        <v>37.75</v>
      </c>
      <c r="B728" s="38">
        <v>37</v>
      </c>
      <c r="C728" s="39">
        <v>75</v>
      </c>
      <c r="D728" s="39">
        <v>0.53</v>
      </c>
      <c r="E728" s="39">
        <v>0.68</v>
      </c>
      <c r="F728" s="39">
        <v>0.91</v>
      </c>
      <c r="G728" s="39">
        <v>1.17</v>
      </c>
      <c r="H728" s="39">
        <v>1.36</v>
      </c>
      <c r="I728" s="39">
        <v>1.36</v>
      </c>
      <c r="J728" s="39">
        <v>1.23</v>
      </c>
      <c r="K728" s="39">
        <v>1.07</v>
      </c>
      <c r="L728" s="39">
        <v>0.87</v>
      </c>
      <c r="M728" s="39">
        <v>0.67</v>
      </c>
      <c r="N728" s="39">
        <v>0.53</v>
      </c>
      <c r="O728" s="39">
        <v>0.48</v>
      </c>
    </row>
    <row r="729" spans="1:15">
      <c r="A729" s="1">
        <f t="shared" si="11"/>
        <v>37.799999999999997</v>
      </c>
      <c r="B729" s="38">
        <v>37</v>
      </c>
      <c r="C729" s="39">
        <v>80</v>
      </c>
      <c r="D729" s="39">
        <v>0.45</v>
      </c>
      <c r="E729" s="39">
        <v>0.6</v>
      </c>
      <c r="F729" s="39">
        <v>0.84</v>
      </c>
      <c r="G729" s="39">
        <v>1.1200000000000001</v>
      </c>
      <c r="H729" s="39">
        <v>1.31</v>
      </c>
      <c r="I729" s="39">
        <v>1.31</v>
      </c>
      <c r="J729" s="39">
        <v>1.19</v>
      </c>
      <c r="K729" s="39">
        <v>1.02</v>
      </c>
      <c r="L729" s="39">
        <v>0.81</v>
      </c>
      <c r="M729" s="39">
        <v>0.6</v>
      </c>
      <c r="N729" s="39">
        <v>0.46</v>
      </c>
      <c r="O729" s="39">
        <v>0.4</v>
      </c>
    </row>
    <row r="730" spans="1:15">
      <c r="A730" s="1">
        <f t="shared" si="11"/>
        <v>37.85</v>
      </c>
      <c r="B730" s="38">
        <v>37</v>
      </c>
      <c r="C730" s="39">
        <v>85</v>
      </c>
      <c r="D730" s="39">
        <v>0.38</v>
      </c>
      <c r="E730" s="39">
        <v>0.53</v>
      </c>
      <c r="F730" s="39">
        <v>0.77</v>
      </c>
      <c r="G730" s="39">
        <v>1.05</v>
      </c>
      <c r="H730" s="39">
        <v>1.26</v>
      </c>
      <c r="I730" s="39">
        <v>1.26</v>
      </c>
      <c r="J730" s="39">
        <v>1.1299999999999999</v>
      </c>
      <c r="K730" s="39">
        <v>0.96</v>
      </c>
      <c r="L730" s="39">
        <v>0.74</v>
      </c>
      <c r="M730" s="39">
        <v>0.53</v>
      </c>
      <c r="N730" s="39">
        <v>0.38</v>
      </c>
      <c r="O730" s="39">
        <v>0.32</v>
      </c>
    </row>
    <row r="731" spans="1:15">
      <c r="A731" s="1">
        <f t="shared" si="11"/>
        <v>37.9</v>
      </c>
      <c r="B731" s="38">
        <v>37</v>
      </c>
      <c r="C731" s="39">
        <v>90</v>
      </c>
      <c r="D731" s="39">
        <v>0.3</v>
      </c>
      <c r="E731" s="39">
        <v>0.45</v>
      </c>
      <c r="F731" s="39">
        <v>0.7</v>
      </c>
      <c r="G731" s="39">
        <v>0.98</v>
      </c>
      <c r="H731" s="39">
        <v>1.19</v>
      </c>
      <c r="I731" s="39">
        <v>1.2</v>
      </c>
      <c r="J731" s="39">
        <v>1.07</v>
      </c>
      <c r="K731" s="39">
        <v>0.89</v>
      </c>
      <c r="L731" s="39">
        <v>0.67</v>
      </c>
      <c r="M731" s="39">
        <v>0.46</v>
      </c>
      <c r="N731" s="39">
        <v>0.3</v>
      </c>
      <c r="O731" s="39">
        <v>0.25</v>
      </c>
    </row>
    <row r="732" spans="1:15">
      <c r="A732" s="1">
        <f t="shared" si="11"/>
        <v>38</v>
      </c>
      <c r="B732" s="38">
        <v>38</v>
      </c>
      <c r="C732" s="39">
        <v>0</v>
      </c>
      <c r="D732" s="39">
        <v>1</v>
      </c>
      <c r="E732" s="39">
        <v>1</v>
      </c>
      <c r="F732" s="39">
        <v>1</v>
      </c>
      <c r="G732" s="39">
        <v>1</v>
      </c>
      <c r="H732" s="39">
        <v>1</v>
      </c>
      <c r="I732" s="39">
        <v>1</v>
      </c>
      <c r="J732" s="39">
        <v>1</v>
      </c>
      <c r="K732" s="39">
        <v>1</v>
      </c>
      <c r="L732" s="39">
        <v>1</v>
      </c>
      <c r="M732" s="39">
        <v>1</v>
      </c>
      <c r="N732" s="39">
        <v>1</v>
      </c>
      <c r="O732" s="39">
        <v>1</v>
      </c>
    </row>
    <row r="733" spans="1:15">
      <c r="A733" s="1">
        <f t="shared" si="11"/>
        <v>38.049999999999997</v>
      </c>
      <c r="B733" s="38">
        <v>38</v>
      </c>
      <c r="C733" s="39">
        <v>5</v>
      </c>
      <c r="D733" s="39">
        <v>1.02</v>
      </c>
      <c r="E733" s="39">
        <v>1.03</v>
      </c>
      <c r="F733" s="39">
        <v>1.05</v>
      </c>
      <c r="G733" s="39">
        <v>1.07</v>
      </c>
      <c r="H733" s="39">
        <v>1.08</v>
      </c>
      <c r="I733" s="39">
        <v>1.08</v>
      </c>
      <c r="J733" s="39">
        <v>1.07</v>
      </c>
      <c r="K733" s="39">
        <v>1.06</v>
      </c>
      <c r="L733" s="39">
        <v>1.04</v>
      </c>
      <c r="M733" s="39">
        <v>1.03</v>
      </c>
      <c r="N733" s="39">
        <v>1.02</v>
      </c>
      <c r="O733" s="39">
        <v>1.01</v>
      </c>
    </row>
    <row r="734" spans="1:15">
      <c r="A734" s="1">
        <f t="shared" si="11"/>
        <v>38.1</v>
      </c>
      <c r="B734" s="38">
        <v>38</v>
      </c>
      <c r="C734" s="39">
        <v>10</v>
      </c>
      <c r="D734" s="39">
        <v>1.03</v>
      </c>
      <c r="E734" s="39">
        <v>1.05</v>
      </c>
      <c r="F734" s="39">
        <v>1.0900000000000001</v>
      </c>
      <c r="G734" s="39">
        <v>1.1399999999999999</v>
      </c>
      <c r="H734" s="39">
        <v>1.1599999999999999</v>
      </c>
      <c r="I734" s="39">
        <v>1.1599999999999999</v>
      </c>
      <c r="J734" s="39">
        <v>1.1299999999999999</v>
      </c>
      <c r="K734" s="39">
        <v>1.1100000000000001</v>
      </c>
      <c r="L734" s="39">
        <v>1.08</v>
      </c>
      <c r="M734" s="39">
        <v>1.05</v>
      </c>
      <c r="N734" s="39">
        <v>1.02</v>
      </c>
      <c r="O734" s="39">
        <v>1.02</v>
      </c>
    </row>
    <row r="735" spans="1:15">
      <c r="A735" s="1">
        <f t="shared" si="11"/>
        <v>38.15</v>
      </c>
      <c r="B735" s="38">
        <v>38</v>
      </c>
      <c r="C735" s="39">
        <v>15</v>
      </c>
      <c r="D735" s="39">
        <v>1.03</v>
      </c>
      <c r="E735" s="39">
        <v>1.07</v>
      </c>
      <c r="F735" s="39">
        <v>1.1299999999999999</v>
      </c>
      <c r="G735" s="39">
        <v>1.19</v>
      </c>
      <c r="H735" s="39">
        <v>1.23</v>
      </c>
      <c r="I735" s="39">
        <v>1.22</v>
      </c>
      <c r="J735" s="39">
        <v>1.19</v>
      </c>
      <c r="K735" s="39">
        <v>1.1499999999999999</v>
      </c>
      <c r="L735" s="39">
        <v>1.1100000000000001</v>
      </c>
      <c r="M735" s="39">
        <v>1.06</v>
      </c>
      <c r="N735" s="39">
        <v>1.03</v>
      </c>
      <c r="O735" s="39">
        <v>1.01</v>
      </c>
    </row>
    <row r="736" spans="1:15">
      <c r="A736" s="1">
        <f t="shared" si="11"/>
        <v>38.200000000000003</v>
      </c>
      <c r="B736" s="38">
        <v>38</v>
      </c>
      <c r="C736" s="39">
        <v>20</v>
      </c>
      <c r="D736" s="39">
        <v>1.02</v>
      </c>
      <c r="E736" s="39">
        <v>1.07</v>
      </c>
      <c r="F736" s="39">
        <v>1.1499999999999999</v>
      </c>
      <c r="G736" s="39">
        <v>1.24</v>
      </c>
      <c r="H736" s="39">
        <v>1.3</v>
      </c>
      <c r="I736" s="39">
        <v>1.29</v>
      </c>
      <c r="J736" s="39">
        <v>1.24</v>
      </c>
      <c r="K736" s="39">
        <v>1.19</v>
      </c>
      <c r="L736" s="39">
        <v>1.1299999999999999</v>
      </c>
      <c r="M736" s="39">
        <v>1.07</v>
      </c>
      <c r="N736" s="39">
        <v>1.02</v>
      </c>
      <c r="O736" s="39">
        <v>1.01</v>
      </c>
    </row>
    <row r="737" spans="1:15">
      <c r="A737" s="1">
        <f t="shared" si="11"/>
        <v>38.25</v>
      </c>
      <c r="B737" s="38">
        <v>38</v>
      </c>
      <c r="C737" s="39">
        <v>25</v>
      </c>
      <c r="D737" s="39">
        <v>1.01</v>
      </c>
      <c r="E737" s="39">
        <v>1.08</v>
      </c>
      <c r="F737" s="39">
        <v>1.17</v>
      </c>
      <c r="G737" s="39">
        <v>1.28</v>
      </c>
      <c r="H737" s="39">
        <v>1.35</v>
      </c>
      <c r="I737" s="39">
        <v>1.34</v>
      </c>
      <c r="J737" s="39">
        <v>1.28</v>
      </c>
      <c r="K737" s="39">
        <v>1.22</v>
      </c>
      <c r="L737" s="39">
        <v>1.1399999999999999</v>
      </c>
      <c r="M737" s="39">
        <v>1.07</v>
      </c>
      <c r="N737" s="39">
        <v>1.01</v>
      </c>
      <c r="O737" s="39">
        <v>0.99</v>
      </c>
    </row>
    <row r="738" spans="1:15">
      <c r="A738" s="1">
        <f t="shared" si="11"/>
        <v>38.299999999999997</v>
      </c>
      <c r="B738" s="38">
        <v>38</v>
      </c>
      <c r="C738" s="39">
        <v>30</v>
      </c>
      <c r="D738" s="39">
        <v>0.99</v>
      </c>
      <c r="E738" s="39">
        <v>1.07</v>
      </c>
      <c r="F738" s="39">
        <v>1.18</v>
      </c>
      <c r="G738" s="39">
        <v>1.31</v>
      </c>
      <c r="H738" s="39">
        <v>1.4</v>
      </c>
      <c r="I738" s="39">
        <v>1.38</v>
      </c>
      <c r="J738" s="39">
        <v>1.31</v>
      </c>
      <c r="K738" s="39">
        <v>1.24</v>
      </c>
      <c r="L738" s="39">
        <v>1.1499999999999999</v>
      </c>
      <c r="M738" s="39">
        <v>1.06</v>
      </c>
      <c r="N738" s="39">
        <v>0.99</v>
      </c>
      <c r="O738" s="39">
        <v>0.97</v>
      </c>
    </row>
    <row r="739" spans="1:15">
      <c r="A739" s="1">
        <f t="shared" si="11"/>
        <v>38.35</v>
      </c>
      <c r="B739" s="38">
        <v>38</v>
      </c>
      <c r="C739" s="39">
        <v>35</v>
      </c>
      <c r="D739" s="39">
        <v>0.97</v>
      </c>
      <c r="E739" s="39">
        <v>1.05</v>
      </c>
      <c r="F739" s="39">
        <v>1.19</v>
      </c>
      <c r="G739" s="39">
        <v>1.34</v>
      </c>
      <c r="H739" s="39">
        <v>1.43</v>
      </c>
      <c r="I739" s="39">
        <v>1.42</v>
      </c>
      <c r="J739" s="39">
        <v>1.34</v>
      </c>
      <c r="K739" s="39">
        <v>1.25</v>
      </c>
      <c r="L739" s="39">
        <v>1.1499999999999999</v>
      </c>
      <c r="M739" s="39">
        <v>1.04</v>
      </c>
      <c r="N739" s="39">
        <v>0.96</v>
      </c>
      <c r="O739" s="39">
        <v>0.94</v>
      </c>
    </row>
    <row r="740" spans="1:15">
      <c r="A740" s="1">
        <f t="shared" si="11"/>
        <v>38.4</v>
      </c>
      <c r="B740" s="38">
        <v>38</v>
      </c>
      <c r="C740" s="39">
        <v>40</v>
      </c>
      <c r="D740" s="39">
        <v>0.93</v>
      </c>
      <c r="E740" s="39">
        <v>1.03</v>
      </c>
      <c r="F740" s="39">
        <v>1.18</v>
      </c>
      <c r="G740" s="39">
        <v>1.35</v>
      </c>
      <c r="H740" s="39">
        <v>1.46</v>
      </c>
      <c r="I740" s="39">
        <v>1.45</v>
      </c>
      <c r="J740" s="39">
        <v>1.36</v>
      </c>
      <c r="K740" s="39">
        <v>1.26</v>
      </c>
      <c r="L740" s="39">
        <v>1.1399999999999999</v>
      </c>
      <c r="M740" s="39">
        <v>1.02</v>
      </c>
      <c r="N740" s="39">
        <v>0.93</v>
      </c>
      <c r="O740" s="39">
        <v>0.9</v>
      </c>
    </row>
    <row r="741" spans="1:15">
      <c r="A741" s="1">
        <f t="shared" si="11"/>
        <v>38.450000000000003</v>
      </c>
      <c r="B741" s="38">
        <v>38</v>
      </c>
      <c r="C741" s="39">
        <v>45</v>
      </c>
      <c r="D741" s="39">
        <v>0.89</v>
      </c>
      <c r="E741" s="39">
        <v>1</v>
      </c>
      <c r="F741" s="39">
        <v>1.17</v>
      </c>
      <c r="G741" s="39">
        <v>1.36</v>
      </c>
      <c r="H741" s="39">
        <v>1.48</v>
      </c>
      <c r="I741" s="39">
        <v>1.47</v>
      </c>
      <c r="J741" s="39">
        <v>1.37</v>
      </c>
      <c r="K741" s="39">
        <v>1.26</v>
      </c>
      <c r="L741" s="39">
        <v>1.1299999999999999</v>
      </c>
      <c r="M741" s="39">
        <v>0.99</v>
      </c>
      <c r="N741" s="39">
        <v>0.89</v>
      </c>
      <c r="O741" s="39">
        <v>0.86</v>
      </c>
    </row>
    <row r="742" spans="1:15">
      <c r="A742" s="1">
        <f t="shared" si="11"/>
        <v>38.5</v>
      </c>
      <c r="B742" s="38">
        <v>38</v>
      </c>
      <c r="C742" s="39">
        <v>50</v>
      </c>
      <c r="D742" s="39">
        <v>0.85</v>
      </c>
      <c r="E742" s="39">
        <v>0.97</v>
      </c>
      <c r="F742" s="39">
        <v>1.1499999999999999</v>
      </c>
      <c r="G742" s="39">
        <v>1.35</v>
      </c>
      <c r="H742" s="39">
        <v>1.49</v>
      </c>
      <c r="I742" s="39">
        <v>1.48</v>
      </c>
      <c r="J742" s="39">
        <v>1.37</v>
      </c>
      <c r="K742" s="39">
        <v>1.25</v>
      </c>
      <c r="L742" s="39">
        <v>1.1000000000000001</v>
      </c>
      <c r="M742" s="39">
        <v>0.96</v>
      </c>
      <c r="N742" s="39">
        <v>0.85</v>
      </c>
      <c r="O742" s="39">
        <v>0.81</v>
      </c>
    </row>
    <row r="743" spans="1:15">
      <c r="A743" s="1">
        <f t="shared" si="11"/>
        <v>38.549999999999997</v>
      </c>
      <c r="B743" s="38">
        <v>38</v>
      </c>
      <c r="C743" s="39">
        <v>55</v>
      </c>
      <c r="D743" s="39">
        <v>0.8</v>
      </c>
      <c r="E743" s="39">
        <v>0.92</v>
      </c>
      <c r="F743" s="39">
        <v>1.1200000000000001</v>
      </c>
      <c r="G743" s="39">
        <v>1.34</v>
      </c>
      <c r="H743" s="39">
        <v>1.49</v>
      </c>
      <c r="I743" s="39">
        <v>1.48</v>
      </c>
      <c r="J743" s="39">
        <v>1.36</v>
      </c>
      <c r="K743" s="39">
        <v>1.23</v>
      </c>
      <c r="L743" s="39">
        <v>1.07</v>
      </c>
      <c r="M743" s="39">
        <v>0.91</v>
      </c>
      <c r="N743" s="39">
        <v>0.8</v>
      </c>
      <c r="O743" s="39">
        <v>0.75</v>
      </c>
    </row>
    <row r="744" spans="1:15">
      <c r="A744" s="1">
        <f t="shared" si="11"/>
        <v>38.6</v>
      </c>
      <c r="B744" s="38">
        <v>38</v>
      </c>
      <c r="C744" s="39">
        <v>60</v>
      </c>
      <c r="D744" s="39">
        <v>0.74</v>
      </c>
      <c r="E744" s="39">
        <v>0.87</v>
      </c>
      <c r="F744" s="39">
        <v>1.08</v>
      </c>
      <c r="G744" s="39">
        <v>1.32</v>
      </c>
      <c r="H744" s="39">
        <v>1.48</v>
      </c>
      <c r="I744" s="39">
        <v>1.47</v>
      </c>
      <c r="J744" s="39">
        <v>1.35</v>
      </c>
      <c r="K744" s="39">
        <v>1.21</v>
      </c>
      <c r="L744" s="39">
        <v>1.04</v>
      </c>
      <c r="M744" s="39">
        <v>0.86</v>
      </c>
      <c r="N744" s="39">
        <v>0.74</v>
      </c>
      <c r="O744" s="39">
        <v>0.69</v>
      </c>
    </row>
    <row r="745" spans="1:15">
      <c r="A745" s="1">
        <f t="shared" si="11"/>
        <v>38.65</v>
      </c>
      <c r="B745" s="38">
        <v>38</v>
      </c>
      <c r="C745" s="39">
        <v>65</v>
      </c>
      <c r="D745" s="39">
        <v>0.68</v>
      </c>
      <c r="E745" s="39">
        <v>0.82</v>
      </c>
      <c r="F745" s="39">
        <v>1.04</v>
      </c>
      <c r="G745" s="39">
        <v>1.29</v>
      </c>
      <c r="H745" s="39">
        <v>1.46</v>
      </c>
      <c r="I745" s="39">
        <v>1.45</v>
      </c>
      <c r="J745" s="39">
        <v>1.33</v>
      </c>
      <c r="K745" s="39">
        <v>1.18</v>
      </c>
      <c r="L745" s="39">
        <v>0.99</v>
      </c>
      <c r="M745" s="39">
        <v>0.81</v>
      </c>
      <c r="N745" s="39">
        <v>0.68</v>
      </c>
      <c r="O745" s="39">
        <v>0.63</v>
      </c>
    </row>
    <row r="746" spans="1:15">
      <c r="A746" s="1">
        <f t="shared" si="11"/>
        <v>38.700000000000003</v>
      </c>
      <c r="B746" s="38">
        <v>38</v>
      </c>
      <c r="C746" s="39">
        <v>70</v>
      </c>
      <c r="D746" s="39">
        <v>0.61</v>
      </c>
      <c r="E746" s="39">
        <v>0.76</v>
      </c>
      <c r="F746" s="39">
        <v>0.98</v>
      </c>
      <c r="G746" s="39">
        <v>1.25</v>
      </c>
      <c r="H746" s="39">
        <v>1.43</v>
      </c>
      <c r="I746" s="39">
        <v>1.42</v>
      </c>
      <c r="J746" s="39">
        <v>1.29</v>
      </c>
      <c r="K746" s="39">
        <v>1.1399999999999999</v>
      </c>
      <c r="L746" s="39">
        <v>0.94</v>
      </c>
      <c r="M746" s="39">
        <v>0.75</v>
      </c>
      <c r="N746" s="39">
        <v>0.61</v>
      </c>
      <c r="O746" s="39">
        <v>0.56000000000000005</v>
      </c>
    </row>
    <row r="747" spans="1:15">
      <c r="A747" s="1">
        <f t="shared" si="11"/>
        <v>38.75</v>
      </c>
      <c r="B747" s="38">
        <v>38</v>
      </c>
      <c r="C747" s="39">
        <v>75</v>
      </c>
      <c r="D747" s="39">
        <v>0.54</v>
      </c>
      <c r="E747" s="39">
        <v>0.69</v>
      </c>
      <c r="F747" s="39">
        <v>0.93</v>
      </c>
      <c r="G747" s="39">
        <v>1.2</v>
      </c>
      <c r="H747" s="39">
        <v>1.39</v>
      </c>
      <c r="I747" s="39">
        <v>1.39</v>
      </c>
      <c r="J747" s="39">
        <v>1.25</v>
      </c>
      <c r="K747" s="39">
        <v>1.0900000000000001</v>
      </c>
      <c r="L747" s="39">
        <v>0.89</v>
      </c>
      <c r="M747" s="39">
        <v>0.69</v>
      </c>
      <c r="N747" s="39">
        <v>0.54</v>
      </c>
      <c r="O747" s="39">
        <v>0.49</v>
      </c>
    </row>
    <row r="748" spans="1:15">
      <c r="A748" s="1">
        <f t="shared" si="11"/>
        <v>38.799999999999997</v>
      </c>
      <c r="B748" s="38">
        <v>38</v>
      </c>
      <c r="C748" s="39">
        <v>80</v>
      </c>
      <c r="D748" s="39">
        <v>0.47</v>
      </c>
      <c r="E748" s="39">
        <v>0.62</v>
      </c>
      <c r="F748" s="39">
        <v>0.86</v>
      </c>
      <c r="G748" s="39">
        <v>1.1399999999999999</v>
      </c>
      <c r="H748" s="39">
        <v>1.34</v>
      </c>
      <c r="I748" s="39">
        <v>1.34</v>
      </c>
      <c r="J748" s="39">
        <v>1.21</v>
      </c>
      <c r="K748" s="39">
        <v>1.04</v>
      </c>
      <c r="L748" s="39">
        <v>0.83</v>
      </c>
      <c r="M748" s="39">
        <v>0.62</v>
      </c>
      <c r="N748" s="39">
        <v>0.47</v>
      </c>
      <c r="O748" s="39">
        <v>0.42</v>
      </c>
    </row>
    <row r="749" spans="1:15">
      <c r="A749" s="1">
        <f t="shared" si="11"/>
        <v>38.85</v>
      </c>
      <c r="B749" s="38">
        <v>38</v>
      </c>
      <c r="C749" s="39">
        <v>85</v>
      </c>
      <c r="D749" s="39">
        <v>0.39</v>
      </c>
      <c r="E749" s="39">
        <v>0.55000000000000004</v>
      </c>
      <c r="F749" s="39">
        <v>0.79</v>
      </c>
      <c r="G749" s="39">
        <v>1.08</v>
      </c>
      <c r="H749" s="39">
        <v>1.29</v>
      </c>
      <c r="I749" s="39">
        <v>1.29</v>
      </c>
      <c r="J749" s="39">
        <v>1.1499999999999999</v>
      </c>
      <c r="K749" s="39">
        <v>0.98</v>
      </c>
      <c r="L749" s="39">
        <v>0.76</v>
      </c>
      <c r="M749" s="39">
        <v>0.55000000000000004</v>
      </c>
      <c r="N749" s="39">
        <v>0.4</v>
      </c>
      <c r="O749" s="39">
        <v>0.34</v>
      </c>
    </row>
    <row r="750" spans="1:15">
      <c r="A750" s="1">
        <f t="shared" si="11"/>
        <v>38.9</v>
      </c>
      <c r="B750" s="38">
        <v>38</v>
      </c>
      <c r="C750" s="39">
        <v>90</v>
      </c>
      <c r="D750" s="39">
        <v>0.31</v>
      </c>
      <c r="E750" s="39">
        <v>0.47</v>
      </c>
      <c r="F750" s="39">
        <v>0.72</v>
      </c>
      <c r="G750" s="39">
        <v>1.01</v>
      </c>
      <c r="H750" s="39">
        <v>1.22</v>
      </c>
      <c r="I750" s="39">
        <v>1.23</v>
      </c>
      <c r="J750" s="39">
        <v>1.0900000000000001</v>
      </c>
      <c r="K750" s="39">
        <v>0.91</v>
      </c>
      <c r="L750" s="39">
        <v>0.69</v>
      </c>
      <c r="M750" s="39">
        <v>0.47</v>
      </c>
      <c r="N750" s="39">
        <v>0.32</v>
      </c>
      <c r="O750" s="39">
        <v>0.26</v>
      </c>
    </row>
    <row r="751" spans="1:15">
      <c r="A751" s="1">
        <f t="shared" si="11"/>
        <v>39</v>
      </c>
      <c r="B751" s="38">
        <v>39</v>
      </c>
      <c r="C751" s="39">
        <v>0</v>
      </c>
      <c r="D751" s="39">
        <v>1</v>
      </c>
      <c r="E751" s="39">
        <v>1</v>
      </c>
      <c r="F751" s="39">
        <v>1</v>
      </c>
      <c r="G751" s="39">
        <v>1</v>
      </c>
      <c r="H751" s="39">
        <v>1</v>
      </c>
      <c r="I751" s="39">
        <v>1</v>
      </c>
      <c r="J751" s="39">
        <v>1</v>
      </c>
      <c r="K751" s="39">
        <v>1</v>
      </c>
      <c r="L751" s="39">
        <v>1</v>
      </c>
      <c r="M751" s="39">
        <v>1</v>
      </c>
      <c r="N751" s="39">
        <v>1</v>
      </c>
      <c r="O751" s="39">
        <v>1</v>
      </c>
    </row>
    <row r="752" spans="1:15">
      <c r="A752" s="1">
        <f t="shared" si="11"/>
        <v>39.049999999999997</v>
      </c>
      <c r="B752" s="38">
        <v>39</v>
      </c>
      <c r="C752" s="39">
        <v>5</v>
      </c>
      <c r="D752" s="39">
        <v>1.02</v>
      </c>
      <c r="E752" s="39">
        <v>1.03</v>
      </c>
      <c r="F752" s="39">
        <v>1.05</v>
      </c>
      <c r="G752" s="39">
        <v>1.07</v>
      </c>
      <c r="H752" s="39">
        <v>1.0900000000000001</v>
      </c>
      <c r="I752" s="39">
        <v>1.08</v>
      </c>
      <c r="J752" s="39">
        <v>1.07</v>
      </c>
      <c r="K752" s="39">
        <v>1.06</v>
      </c>
      <c r="L752" s="39">
        <v>1.04</v>
      </c>
      <c r="M752" s="39">
        <v>1.03</v>
      </c>
      <c r="N752" s="39">
        <v>1.02</v>
      </c>
      <c r="O752" s="39">
        <v>1.01</v>
      </c>
    </row>
    <row r="753" spans="1:15">
      <c r="A753" s="1">
        <f t="shared" si="11"/>
        <v>39.1</v>
      </c>
      <c r="B753" s="38">
        <v>39</v>
      </c>
      <c r="C753" s="39">
        <v>10</v>
      </c>
      <c r="D753" s="39">
        <v>1.03</v>
      </c>
      <c r="E753" s="39">
        <v>1.06</v>
      </c>
      <c r="F753" s="39">
        <v>1.1000000000000001</v>
      </c>
      <c r="G753" s="39">
        <v>1.1399999999999999</v>
      </c>
      <c r="H753" s="39">
        <v>1.17</v>
      </c>
      <c r="I753" s="39">
        <v>1.1599999999999999</v>
      </c>
      <c r="J753" s="39">
        <v>1.1399999999999999</v>
      </c>
      <c r="K753" s="39">
        <v>1.1100000000000001</v>
      </c>
      <c r="L753" s="39">
        <v>1.08</v>
      </c>
      <c r="M753" s="39">
        <v>1.05</v>
      </c>
      <c r="N753" s="39">
        <v>1.03</v>
      </c>
      <c r="O753" s="39">
        <v>1.02</v>
      </c>
    </row>
    <row r="754" spans="1:15">
      <c r="A754" s="1">
        <f t="shared" si="11"/>
        <v>39.15</v>
      </c>
      <c r="B754" s="38">
        <v>39</v>
      </c>
      <c r="C754" s="39">
        <v>15</v>
      </c>
      <c r="D754" s="39">
        <v>1.03</v>
      </c>
      <c r="E754" s="39">
        <v>1.07</v>
      </c>
      <c r="F754" s="39">
        <v>1.1299999999999999</v>
      </c>
      <c r="G754" s="39">
        <v>1.2</v>
      </c>
      <c r="H754" s="39">
        <v>1.24</v>
      </c>
      <c r="I754" s="39">
        <v>1.23</v>
      </c>
      <c r="J754" s="39">
        <v>1.19</v>
      </c>
      <c r="K754" s="39">
        <v>1.1599999999999999</v>
      </c>
      <c r="L754" s="39">
        <v>1.1100000000000001</v>
      </c>
      <c r="M754" s="39">
        <v>1.07</v>
      </c>
      <c r="N754" s="39">
        <v>1.03</v>
      </c>
      <c r="O754" s="39">
        <v>1.02</v>
      </c>
    </row>
    <row r="755" spans="1:15">
      <c r="A755" s="1">
        <f t="shared" si="11"/>
        <v>39.200000000000003</v>
      </c>
      <c r="B755" s="38">
        <v>39</v>
      </c>
      <c r="C755" s="39">
        <v>20</v>
      </c>
      <c r="D755" s="39">
        <v>1.03</v>
      </c>
      <c r="E755" s="39">
        <v>1.08</v>
      </c>
      <c r="F755" s="39">
        <v>1.1599999999999999</v>
      </c>
      <c r="G755" s="39">
        <v>1.25</v>
      </c>
      <c r="H755" s="39">
        <v>1.31</v>
      </c>
      <c r="I755" s="39">
        <v>1.29</v>
      </c>
      <c r="J755" s="39">
        <v>1.25</v>
      </c>
      <c r="K755" s="39">
        <v>1.2</v>
      </c>
      <c r="L755" s="39">
        <v>1.1399999999999999</v>
      </c>
      <c r="M755" s="39">
        <v>1.07</v>
      </c>
      <c r="N755" s="39">
        <v>1.03</v>
      </c>
      <c r="O755" s="39">
        <v>1.01</v>
      </c>
    </row>
    <row r="756" spans="1:15">
      <c r="A756" s="1">
        <f t="shared" si="11"/>
        <v>39.25</v>
      </c>
      <c r="B756" s="38">
        <v>39</v>
      </c>
      <c r="C756" s="39">
        <v>25</v>
      </c>
      <c r="D756" s="39">
        <v>1.02</v>
      </c>
      <c r="E756" s="39">
        <v>1.08</v>
      </c>
      <c r="F756" s="39">
        <v>1.18</v>
      </c>
      <c r="G756" s="39">
        <v>1.29</v>
      </c>
      <c r="H756" s="39">
        <v>1.36</v>
      </c>
      <c r="I756" s="39">
        <v>1.35</v>
      </c>
      <c r="J756" s="39">
        <v>1.29</v>
      </c>
      <c r="K756" s="39">
        <v>1.23</v>
      </c>
      <c r="L756" s="39">
        <v>1.1499999999999999</v>
      </c>
      <c r="M756" s="39">
        <v>1.07</v>
      </c>
      <c r="N756" s="39">
        <v>1.02</v>
      </c>
      <c r="O756" s="39">
        <v>1</v>
      </c>
    </row>
    <row r="757" spans="1:15">
      <c r="A757" s="1">
        <f t="shared" si="11"/>
        <v>39.299999999999997</v>
      </c>
      <c r="B757" s="38">
        <v>39</v>
      </c>
      <c r="C757" s="39">
        <v>30</v>
      </c>
      <c r="D757" s="39">
        <v>1</v>
      </c>
      <c r="E757" s="39">
        <v>1.08</v>
      </c>
      <c r="F757" s="39">
        <v>1.19</v>
      </c>
      <c r="G757" s="39">
        <v>1.33</v>
      </c>
      <c r="H757" s="39">
        <v>1.41</v>
      </c>
      <c r="I757" s="39">
        <v>1.4</v>
      </c>
      <c r="J757" s="39">
        <v>1.33</v>
      </c>
      <c r="K757" s="39">
        <v>1.25</v>
      </c>
      <c r="L757" s="39">
        <v>1.1599999999999999</v>
      </c>
      <c r="M757" s="39">
        <v>1.07</v>
      </c>
      <c r="N757" s="39">
        <v>1</v>
      </c>
      <c r="O757" s="39">
        <v>0.97</v>
      </c>
    </row>
    <row r="758" spans="1:15">
      <c r="A758" s="1">
        <f t="shared" si="11"/>
        <v>39.35</v>
      </c>
      <c r="B758" s="38">
        <v>39</v>
      </c>
      <c r="C758" s="39">
        <v>35</v>
      </c>
      <c r="D758" s="39">
        <v>0.98</v>
      </c>
      <c r="E758" s="39">
        <v>1.06</v>
      </c>
      <c r="F758" s="39">
        <v>1.2</v>
      </c>
      <c r="G758" s="39">
        <v>1.35</v>
      </c>
      <c r="H758" s="39">
        <v>1.45</v>
      </c>
      <c r="I758" s="39">
        <v>1.43</v>
      </c>
      <c r="J758" s="39">
        <v>1.35</v>
      </c>
      <c r="K758" s="39">
        <v>1.27</v>
      </c>
      <c r="L758" s="39">
        <v>1.1599999999999999</v>
      </c>
      <c r="M758" s="39">
        <v>1.05</v>
      </c>
      <c r="N758" s="39">
        <v>0.97</v>
      </c>
      <c r="O758" s="39">
        <v>0.94</v>
      </c>
    </row>
    <row r="759" spans="1:15">
      <c r="A759" s="1">
        <f t="shared" si="11"/>
        <v>39.4</v>
      </c>
      <c r="B759" s="38">
        <v>39</v>
      </c>
      <c r="C759" s="39">
        <v>40</v>
      </c>
      <c r="D759" s="39">
        <v>0.94</v>
      </c>
      <c r="E759" s="39">
        <v>1.04</v>
      </c>
      <c r="F759" s="39">
        <v>1.19</v>
      </c>
      <c r="G759" s="39">
        <v>1.37</v>
      </c>
      <c r="H759" s="39">
        <v>1.48</v>
      </c>
      <c r="I759" s="39">
        <v>1.46</v>
      </c>
      <c r="J759" s="39">
        <v>1.37</v>
      </c>
      <c r="K759" s="39">
        <v>1.27</v>
      </c>
      <c r="L759" s="39">
        <v>1.1499999999999999</v>
      </c>
      <c r="M759" s="39">
        <v>1.03</v>
      </c>
      <c r="N759" s="39">
        <v>0.94</v>
      </c>
      <c r="O759" s="39">
        <v>0.91</v>
      </c>
    </row>
    <row r="760" spans="1:15">
      <c r="A760" s="1">
        <f t="shared" si="11"/>
        <v>39.450000000000003</v>
      </c>
      <c r="B760" s="38">
        <v>39</v>
      </c>
      <c r="C760" s="39">
        <v>45</v>
      </c>
      <c r="D760" s="39">
        <v>0.9</v>
      </c>
      <c r="E760" s="39">
        <v>1.01</v>
      </c>
      <c r="F760" s="39">
        <v>1.18</v>
      </c>
      <c r="G760" s="39">
        <v>1.37</v>
      </c>
      <c r="H760" s="39">
        <v>1.5</v>
      </c>
      <c r="I760" s="39">
        <v>1.48</v>
      </c>
      <c r="J760" s="39">
        <v>1.38</v>
      </c>
      <c r="K760" s="39">
        <v>1.27</v>
      </c>
      <c r="L760" s="39">
        <v>1.1399999999999999</v>
      </c>
      <c r="M760" s="39">
        <v>1</v>
      </c>
      <c r="N760" s="39">
        <v>0.9</v>
      </c>
      <c r="O760" s="39">
        <v>0.87</v>
      </c>
    </row>
    <row r="761" spans="1:15">
      <c r="A761" s="1">
        <f t="shared" si="11"/>
        <v>39.5</v>
      </c>
      <c r="B761" s="38">
        <v>39</v>
      </c>
      <c r="C761" s="39">
        <v>50</v>
      </c>
      <c r="D761" s="39">
        <v>0.86</v>
      </c>
      <c r="E761" s="39">
        <v>0.98</v>
      </c>
      <c r="F761" s="39">
        <v>1.1599999999999999</v>
      </c>
      <c r="G761" s="39">
        <v>1.37</v>
      </c>
      <c r="H761" s="39">
        <v>1.51</v>
      </c>
      <c r="I761" s="39">
        <v>1.5</v>
      </c>
      <c r="J761" s="39">
        <v>1.39</v>
      </c>
      <c r="K761" s="39">
        <v>1.26</v>
      </c>
      <c r="L761" s="39">
        <v>1.1200000000000001</v>
      </c>
      <c r="M761" s="39">
        <v>0.97</v>
      </c>
      <c r="N761" s="39">
        <v>0.86</v>
      </c>
      <c r="O761" s="39">
        <v>0.82</v>
      </c>
    </row>
    <row r="762" spans="1:15">
      <c r="A762" s="1">
        <f t="shared" si="11"/>
        <v>39.549999999999997</v>
      </c>
      <c r="B762" s="38">
        <v>39</v>
      </c>
      <c r="C762" s="39">
        <v>55</v>
      </c>
      <c r="D762" s="39">
        <v>0.81</v>
      </c>
      <c r="E762" s="39">
        <v>0.94</v>
      </c>
      <c r="F762" s="39">
        <v>1.1299999999999999</v>
      </c>
      <c r="G762" s="39">
        <v>1.36</v>
      </c>
      <c r="H762" s="39">
        <v>1.51</v>
      </c>
      <c r="I762" s="39">
        <v>1.5</v>
      </c>
      <c r="J762" s="39">
        <v>1.38</v>
      </c>
      <c r="K762" s="39">
        <v>1.25</v>
      </c>
      <c r="L762" s="39">
        <v>1.0900000000000001</v>
      </c>
      <c r="M762" s="39">
        <v>0.93</v>
      </c>
      <c r="N762" s="39">
        <v>0.81</v>
      </c>
      <c r="O762" s="39">
        <v>0.77</v>
      </c>
    </row>
    <row r="763" spans="1:15">
      <c r="A763" s="1">
        <f t="shared" si="11"/>
        <v>39.6</v>
      </c>
      <c r="B763" s="38">
        <v>39</v>
      </c>
      <c r="C763" s="39">
        <v>60</v>
      </c>
      <c r="D763" s="39">
        <v>0.75</v>
      </c>
      <c r="E763" s="39">
        <v>0.89</v>
      </c>
      <c r="F763" s="39">
        <v>1.1000000000000001</v>
      </c>
      <c r="G763" s="39">
        <v>1.34</v>
      </c>
      <c r="H763" s="39">
        <v>1.51</v>
      </c>
      <c r="I763" s="39">
        <v>1.49</v>
      </c>
      <c r="J763" s="39">
        <v>1.37</v>
      </c>
      <c r="K763" s="39">
        <v>1.22</v>
      </c>
      <c r="L763" s="39">
        <v>1.05</v>
      </c>
      <c r="M763" s="39">
        <v>0.88</v>
      </c>
      <c r="N763" s="39">
        <v>0.75</v>
      </c>
      <c r="O763" s="39">
        <v>0.71</v>
      </c>
    </row>
    <row r="764" spans="1:15">
      <c r="A764" s="1">
        <f t="shared" si="11"/>
        <v>39.65</v>
      </c>
      <c r="B764" s="38">
        <v>39</v>
      </c>
      <c r="C764" s="39">
        <v>65</v>
      </c>
      <c r="D764" s="39">
        <v>0.69</v>
      </c>
      <c r="E764" s="39">
        <v>0.83</v>
      </c>
      <c r="F764" s="39">
        <v>1.05</v>
      </c>
      <c r="G764" s="39">
        <v>1.31</v>
      </c>
      <c r="H764" s="39">
        <v>1.49</v>
      </c>
      <c r="I764" s="39">
        <v>1.47</v>
      </c>
      <c r="J764" s="39">
        <v>1.35</v>
      </c>
      <c r="K764" s="39">
        <v>1.19</v>
      </c>
      <c r="L764" s="39">
        <v>1.01</v>
      </c>
      <c r="M764" s="39">
        <v>0.83</v>
      </c>
      <c r="N764" s="39">
        <v>0.69</v>
      </c>
      <c r="O764" s="39">
        <v>0.65</v>
      </c>
    </row>
    <row r="765" spans="1:15">
      <c r="A765" s="1">
        <f t="shared" si="11"/>
        <v>39.700000000000003</v>
      </c>
      <c r="B765" s="38">
        <v>39</v>
      </c>
      <c r="C765" s="39">
        <v>70</v>
      </c>
      <c r="D765" s="39">
        <v>0.63</v>
      </c>
      <c r="E765" s="39">
        <v>0.77</v>
      </c>
      <c r="F765" s="39">
        <v>1</v>
      </c>
      <c r="G765" s="39">
        <v>1.27</v>
      </c>
      <c r="H765" s="39">
        <v>1.46</v>
      </c>
      <c r="I765" s="39">
        <v>1.45</v>
      </c>
      <c r="J765" s="39">
        <v>1.32</v>
      </c>
      <c r="K765" s="39">
        <v>1.1499999999999999</v>
      </c>
      <c r="L765" s="39">
        <v>0.96</v>
      </c>
      <c r="M765" s="39">
        <v>0.77</v>
      </c>
      <c r="N765" s="39">
        <v>0.63</v>
      </c>
      <c r="O765" s="39">
        <v>0.57999999999999996</v>
      </c>
    </row>
    <row r="766" spans="1:15">
      <c r="A766" s="1">
        <f t="shared" si="11"/>
        <v>39.75</v>
      </c>
      <c r="B766" s="38">
        <v>39</v>
      </c>
      <c r="C766" s="39">
        <v>75</v>
      </c>
      <c r="D766" s="39">
        <v>0.56000000000000005</v>
      </c>
      <c r="E766" s="39">
        <v>0.71</v>
      </c>
      <c r="F766" s="39">
        <v>0.95</v>
      </c>
      <c r="G766" s="39">
        <v>1.23</v>
      </c>
      <c r="H766" s="39">
        <v>1.42</v>
      </c>
      <c r="I766" s="39">
        <v>1.41</v>
      </c>
      <c r="J766" s="39">
        <v>1.28</v>
      </c>
      <c r="K766" s="39">
        <v>1.1100000000000001</v>
      </c>
      <c r="L766" s="39">
        <v>0.91</v>
      </c>
      <c r="M766" s="39">
        <v>0.7</v>
      </c>
      <c r="N766" s="39">
        <v>0.56000000000000005</v>
      </c>
      <c r="O766" s="39">
        <v>0.51</v>
      </c>
    </row>
    <row r="767" spans="1:15">
      <c r="A767" s="1">
        <f t="shared" si="11"/>
        <v>39.799999999999997</v>
      </c>
      <c r="B767" s="38">
        <v>39</v>
      </c>
      <c r="C767" s="39">
        <v>80</v>
      </c>
      <c r="D767" s="39">
        <v>0.48</v>
      </c>
      <c r="E767" s="39">
        <v>0.64</v>
      </c>
      <c r="F767" s="39">
        <v>0.88</v>
      </c>
      <c r="G767" s="39">
        <v>1.17</v>
      </c>
      <c r="H767" s="39">
        <v>1.37</v>
      </c>
      <c r="I767" s="39">
        <v>1.37</v>
      </c>
      <c r="J767" s="39">
        <v>1.23</v>
      </c>
      <c r="K767" s="39">
        <v>1.06</v>
      </c>
      <c r="L767" s="39">
        <v>0.84</v>
      </c>
      <c r="M767" s="39">
        <v>0.64</v>
      </c>
      <c r="N767" s="39">
        <v>0.49</v>
      </c>
      <c r="O767" s="39">
        <v>0.43</v>
      </c>
    </row>
    <row r="768" spans="1:15">
      <c r="A768" s="1">
        <f t="shared" si="11"/>
        <v>39.85</v>
      </c>
      <c r="B768" s="38">
        <v>39</v>
      </c>
      <c r="C768" s="39">
        <v>85</v>
      </c>
      <c r="D768" s="39">
        <v>0.41</v>
      </c>
      <c r="E768" s="39">
        <v>0.56000000000000005</v>
      </c>
      <c r="F768" s="39">
        <v>0.81</v>
      </c>
      <c r="G768" s="39">
        <v>1.1100000000000001</v>
      </c>
      <c r="H768" s="39">
        <v>1.32</v>
      </c>
      <c r="I768" s="39">
        <v>1.32</v>
      </c>
      <c r="J768" s="39">
        <v>1.18</v>
      </c>
      <c r="K768" s="39">
        <v>1</v>
      </c>
      <c r="L768" s="39">
        <v>0.78</v>
      </c>
      <c r="M768" s="39">
        <v>0.56000000000000005</v>
      </c>
      <c r="N768" s="39">
        <v>0.41</v>
      </c>
      <c r="O768" s="39">
        <v>0.35</v>
      </c>
    </row>
    <row r="769" spans="1:15">
      <c r="A769" s="1">
        <f t="shared" si="11"/>
        <v>39.9</v>
      </c>
      <c r="B769" s="38">
        <v>39</v>
      </c>
      <c r="C769" s="39">
        <v>90</v>
      </c>
      <c r="D769" s="39">
        <v>0.33</v>
      </c>
      <c r="E769" s="39">
        <v>0.49</v>
      </c>
      <c r="F769" s="39">
        <v>0.74</v>
      </c>
      <c r="G769" s="39">
        <v>1.04</v>
      </c>
      <c r="H769" s="39">
        <v>1.25</v>
      </c>
      <c r="I769" s="39">
        <v>1.26</v>
      </c>
      <c r="J769" s="39">
        <v>1.1200000000000001</v>
      </c>
      <c r="K769" s="39">
        <v>0.93</v>
      </c>
      <c r="L769" s="39">
        <v>0.71</v>
      </c>
      <c r="M769" s="39">
        <v>0.49</v>
      </c>
      <c r="N769" s="39">
        <v>0.33</v>
      </c>
      <c r="O769" s="39">
        <v>0.28000000000000003</v>
      </c>
    </row>
    <row r="770" spans="1:15">
      <c r="A770" s="1">
        <f t="shared" si="11"/>
        <v>40</v>
      </c>
      <c r="B770" s="38">
        <v>40</v>
      </c>
      <c r="C770" s="39">
        <v>0</v>
      </c>
      <c r="D770" s="39">
        <v>1</v>
      </c>
      <c r="E770" s="39">
        <v>1</v>
      </c>
      <c r="F770" s="39">
        <v>1</v>
      </c>
      <c r="G770" s="39">
        <v>1</v>
      </c>
      <c r="H770" s="39">
        <v>1</v>
      </c>
      <c r="I770" s="39">
        <v>1</v>
      </c>
      <c r="J770" s="39">
        <v>1</v>
      </c>
      <c r="K770" s="39">
        <v>1</v>
      </c>
      <c r="L770" s="39">
        <v>1</v>
      </c>
      <c r="M770" s="39">
        <v>1</v>
      </c>
      <c r="N770" s="39">
        <v>1</v>
      </c>
      <c r="O770" s="39">
        <v>1</v>
      </c>
    </row>
    <row r="771" spans="1:15">
      <c r="A771" s="1">
        <f t="shared" si="11"/>
        <v>40.049999999999997</v>
      </c>
      <c r="B771" s="38">
        <v>40</v>
      </c>
      <c r="C771" s="39">
        <v>5</v>
      </c>
      <c r="D771" s="39">
        <v>1.02</v>
      </c>
      <c r="E771" s="39">
        <v>1.03</v>
      </c>
      <c r="F771" s="39">
        <v>1.05</v>
      </c>
      <c r="G771" s="39">
        <v>1.08</v>
      </c>
      <c r="H771" s="39">
        <v>1.0900000000000001</v>
      </c>
      <c r="I771" s="39">
        <v>1.0900000000000001</v>
      </c>
      <c r="J771" s="39">
        <v>1.07</v>
      </c>
      <c r="K771" s="39">
        <v>1.06</v>
      </c>
      <c r="L771" s="39">
        <v>1.05</v>
      </c>
      <c r="M771" s="39">
        <v>1.03</v>
      </c>
      <c r="N771" s="39">
        <v>1.02</v>
      </c>
      <c r="O771" s="39">
        <v>1.01</v>
      </c>
    </row>
    <row r="772" spans="1:15">
      <c r="A772" s="1">
        <f t="shared" si="11"/>
        <v>40.1</v>
      </c>
      <c r="B772" s="38">
        <v>40</v>
      </c>
      <c r="C772" s="39">
        <v>10</v>
      </c>
      <c r="D772" s="39">
        <v>1.03</v>
      </c>
      <c r="E772" s="39">
        <v>1.06</v>
      </c>
      <c r="F772" s="39">
        <v>1.1000000000000001</v>
      </c>
      <c r="G772" s="39">
        <v>1.1399999999999999</v>
      </c>
      <c r="H772" s="39">
        <v>1.17</v>
      </c>
      <c r="I772" s="39">
        <v>1.1599999999999999</v>
      </c>
      <c r="J772" s="39">
        <v>1.1399999999999999</v>
      </c>
      <c r="K772" s="39">
        <v>1.1100000000000001</v>
      </c>
      <c r="L772" s="39">
        <v>1.08</v>
      </c>
      <c r="M772" s="39">
        <v>1.05</v>
      </c>
      <c r="N772" s="39">
        <v>1.03</v>
      </c>
      <c r="O772" s="39">
        <v>1.02</v>
      </c>
    </row>
    <row r="773" spans="1:15">
      <c r="A773" s="1">
        <f t="shared" si="11"/>
        <v>40.15</v>
      </c>
      <c r="B773" s="38">
        <v>40</v>
      </c>
      <c r="C773" s="39">
        <v>15</v>
      </c>
      <c r="D773" s="39">
        <v>1.04</v>
      </c>
      <c r="E773" s="39">
        <v>1.08</v>
      </c>
      <c r="F773" s="39">
        <v>1.1399999999999999</v>
      </c>
      <c r="G773" s="39">
        <v>1.21</v>
      </c>
      <c r="H773" s="39">
        <v>1.25</v>
      </c>
      <c r="I773" s="39">
        <v>1.24</v>
      </c>
      <c r="J773" s="39">
        <v>1.2</v>
      </c>
      <c r="K773" s="39">
        <v>1.1599999999999999</v>
      </c>
      <c r="L773" s="39">
        <v>1.1200000000000001</v>
      </c>
      <c r="M773" s="39">
        <v>1.07</v>
      </c>
      <c r="N773" s="39">
        <v>1.03</v>
      </c>
      <c r="O773" s="39">
        <v>1.02</v>
      </c>
    </row>
    <row r="774" spans="1:15">
      <c r="A774" s="1">
        <f t="shared" si="11"/>
        <v>40.200000000000003</v>
      </c>
      <c r="B774" s="38">
        <v>40</v>
      </c>
      <c r="C774" s="39">
        <v>20</v>
      </c>
      <c r="D774" s="39">
        <v>1.03</v>
      </c>
      <c r="E774" s="39">
        <v>1.0900000000000001</v>
      </c>
      <c r="F774" s="39">
        <v>1.17</v>
      </c>
      <c r="G774" s="39">
        <v>1.26</v>
      </c>
      <c r="H774" s="39">
        <v>1.32</v>
      </c>
      <c r="I774" s="39">
        <v>1.3</v>
      </c>
      <c r="J774" s="39">
        <v>1.25</v>
      </c>
      <c r="K774" s="39">
        <v>1.2</v>
      </c>
      <c r="L774" s="39">
        <v>1.1399999999999999</v>
      </c>
      <c r="M774" s="39">
        <v>1.08</v>
      </c>
      <c r="N774" s="39">
        <v>1.03</v>
      </c>
      <c r="O774" s="39">
        <v>1.02</v>
      </c>
    </row>
    <row r="775" spans="1:15">
      <c r="A775" s="1">
        <f t="shared" si="11"/>
        <v>40.25</v>
      </c>
      <c r="B775" s="38">
        <v>40</v>
      </c>
      <c r="C775" s="39">
        <v>25</v>
      </c>
      <c r="D775" s="39">
        <v>1.02</v>
      </c>
      <c r="E775" s="39">
        <v>1.0900000000000001</v>
      </c>
      <c r="F775" s="39">
        <v>1.19</v>
      </c>
      <c r="G775" s="39">
        <v>1.3</v>
      </c>
      <c r="H775" s="39">
        <v>1.38</v>
      </c>
      <c r="I775" s="39">
        <v>1.36</v>
      </c>
      <c r="J775" s="39">
        <v>1.3</v>
      </c>
      <c r="K775" s="39">
        <v>1.23</v>
      </c>
      <c r="L775" s="39">
        <v>1.1599999999999999</v>
      </c>
      <c r="M775" s="39">
        <v>1.08</v>
      </c>
      <c r="N775" s="39">
        <v>1.02</v>
      </c>
      <c r="O775" s="39">
        <v>1</v>
      </c>
    </row>
    <row r="776" spans="1:15">
      <c r="A776" s="1">
        <f t="shared" si="11"/>
        <v>40.299999999999997</v>
      </c>
      <c r="B776" s="38">
        <v>40</v>
      </c>
      <c r="C776" s="39">
        <v>30</v>
      </c>
      <c r="D776" s="39">
        <v>1.01</v>
      </c>
      <c r="E776" s="39">
        <v>1.0900000000000001</v>
      </c>
      <c r="F776" s="39">
        <v>1.2</v>
      </c>
      <c r="G776" s="39">
        <v>1.34</v>
      </c>
      <c r="H776" s="39">
        <v>1.43</v>
      </c>
      <c r="I776" s="39">
        <v>1.41</v>
      </c>
      <c r="J776" s="39">
        <v>1.34</v>
      </c>
      <c r="K776" s="39">
        <v>1.26</v>
      </c>
      <c r="L776" s="39">
        <v>1.17</v>
      </c>
      <c r="M776" s="39">
        <v>1.07</v>
      </c>
      <c r="N776" s="39">
        <v>1.01</v>
      </c>
      <c r="O776" s="39">
        <v>0.98</v>
      </c>
    </row>
    <row r="777" spans="1:15">
      <c r="A777" s="1">
        <f t="shared" si="11"/>
        <v>40.35</v>
      </c>
      <c r="B777" s="38">
        <v>40</v>
      </c>
      <c r="C777" s="39">
        <v>35</v>
      </c>
      <c r="D777" s="39">
        <v>0.98</v>
      </c>
      <c r="E777" s="39">
        <v>1.07</v>
      </c>
      <c r="F777" s="39">
        <v>1.21</v>
      </c>
      <c r="G777" s="39">
        <v>1.37</v>
      </c>
      <c r="H777" s="39">
        <v>1.47</v>
      </c>
      <c r="I777" s="39">
        <v>1.45</v>
      </c>
      <c r="J777" s="39">
        <v>1.37</v>
      </c>
      <c r="K777" s="39">
        <v>1.28</v>
      </c>
      <c r="L777" s="39">
        <v>1.17</v>
      </c>
      <c r="M777" s="39">
        <v>1.06</v>
      </c>
      <c r="N777" s="39">
        <v>0.98</v>
      </c>
      <c r="O777" s="39">
        <v>0.95</v>
      </c>
    </row>
    <row r="778" spans="1:15">
      <c r="A778" s="1">
        <f t="shared" ref="A778:A841" si="12">B778+C778/100</f>
        <v>40.4</v>
      </c>
      <c r="B778" s="38">
        <v>40</v>
      </c>
      <c r="C778" s="39">
        <v>40</v>
      </c>
      <c r="D778" s="39">
        <v>0.95</v>
      </c>
      <c r="E778" s="39">
        <v>1.05</v>
      </c>
      <c r="F778" s="39">
        <v>1.21</v>
      </c>
      <c r="G778" s="39">
        <v>1.39</v>
      </c>
      <c r="H778" s="39">
        <v>1.5</v>
      </c>
      <c r="I778" s="39">
        <v>1.48</v>
      </c>
      <c r="J778" s="39">
        <v>1.39</v>
      </c>
      <c r="K778" s="39">
        <v>1.29</v>
      </c>
      <c r="L778" s="39">
        <v>1.1599999999999999</v>
      </c>
      <c r="M778" s="39">
        <v>1.04</v>
      </c>
      <c r="N778" s="39">
        <v>0.95</v>
      </c>
      <c r="O778" s="39">
        <v>0.92</v>
      </c>
    </row>
    <row r="779" spans="1:15">
      <c r="A779" s="1">
        <f t="shared" si="12"/>
        <v>40.450000000000003</v>
      </c>
      <c r="B779" s="38">
        <v>40</v>
      </c>
      <c r="C779" s="39">
        <v>45</v>
      </c>
      <c r="D779" s="39">
        <v>0.92</v>
      </c>
      <c r="E779" s="39">
        <v>1.03</v>
      </c>
      <c r="F779" s="39">
        <v>1.2</v>
      </c>
      <c r="G779" s="39">
        <v>1.39</v>
      </c>
      <c r="H779" s="39">
        <v>1.52</v>
      </c>
      <c r="I779" s="39">
        <v>1.5</v>
      </c>
      <c r="J779" s="39">
        <v>1.4</v>
      </c>
      <c r="K779" s="39">
        <v>1.29</v>
      </c>
      <c r="L779" s="39">
        <v>1.1499999999999999</v>
      </c>
      <c r="M779" s="39">
        <v>1.01</v>
      </c>
      <c r="N779" s="39">
        <v>0.91</v>
      </c>
      <c r="O779" s="39">
        <v>0.88</v>
      </c>
    </row>
    <row r="780" spans="1:15">
      <c r="A780" s="1">
        <f t="shared" si="12"/>
        <v>40.5</v>
      </c>
      <c r="B780" s="38">
        <v>40</v>
      </c>
      <c r="C780" s="39">
        <v>50</v>
      </c>
      <c r="D780" s="39">
        <v>0.87</v>
      </c>
      <c r="E780" s="39">
        <v>0.99</v>
      </c>
      <c r="F780" s="39">
        <v>1.18</v>
      </c>
      <c r="G780" s="39">
        <v>1.39</v>
      </c>
      <c r="H780" s="39">
        <v>1.54</v>
      </c>
      <c r="I780" s="39">
        <v>1.52</v>
      </c>
      <c r="J780" s="39">
        <v>1.41</v>
      </c>
      <c r="K780" s="39">
        <v>1.28</v>
      </c>
      <c r="L780" s="39">
        <v>1.1299999999999999</v>
      </c>
      <c r="M780" s="39">
        <v>0.98</v>
      </c>
      <c r="N780" s="39">
        <v>0.87</v>
      </c>
      <c r="O780" s="39">
        <v>0.83</v>
      </c>
    </row>
    <row r="781" spans="1:15">
      <c r="A781" s="1">
        <f t="shared" si="12"/>
        <v>40.549999999999997</v>
      </c>
      <c r="B781" s="38">
        <v>40</v>
      </c>
      <c r="C781" s="39">
        <v>55</v>
      </c>
      <c r="D781" s="39">
        <v>0.82</v>
      </c>
      <c r="E781" s="39">
        <v>0.95</v>
      </c>
      <c r="F781" s="39">
        <v>1.1499999999999999</v>
      </c>
      <c r="G781" s="39">
        <v>1.38</v>
      </c>
      <c r="H781" s="39">
        <v>1.54</v>
      </c>
      <c r="I781" s="39">
        <v>1.52</v>
      </c>
      <c r="J781" s="39">
        <v>1.4</v>
      </c>
      <c r="K781" s="39">
        <v>1.27</v>
      </c>
      <c r="L781" s="39">
        <v>1.1000000000000001</v>
      </c>
      <c r="M781" s="39">
        <v>0.94</v>
      </c>
      <c r="N781" s="39">
        <v>0.82</v>
      </c>
      <c r="O781" s="39">
        <v>0.78</v>
      </c>
    </row>
    <row r="782" spans="1:15">
      <c r="A782" s="1">
        <f t="shared" si="12"/>
        <v>40.6</v>
      </c>
      <c r="B782" s="38">
        <v>40</v>
      </c>
      <c r="C782" s="39">
        <v>60</v>
      </c>
      <c r="D782" s="39">
        <v>0.77</v>
      </c>
      <c r="E782" s="39">
        <v>0.9</v>
      </c>
      <c r="F782" s="39">
        <v>1.1200000000000001</v>
      </c>
      <c r="G782" s="39">
        <v>1.36</v>
      </c>
      <c r="H782" s="39">
        <v>1.53</v>
      </c>
      <c r="I782" s="39">
        <v>1.51</v>
      </c>
      <c r="J782" s="39">
        <v>1.39</v>
      </c>
      <c r="K782" s="39">
        <v>1.24</v>
      </c>
      <c r="L782" s="39">
        <v>1.07</v>
      </c>
      <c r="M782" s="39">
        <v>0.89</v>
      </c>
      <c r="N782" s="39">
        <v>0.77</v>
      </c>
      <c r="O782" s="39">
        <v>0.72</v>
      </c>
    </row>
    <row r="783" spans="1:15">
      <c r="A783" s="1">
        <f t="shared" si="12"/>
        <v>40.65</v>
      </c>
      <c r="B783" s="38">
        <v>40</v>
      </c>
      <c r="C783" s="39">
        <v>65</v>
      </c>
      <c r="D783" s="39">
        <v>0.71</v>
      </c>
      <c r="E783" s="39">
        <v>0.85</v>
      </c>
      <c r="F783" s="39">
        <v>1.07</v>
      </c>
      <c r="G783" s="39">
        <v>1.34</v>
      </c>
      <c r="H783" s="39">
        <v>1.51</v>
      </c>
      <c r="I783" s="39">
        <v>1.5</v>
      </c>
      <c r="J783" s="39">
        <v>1.37</v>
      </c>
      <c r="K783" s="39">
        <v>1.21</v>
      </c>
      <c r="L783" s="39">
        <v>1.03</v>
      </c>
      <c r="M783" s="39">
        <v>0.84</v>
      </c>
      <c r="N783" s="39">
        <v>0.71</v>
      </c>
      <c r="O783" s="39">
        <v>0.66</v>
      </c>
    </row>
    <row r="784" spans="1:15">
      <c r="A784" s="1">
        <f t="shared" si="12"/>
        <v>40.700000000000003</v>
      </c>
      <c r="B784" s="38">
        <v>40</v>
      </c>
      <c r="C784" s="39">
        <v>70</v>
      </c>
      <c r="D784" s="39">
        <v>0.64</v>
      </c>
      <c r="E784" s="39">
        <v>0.79</v>
      </c>
      <c r="F784" s="39">
        <v>1.02</v>
      </c>
      <c r="G784" s="39">
        <v>1.3</v>
      </c>
      <c r="H784" s="39">
        <v>1.49</v>
      </c>
      <c r="I784" s="39">
        <v>1.47</v>
      </c>
      <c r="J784" s="39">
        <v>1.34</v>
      </c>
      <c r="K784" s="39">
        <v>1.17</v>
      </c>
      <c r="L784" s="39">
        <v>0.98</v>
      </c>
      <c r="M784" s="39">
        <v>0.78</v>
      </c>
      <c r="N784" s="39">
        <v>0.64</v>
      </c>
      <c r="O784" s="39">
        <v>0.59</v>
      </c>
    </row>
    <row r="785" spans="1:15">
      <c r="A785" s="1">
        <f t="shared" si="12"/>
        <v>40.75</v>
      </c>
      <c r="B785" s="38">
        <v>40</v>
      </c>
      <c r="C785" s="39">
        <v>75</v>
      </c>
      <c r="D785" s="39">
        <v>0.56999999999999995</v>
      </c>
      <c r="E785" s="39">
        <v>0.73</v>
      </c>
      <c r="F785" s="39">
        <v>0.97</v>
      </c>
      <c r="G785" s="39">
        <v>1.25</v>
      </c>
      <c r="H785" s="39">
        <v>1.45</v>
      </c>
      <c r="I785" s="39">
        <v>1.44</v>
      </c>
      <c r="J785" s="39">
        <v>1.3</v>
      </c>
      <c r="K785" s="39">
        <v>1.1299999999999999</v>
      </c>
      <c r="L785" s="39">
        <v>0.92</v>
      </c>
      <c r="M785" s="39">
        <v>0.72</v>
      </c>
      <c r="N785" s="39">
        <v>0.56999999999999995</v>
      </c>
      <c r="O785" s="39">
        <v>0.52</v>
      </c>
    </row>
    <row r="786" spans="1:15">
      <c r="A786" s="1">
        <f t="shared" si="12"/>
        <v>40.799999999999997</v>
      </c>
      <c r="B786" s="38">
        <v>40</v>
      </c>
      <c r="C786" s="39">
        <v>80</v>
      </c>
      <c r="D786" s="39">
        <v>0.5</v>
      </c>
      <c r="E786" s="39">
        <v>0.66</v>
      </c>
      <c r="F786" s="39">
        <v>0.9</v>
      </c>
      <c r="G786" s="39">
        <v>1.2</v>
      </c>
      <c r="H786" s="39">
        <v>1.41</v>
      </c>
      <c r="I786" s="39">
        <v>1.4</v>
      </c>
      <c r="J786" s="39">
        <v>1.25</v>
      </c>
      <c r="K786" s="39">
        <v>1.08</v>
      </c>
      <c r="L786" s="39">
        <v>0.86</v>
      </c>
      <c r="M786" s="39">
        <v>0.65</v>
      </c>
      <c r="N786" s="39">
        <v>0.5</v>
      </c>
      <c r="O786" s="39">
        <v>0.45</v>
      </c>
    </row>
    <row r="787" spans="1:15">
      <c r="A787" s="1">
        <f t="shared" si="12"/>
        <v>40.85</v>
      </c>
      <c r="B787" s="38">
        <v>40</v>
      </c>
      <c r="C787" s="39">
        <v>85</v>
      </c>
      <c r="D787" s="39">
        <v>0.42</v>
      </c>
      <c r="E787" s="39">
        <v>0.57999999999999996</v>
      </c>
      <c r="F787" s="39">
        <v>0.84</v>
      </c>
      <c r="G787" s="39">
        <v>1.1399999999999999</v>
      </c>
      <c r="H787" s="39">
        <v>1.35</v>
      </c>
      <c r="I787" s="39">
        <v>1.35</v>
      </c>
      <c r="J787" s="39">
        <v>1.2</v>
      </c>
      <c r="K787" s="39">
        <v>1.02</v>
      </c>
      <c r="L787" s="39">
        <v>0.8</v>
      </c>
      <c r="M787" s="39">
        <v>0.57999999999999996</v>
      </c>
      <c r="N787" s="39">
        <v>0.43</v>
      </c>
      <c r="O787" s="39">
        <v>0.37</v>
      </c>
    </row>
    <row r="788" spans="1:15">
      <c r="A788" s="1">
        <f t="shared" si="12"/>
        <v>40.9</v>
      </c>
      <c r="B788" s="38">
        <v>40</v>
      </c>
      <c r="C788" s="39">
        <v>90</v>
      </c>
      <c r="D788" s="39">
        <v>0.34</v>
      </c>
      <c r="E788" s="39">
        <v>0.5</v>
      </c>
      <c r="F788" s="39">
        <v>0.76</v>
      </c>
      <c r="G788" s="39">
        <v>1.07</v>
      </c>
      <c r="H788" s="39">
        <v>1.29</v>
      </c>
      <c r="I788" s="39">
        <v>1.29</v>
      </c>
      <c r="J788" s="39">
        <v>1.1399999999999999</v>
      </c>
      <c r="K788" s="39">
        <v>0.95</v>
      </c>
      <c r="L788" s="39">
        <v>0.73</v>
      </c>
      <c r="M788" s="39">
        <v>0.5</v>
      </c>
      <c r="N788" s="39">
        <v>0.35</v>
      </c>
      <c r="O788" s="39">
        <v>0.28999999999999998</v>
      </c>
    </row>
    <row r="789" spans="1:15">
      <c r="A789" s="1">
        <f t="shared" si="12"/>
        <v>41</v>
      </c>
      <c r="B789" s="38">
        <v>41</v>
      </c>
      <c r="C789" s="39">
        <v>0</v>
      </c>
      <c r="D789" s="39">
        <v>1</v>
      </c>
      <c r="E789" s="39">
        <v>1</v>
      </c>
      <c r="F789" s="39">
        <v>1</v>
      </c>
      <c r="G789" s="39">
        <v>1</v>
      </c>
      <c r="H789" s="39">
        <v>1</v>
      </c>
      <c r="I789" s="39">
        <v>1</v>
      </c>
      <c r="J789" s="39">
        <v>1</v>
      </c>
      <c r="K789" s="39">
        <v>1</v>
      </c>
      <c r="L789" s="39">
        <v>1</v>
      </c>
      <c r="M789" s="39">
        <v>1</v>
      </c>
      <c r="N789" s="39">
        <v>1</v>
      </c>
      <c r="O789" s="39">
        <v>1</v>
      </c>
    </row>
    <row r="790" spans="1:15">
      <c r="A790" s="1">
        <f t="shared" si="12"/>
        <v>41.05</v>
      </c>
      <c r="B790" s="38">
        <v>41</v>
      </c>
      <c r="C790" s="39">
        <v>5</v>
      </c>
      <c r="D790" s="39">
        <v>1.02</v>
      </c>
      <c r="E790" s="39">
        <v>1.03</v>
      </c>
      <c r="F790" s="39">
        <v>1.05</v>
      </c>
      <c r="G790" s="39">
        <v>1.08</v>
      </c>
      <c r="H790" s="39" t="s">
        <v>693</v>
      </c>
      <c r="I790" s="39">
        <v>1.0900000000000001</v>
      </c>
      <c r="J790" s="39">
        <v>1.07</v>
      </c>
      <c r="K790" s="39">
        <v>1.06</v>
      </c>
      <c r="L790" s="39">
        <v>1.05</v>
      </c>
      <c r="M790" s="39">
        <v>1.03</v>
      </c>
      <c r="N790" s="39">
        <v>1.02</v>
      </c>
      <c r="O790" s="39">
        <v>1.02</v>
      </c>
    </row>
    <row r="791" spans="1:15">
      <c r="A791" s="1">
        <f t="shared" si="12"/>
        <v>41.1</v>
      </c>
      <c r="B791" s="38">
        <v>41</v>
      </c>
      <c r="C791" s="39">
        <v>10</v>
      </c>
      <c r="D791" s="39">
        <v>1.03</v>
      </c>
      <c r="E791" s="39">
        <v>1.06</v>
      </c>
      <c r="F791" s="39">
        <v>1.1000000000000001</v>
      </c>
      <c r="G791" s="39">
        <v>1.1499999999999999</v>
      </c>
      <c r="H791" s="39">
        <v>1.18</v>
      </c>
      <c r="I791" s="39">
        <v>1.17</v>
      </c>
      <c r="J791" s="39">
        <v>1.1399999999999999</v>
      </c>
      <c r="K791" s="39">
        <v>1.1200000000000001</v>
      </c>
      <c r="L791" s="39">
        <v>1.0900000000000001</v>
      </c>
      <c r="M791" s="39">
        <v>1.06</v>
      </c>
      <c r="N791" s="39">
        <v>1.03</v>
      </c>
      <c r="O791" s="39">
        <v>1.02</v>
      </c>
    </row>
    <row r="792" spans="1:15">
      <c r="A792" s="1">
        <f t="shared" si="12"/>
        <v>41.15</v>
      </c>
      <c r="B792" s="38">
        <v>41</v>
      </c>
      <c r="C792" s="39">
        <v>15</v>
      </c>
      <c r="D792" s="39">
        <v>1.04</v>
      </c>
      <c r="E792" s="39">
        <v>1.08</v>
      </c>
      <c r="F792" s="39">
        <v>1.1399999999999999</v>
      </c>
      <c r="G792" s="39">
        <v>1.21</v>
      </c>
      <c r="H792" s="39">
        <v>1.26</v>
      </c>
      <c r="I792" s="39">
        <v>1.24</v>
      </c>
      <c r="J792" s="39">
        <v>1.21</v>
      </c>
      <c r="K792" s="39">
        <v>1.17</v>
      </c>
      <c r="L792" s="39">
        <v>1.1200000000000001</v>
      </c>
      <c r="M792" s="39">
        <v>1.07</v>
      </c>
      <c r="N792" s="39">
        <v>1.04</v>
      </c>
      <c r="O792" s="39">
        <v>1.03</v>
      </c>
    </row>
    <row r="793" spans="1:15">
      <c r="A793" s="1">
        <f t="shared" si="12"/>
        <v>41.2</v>
      </c>
      <c r="B793" s="38">
        <v>41</v>
      </c>
      <c r="C793" s="39">
        <v>20</v>
      </c>
      <c r="D793" s="39">
        <v>1.04</v>
      </c>
      <c r="E793" s="39">
        <v>1.0900000000000001</v>
      </c>
      <c r="F793" s="39">
        <v>1.17</v>
      </c>
      <c r="G793" s="39">
        <v>1.27</v>
      </c>
      <c r="H793" s="39">
        <v>1.33</v>
      </c>
      <c r="I793" s="39">
        <v>1.31</v>
      </c>
      <c r="J793" s="39">
        <v>1.26</v>
      </c>
      <c r="K793" s="39">
        <v>1.21</v>
      </c>
      <c r="L793" s="39">
        <v>1.1499999999999999</v>
      </c>
      <c r="M793" s="39">
        <v>1.08</v>
      </c>
      <c r="N793" s="39">
        <v>1.04</v>
      </c>
      <c r="O793" s="39">
        <v>1.02</v>
      </c>
    </row>
    <row r="794" spans="1:15">
      <c r="A794" s="1">
        <f t="shared" si="12"/>
        <v>41.25</v>
      </c>
      <c r="B794" s="38">
        <v>41</v>
      </c>
      <c r="C794" s="39">
        <v>25</v>
      </c>
      <c r="D794" s="39">
        <v>1.03</v>
      </c>
      <c r="E794" s="39">
        <v>1.1000000000000001</v>
      </c>
      <c r="F794" s="39">
        <v>1.2</v>
      </c>
      <c r="G794" s="39">
        <v>1.32</v>
      </c>
      <c r="H794" s="39">
        <v>1.39</v>
      </c>
      <c r="I794" s="39">
        <v>1.37</v>
      </c>
      <c r="J794" s="39">
        <v>1.31</v>
      </c>
      <c r="K794" s="39">
        <v>1.24</v>
      </c>
      <c r="L794" s="39">
        <v>1.17</v>
      </c>
      <c r="M794" s="39">
        <v>1.0900000000000001</v>
      </c>
      <c r="N794" s="39">
        <v>1.03</v>
      </c>
      <c r="O794" s="39">
        <v>1.01</v>
      </c>
    </row>
    <row r="795" spans="1:15">
      <c r="A795" s="1">
        <f t="shared" si="12"/>
        <v>41.3</v>
      </c>
      <c r="B795" s="38">
        <v>41</v>
      </c>
      <c r="C795" s="39">
        <v>30</v>
      </c>
      <c r="D795" s="39">
        <v>1.02</v>
      </c>
      <c r="E795" s="39">
        <v>1.0900000000000001</v>
      </c>
      <c r="F795" s="39">
        <v>1.21</v>
      </c>
      <c r="G795" s="39">
        <v>1.35</v>
      </c>
      <c r="H795" s="39">
        <v>1.44</v>
      </c>
      <c r="I795" s="39">
        <v>1.42</v>
      </c>
      <c r="J795" s="39">
        <v>1.35</v>
      </c>
      <c r="K795" s="39">
        <v>1.27</v>
      </c>
      <c r="L795" s="39">
        <v>1.18</v>
      </c>
      <c r="M795" s="39">
        <v>1.08</v>
      </c>
      <c r="N795" s="39">
        <v>1.01</v>
      </c>
      <c r="O795" s="39">
        <v>0.99</v>
      </c>
    </row>
    <row r="796" spans="1:15">
      <c r="A796" s="1">
        <f t="shared" si="12"/>
        <v>41.35</v>
      </c>
      <c r="B796" s="38">
        <v>41</v>
      </c>
      <c r="C796" s="39">
        <v>35</v>
      </c>
      <c r="D796" s="39">
        <v>0.99</v>
      </c>
      <c r="E796" s="39">
        <v>1.08</v>
      </c>
      <c r="F796" s="39">
        <v>1.22</v>
      </c>
      <c r="G796" s="39">
        <v>1.38</v>
      </c>
      <c r="H796" s="39">
        <v>1.49</v>
      </c>
      <c r="I796" s="39">
        <v>1.47</v>
      </c>
      <c r="J796" s="39">
        <v>1.38</v>
      </c>
      <c r="K796" s="39">
        <v>1.29</v>
      </c>
      <c r="L796" s="39">
        <v>1.18</v>
      </c>
      <c r="M796" s="39">
        <v>1.07</v>
      </c>
      <c r="N796" s="39">
        <v>0.99</v>
      </c>
      <c r="O796" s="39">
        <v>0.96</v>
      </c>
    </row>
    <row r="797" spans="1:15">
      <c r="A797" s="1">
        <f t="shared" si="12"/>
        <v>41.4</v>
      </c>
      <c r="B797" s="38">
        <v>41</v>
      </c>
      <c r="C797" s="39">
        <v>40</v>
      </c>
      <c r="D797" s="39">
        <v>0.96</v>
      </c>
      <c r="E797" s="39">
        <v>1.06</v>
      </c>
      <c r="F797" s="39">
        <v>1.22</v>
      </c>
      <c r="G797" s="39">
        <v>1.4</v>
      </c>
      <c r="H797" s="39">
        <v>1.52</v>
      </c>
      <c r="I797" s="39">
        <v>1.5</v>
      </c>
      <c r="J797" s="39">
        <v>1.4</v>
      </c>
      <c r="K797" s="39">
        <v>1.3</v>
      </c>
      <c r="L797" s="39">
        <v>1.18</v>
      </c>
      <c r="M797" s="39">
        <v>1.05</v>
      </c>
      <c r="N797" s="39">
        <v>0.96</v>
      </c>
      <c r="O797" s="39">
        <v>0.93</v>
      </c>
    </row>
    <row r="798" spans="1:15">
      <c r="A798" s="1">
        <f t="shared" si="12"/>
        <v>41.45</v>
      </c>
      <c r="B798" s="38">
        <v>41</v>
      </c>
      <c r="C798" s="39">
        <v>45</v>
      </c>
      <c r="D798" s="39">
        <v>0.93</v>
      </c>
      <c r="E798" s="39">
        <v>1.04</v>
      </c>
      <c r="F798" s="39">
        <v>1.21</v>
      </c>
      <c r="G798" s="39">
        <v>1.41</v>
      </c>
      <c r="H798" s="39">
        <v>1.55</v>
      </c>
      <c r="I798" s="39">
        <v>1.52</v>
      </c>
      <c r="J798" s="39">
        <v>1.42</v>
      </c>
      <c r="K798" s="39">
        <v>1.3</v>
      </c>
      <c r="L798" s="39">
        <v>1.1599999999999999</v>
      </c>
      <c r="M798" s="39">
        <v>1.03</v>
      </c>
      <c r="N798" s="39">
        <v>0.93</v>
      </c>
      <c r="O798" s="39">
        <v>0.89</v>
      </c>
    </row>
    <row r="799" spans="1:15">
      <c r="A799" s="1">
        <f t="shared" si="12"/>
        <v>41.5</v>
      </c>
      <c r="B799" s="38">
        <v>41</v>
      </c>
      <c r="C799" s="39">
        <v>50</v>
      </c>
      <c r="D799" s="39">
        <v>0.88</v>
      </c>
      <c r="E799" s="39">
        <v>1.01</v>
      </c>
      <c r="F799" s="39">
        <v>1.19</v>
      </c>
      <c r="G799" s="39">
        <v>1.41</v>
      </c>
      <c r="H799" s="39">
        <v>1.56</v>
      </c>
      <c r="I799" s="39">
        <v>1.54</v>
      </c>
      <c r="J799" s="39">
        <v>1.42</v>
      </c>
      <c r="K799" s="39">
        <v>1.3</v>
      </c>
      <c r="L799" s="39">
        <v>1.1399999999999999</v>
      </c>
      <c r="M799" s="39">
        <v>0.99</v>
      </c>
      <c r="N799" s="39">
        <v>0.88</v>
      </c>
      <c r="O799" s="39">
        <v>0.84</v>
      </c>
    </row>
    <row r="800" spans="1:15">
      <c r="A800" s="1">
        <f t="shared" si="12"/>
        <v>41.55</v>
      </c>
      <c r="B800" s="38">
        <v>41</v>
      </c>
      <c r="C800" s="39">
        <v>55</v>
      </c>
      <c r="D800" s="39">
        <v>0.84</v>
      </c>
      <c r="E800" s="39">
        <v>0.97</v>
      </c>
      <c r="F800" s="39">
        <v>1.17</v>
      </c>
      <c r="G800" s="39">
        <v>1.41</v>
      </c>
      <c r="H800" s="39">
        <v>1.57</v>
      </c>
      <c r="I800" s="39">
        <v>1.54</v>
      </c>
      <c r="J800" s="39">
        <v>1.42</v>
      </c>
      <c r="K800" s="39">
        <v>1.28</v>
      </c>
      <c r="L800" s="39">
        <v>1.1200000000000001</v>
      </c>
      <c r="M800" s="39">
        <v>0.95</v>
      </c>
      <c r="N800" s="39">
        <v>0.83</v>
      </c>
      <c r="O800" s="39">
        <v>0.79</v>
      </c>
    </row>
    <row r="801" spans="1:15">
      <c r="A801" s="1">
        <f t="shared" si="12"/>
        <v>41.6</v>
      </c>
      <c r="B801" s="38">
        <v>41</v>
      </c>
      <c r="C801" s="39">
        <v>60</v>
      </c>
      <c r="D801" s="39">
        <v>0.78</v>
      </c>
      <c r="E801" s="39">
        <v>0.92</v>
      </c>
      <c r="F801" s="39">
        <v>1.1399999999999999</v>
      </c>
      <c r="G801" s="39">
        <v>1.39</v>
      </c>
      <c r="H801" s="39">
        <v>1.56</v>
      </c>
      <c r="I801" s="39">
        <v>1.54</v>
      </c>
      <c r="J801" s="39">
        <v>1.41</v>
      </c>
      <c r="K801" s="39">
        <v>1.26</v>
      </c>
      <c r="L801" s="39">
        <v>1.08</v>
      </c>
      <c r="M801" s="39">
        <v>0.91</v>
      </c>
      <c r="N801" s="39">
        <v>0.78</v>
      </c>
      <c r="O801" s="39">
        <v>0.73</v>
      </c>
    </row>
    <row r="802" spans="1:15">
      <c r="A802" s="1">
        <f t="shared" si="12"/>
        <v>41.65</v>
      </c>
      <c r="B802" s="38">
        <v>41</v>
      </c>
      <c r="C802" s="39">
        <v>65</v>
      </c>
      <c r="D802" s="39">
        <v>0.72</v>
      </c>
      <c r="E802" s="39">
        <v>0.87</v>
      </c>
      <c r="F802" s="39">
        <v>1.0900000000000001</v>
      </c>
      <c r="G802" s="39">
        <v>1.36</v>
      </c>
      <c r="H802" s="39">
        <v>1.54</v>
      </c>
      <c r="I802" s="39">
        <v>1.53</v>
      </c>
      <c r="J802" s="39">
        <v>1.39</v>
      </c>
      <c r="K802" s="39">
        <v>1.23</v>
      </c>
      <c r="L802" s="39">
        <v>1.04</v>
      </c>
      <c r="M802" s="39">
        <v>0.85</v>
      </c>
      <c r="N802" s="39">
        <v>0.72</v>
      </c>
      <c r="O802" s="39">
        <v>0.67</v>
      </c>
    </row>
    <row r="803" spans="1:15">
      <c r="A803" s="1">
        <f t="shared" si="12"/>
        <v>41.7</v>
      </c>
      <c r="B803" s="38">
        <v>41</v>
      </c>
      <c r="C803" s="39">
        <v>70</v>
      </c>
      <c r="D803" s="39">
        <v>0.66</v>
      </c>
      <c r="E803" s="39">
        <v>0.81</v>
      </c>
      <c r="F803" s="39">
        <v>1.04</v>
      </c>
      <c r="G803" s="39">
        <v>1.32</v>
      </c>
      <c r="H803" s="39">
        <v>1.52</v>
      </c>
      <c r="I803" s="39">
        <v>1.5</v>
      </c>
      <c r="J803" s="39">
        <v>1.36</v>
      </c>
      <c r="K803" s="39">
        <v>1.19</v>
      </c>
      <c r="L803" s="39">
        <v>0.99</v>
      </c>
      <c r="M803" s="39">
        <v>0.8</v>
      </c>
      <c r="N803" s="39">
        <v>0.66</v>
      </c>
      <c r="O803" s="39">
        <v>0.61</v>
      </c>
    </row>
    <row r="804" spans="1:15">
      <c r="A804" s="1">
        <f t="shared" si="12"/>
        <v>41.75</v>
      </c>
      <c r="B804" s="38">
        <v>41</v>
      </c>
      <c r="C804" s="39">
        <v>75</v>
      </c>
      <c r="D804" s="39">
        <v>0.59</v>
      </c>
      <c r="E804" s="39">
        <v>0.74</v>
      </c>
      <c r="F804" s="39">
        <v>0.99</v>
      </c>
      <c r="G804" s="39">
        <v>1.28</v>
      </c>
      <c r="H804" s="39">
        <v>1.48</v>
      </c>
      <c r="I804" s="39">
        <v>1.47</v>
      </c>
      <c r="J804" s="39">
        <v>1.32</v>
      </c>
      <c r="K804" s="39">
        <v>1.1499999999999999</v>
      </c>
      <c r="L804" s="39">
        <v>0.94</v>
      </c>
      <c r="M804" s="39">
        <v>0.73</v>
      </c>
      <c r="N804" s="39">
        <v>0.59</v>
      </c>
      <c r="O804" s="39">
        <v>0.54</v>
      </c>
    </row>
    <row r="805" spans="1:15">
      <c r="A805" s="1">
        <f t="shared" si="12"/>
        <v>41.8</v>
      </c>
      <c r="B805" s="38">
        <v>41</v>
      </c>
      <c r="C805" s="39">
        <v>80</v>
      </c>
      <c r="D805" s="39">
        <v>0.52</v>
      </c>
      <c r="E805" s="39">
        <v>0.67</v>
      </c>
      <c r="F805" s="39">
        <v>0.93</v>
      </c>
      <c r="G805" s="39">
        <v>1.23</v>
      </c>
      <c r="H805" s="39">
        <v>1.44</v>
      </c>
      <c r="I805" s="39">
        <v>1.43</v>
      </c>
      <c r="J805" s="39">
        <v>1.28</v>
      </c>
      <c r="K805" s="39">
        <v>1.1000000000000001</v>
      </c>
      <c r="L805" s="39">
        <v>0.88</v>
      </c>
      <c r="M805" s="39">
        <v>0.67</v>
      </c>
      <c r="N805" s="39">
        <v>0.52</v>
      </c>
      <c r="O805" s="39">
        <v>0.46</v>
      </c>
    </row>
    <row r="806" spans="1:15">
      <c r="A806" s="1">
        <f t="shared" si="12"/>
        <v>41.85</v>
      </c>
      <c r="B806" s="38">
        <v>41</v>
      </c>
      <c r="C806" s="39">
        <v>85</v>
      </c>
      <c r="D806" s="39">
        <v>0.44</v>
      </c>
      <c r="E806" s="39">
        <v>0.6</v>
      </c>
      <c r="F806" s="39">
        <v>0.86</v>
      </c>
      <c r="G806" s="39">
        <v>1.1599999999999999</v>
      </c>
      <c r="H806" s="39">
        <v>1.38</v>
      </c>
      <c r="I806" s="39">
        <v>1.38</v>
      </c>
      <c r="J806" s="39">
        <v>1.23</v>
      </c>
      <c r="K806" s="39">
        <v>1.04</v>
      </c>
      <c r="L806" s="39">
        <v>0.82</v>
      </c>
      <c r="M806" s="39">
        <v>0.6</v>
      </c>
      <c r="N806" s="39">
        <v>0.44</v>
      </c>
      <c r="O806" s="39">
        <v>0.39</v>
      </c>
    </row>
    <row r="807" spans="1:15">
      <c r="A807" s="1">
        <f t="shared" si="12"/>
        <v>41.9</v>
      </c>
      <c r="B807" s="38">
        <v>41</v>
      </c>
      <c r="C807" s="39">
        <v>90</v>
      </c>
      <c r="D807" s="39">
        <v>0.36</v>
      </c>
      <c r="E807" s="39">
        <v>0.52</v>
      </c>
      <c r="F807" s="39">
        <v>0.78</v>
      </c>
      <c r="G807" s="39">
        <v>1.0900000000000001</v>
      </c>
      <c r="H807" s="39">
        <v>1.32</v>
      </c>
      <c r="I807" s="39">
        <v>1.32</v>
      </c>
      <c r="J807" s="39">
        <v>1.17</v>
      </c>
      <c r="K807" s="39">
        <v>0.98</v>
      </c>
      <c r="L807" s="39">
        <v>0.74</v>
      </c>
      <c r="M807" s="39">
        <v>0.52</v>
      </c>
      <c r="N807" s="39">
        <v>0.36</v>
      </c>
      <c r="O807" s="39">
        <v>0.31</v>
      </c>
    </row>
    <row r="808" spans="1:15">
      <c r="A808" s="1">
        <f t="shared" si="12"/>
        <v>42</v>
      </c>
      <c r="B808" s="38">
        <v>42</v>
      </c>
      <c r="C808" s="39">
        <v>0</v>
      </c>
      <c r="D808" s="39">
        <v>1</v>
      </c>
      <c r="E808" s="39">
        <v>1</v>
      </c>
      <c r="F808" s="39">
        <v>1</v>
      </c>
      <c r="G808" s="39">
        <v>1</v>
      </c>
      <c r="H808" s="39">
        <v>1</v>
      </c>
      <c r="I808" s="39">
        <v>1</v>
      </c>
      <c r="J808" s="39">
        <v>1</v>
      </c>
      <c r="K808" s="39">
        <v>1</v>
      </c>
      <c r="L808" s="39">
        <v>1</v>
      </c>
      <c r="M808" s="39">
        <v>1</v>
      </c>
      <c r="N808" s="39">
        <v>1</v>
      </c>
      <c r="O808" s="39">
        <v>1</v>
      </c>
    </row>
    <row r="809" spans="1:15">
      <c r="A809" s="1">
        <f t="shared" si="12"/>
        <v>42.05</v>
      </c>
      <c r="B809" s="38">
        <v>42</v>
      </c>
      <c r="C809" s="39">
        <v>5</v>
      </c>
      <c r="D809" s="39">
        <v>1.02</v>
      </c>
      <c r="E809" s="39">
        <v>1.04</v>
      </c>
      <c r="F809" s="39">
        <v>1.06</v>
      </c>
      <c r="G809" s="39">
        <v>1.08</v>
      </c>
      <c r="H809" s="39">
        <v>1.0900000000000001</v>
      </c>
      <c r="I809" s="39">
        <v>1.0900000000000001</v>
      </c>
      <c r="J809" s="39">
        <v>1.08</v>
      </c>
      <c r="K809" s="39">
        <v>1.06</v>
      </c>
      <c r="L809" s="39">
        <v>1.05</v>
      </c>
      <c r="M809" s="39">
        <v>1.03</v>
      </c>
      <c r="N809" s="39">
        <v>1.02</v>
      </c>
      <c r="O809" s="39">
        <v>1.02</v>
      </c>
    </row>
    <row r="810" spans="1:15">
      <c r="A810" s="1">
        <f t="shared" si="12"/>
        <v>42.1</v>
      </c>
      <c r="B810" s="38">
        <v>42</v>
      </c>
      <c r="C810" s="39">
        <v>10</v>
      </c>
      <c r="D810" s="39">
        <v>1.04</v>
      </c>
      <c r="E810" s="39">
        <v>1.06</v>
      </c>
      <c r="F810" s="39">
        <v>1.1100000000000001</v>
      </c>
      <c r="G810" s="39">
        <v>1.1499999999999999</v>
      </c>
      <c r="H810" s="39">
        <v>1.18</v>
      </c>
      <c r="I810" s="39">
        <v>1.17</v>
      </c>
      <c r="J810" s="39">
        <v>1.1499999999999999</v>
      </c>
      <c r="K810" s="39">
        <v>1.1200000000000001</v>
      </c>
      <c r="L810" s="39">
        <v>1.0900000000000001</v>
      </c>
      <c r="M810" s="39">
        <v>1.06</v>
      </c>
      <c r="N810" s="39">
        <v>1.04</v>
      </c>
      <c r="O810" s="39">
        <v>1.03</v>
      </c>
    </row>
    <row r="811" spans="1:15">
      <c r="A811" s="1">
        <f t="shared" si="12"/>
        <v>42.15</v>
      </c>
      <c r="B811" s="38">
        <v>42</v>
      </c>
      <c r="C811" s="39">
        <v>15</v>
      </c>
      <c r="D811" s="39">
        <v>1.04</v>
      </c>
      <c r="E811" s="39">
        <v>1.0900000000000001</v>
      </c>
      <c r="F811" s="39">
        <v>1.1499999999999999</v>
      </c>
      <c r="G811" s="39">
        <v>1.22</v>
      </c>
      <c r="H811" s="39">
        <v>1.26</v>
      </c>
      <c r="I811" s="39">
        <v>1.25</v>
      </c>
      <c r="J811" s="39">
        <v>1.21</v>
      </c>
      <c r="K811" s="39">
        <v>1.17</v>
      </c>
      <c r="L811" s="39">
        <v>1.1299999999999999</v>
      </c>
      <c r="M811" s="39">
        <v>1.08</v>
      </c>
      <c r="N811" s="39">
        <v>1.04</v>
      </c>
      <c r="O811" s="39">
        <v>1.03</v>
      </c>
    </row>
    <row r="812" spans="1:15">
      <c r="A812" s="1">
        <f t="shared" si="12"/>
        <v>42.2</v>
      </c>
      <c r="B812" s="38">
        <v>42</v>
      </c>
      <c r="C812" s="39">
        <v>20</v>
      </c>
      <c r="D812" s="39">
        <v>1.05</v>
      </c>
      <c r="E812" s="39">
        <v>1.1000000000000001</v>
      </c>
      <c r="F812" s="39">
        <v>1.18</v>
      </c>
      <c r="G812" s="39">
        <v>1.28</v>
      </c>
      <c r="H812" s="39">
        <v>1.34</v>
      </c>
      <c r="I812" s="39">
        <v>1.32</v>
      </c>
      <c r="J812" s="39">
        <v>1.27</v>
      </c>
      <c r="K812" s="39">
        <v>1.21</v>
      </c>
      <c r="L812" s="39">
        <v>1.1499999999999999</v>
      </c>
      <c r="M812" s="39">
        <v>1.0900000000000001</v>
      </c>
      <c r="N812" s="39">
        <v>1.04</v>
      </c>
      <c r="O812" s="39">
        <v>1.03</v>
      </c>
    </row>
    <row r="813" spans="1:15">
      <c r="A813" s="1">
        <f t="shared" si="12"/>
        <v>42.25</v>
      </c>
      <c r="B813" s="38">
        <v>42</v>
      </c>
      <c r="C813" s="39">
        <v>25</v>
      </c>
      <c r="D813" s="39">
        <v>1.04</v>
      </c>
      <c r="E813" s="39">
        <v>1.1000000000000001</v>
      </c>
      <c r="F813" s="39">
        <v>1.21</v>
      </c>
      <c r="G813" s="39">
        <v>1.33</v>
      </c>
      <c r="H813" s="39">
        <v>1.4</v>
      </c>
      <c r="I813" s="39">
        <v>1.38</v>
      </c>
      <c r="J813" s="39">
        <v>1.32</v>
      </c>
      <c r="K813" s="39">
        <v>1.25</v>
      </c>
      <c r="L813" s="39">
        <v>1.17</v>
      </c>
      <c r="M813" s="39">
        <v>1.0900000000000001</v>
      </c>
      <c r="N813" s="39">
        <v>1.04</v>
      </c>
      <c r="O813" s="39">
        <v>1.01</v>
      </c>
    </row>
    <row r="814" spans="1:15">
      <c r="A814" s="1">
        <f t="shared" si="12"/>
        <v>42.3</v>
      </c>
      <c r="B814" s="38">
        <v>42</v>
      </c>
      <c r="C814" s="39">
        <v>30</v>
      </c>
      <c r="D814" s="39">
        <v>1.02</v>
      </c>
      <c r="E814" s="39">
        <v>1.1000000000000001</v>
      </c>
      <c r="F814" s="39">
        <v>1.23</v>
      </c>
      <c r="G814" s="39">
        <v>1.37</v>
      </c>
      <c r="H814" s="39">
        <v>1.46</v>
      </c>
      <c r="I814" s="39">
        <v>1.44</v>
      </c>
      <c r="J814" s="39">
        <v>1.36</v>
      </c>
      <c r="K814" s="39">
        <v>1.28</v>
      </c>
      <c r="L814" s="39">
        <v>1.19</v>
      </c>
      <c r="M814" s="39">
        <v>1.0900000000000001</v>
      </c>
      <c r="N814" s="39">
        <v>1.02</v>
      </c>
      <c r="O814" s="39">
        <v>1</v>
      </c>
    </row>
    <row r="815" spans="1:15">
      <c r="A815" s="1">
        <f t="shared" si="12"/>
        <v>42.35</v>
      </c>
      <c r="B815" s="38">
        <v>42</v>
      </c>
      <c r="C815" s="39">
        <v>35</v>
      </c>
      <c r="D815" s="39">
        <v>1</v>
      </c>
      <c r="E815" s="39">
        <v>1.0900000000000001</v>
      </c>
      <c r="F815" s="39">
        <v>1.23</v>
      </c>
      <c r="G815" s="39">
        <v>1.4</v>
      </c>
      <c r="H815" s="39">
        <v>1.51</v>
      </c>
      <c r="I815" s="39">
        <v>1.48</v>
      </c>
      <c r="J815" s="39">
        <v>1.39</v>
      </c>
      <c r="K815" s="39">
        <v>1.3</v>
      </c>
      <c r="L815" s="39">
        <v>1.19</v>
      </c>
      <c r="M815" s="39">
        <v>1.08</v>
      </c>
      <c r="N815" s="39">
        <v>1</v>
      </c>
      <c r="O815" s="39">
        <v>0.97</v>
      </c>
    </row>
    <row r="816" spans="1:15">
      <c r="A816" s="1">
        <f t="shared" si="12"/>
        <v>42.4</v>
      </c>
      <c r="B816" s="38">
        <v>42</v>
      </c>
      <c r="C816" s="39">
        <v>40</v>
      </c>
      <c r="D816" s="39">
        <v>0.97</v>
      </c>
      <c r="E816" s="39">
        <v>1.08</v>
      </c>
      <c r="F816" s="39">
        <v>1.24</v>
      </c>
      <c r="G816" s="39">
        <v>1.42</v>
      </c>
      <c r="H816" s="39">
        <v>1.54</v>
      </c>
      <c r="I816" s="39">
        <v>1.52</v>
      </c>
      <c r="J816" s="39">
        <v>1.42</v>
      </c>
      <c r="K816" s="39">
        <v>1.31</v>
      </c>
      <c r="L816" s="39">
        <v>1.19</v>
      </c>
      <c r="M816" s="39">
        <v>1.06</v>
      </c>
      <c r="N816" s="39">
        <v>0.97</v>
      </c>
      <c r="O816" s="39">
        <v>0.94</v>
      </c>
    </row>
    <row r="817" spans="1:15">
      <c r="A817" s="1">
        <f t="shared" si="12"/>
        <v>42.45</v>
      </c>
      <c r="B817" s="38">
        <v>42</v>
      </c>
      <c r="C817" s="39">
        <v>45</v>
      </c>
      <c r="D817" s="39">
        <v>0.94</v>
      </c>
      <c r="E817" s="39">
        <v>1.05</v>
      </c>
      <c r="F817" s="39">
        <v>1.23</v>
      </c>
      <c r="G817" s="39">
        <v>1.43</v>
      </c>
      <c r="H817" s="39">
        <v>1.57</v>
      </c>
      <c r="I817" s="39">
        <v>1.54</v>
      </c>
      <c r="J817" s="39">
        <v>1.43</v>
      </c>
      <c r="K817" s="39">
        <v>1.32</v>
      </c>
      <c r="L817" s="39">
        <v>1.18</v>
      </c>
      <c r="M817" s="39">
        <v>1.04</v>
      </c>
      <c r="N817" s="39">
        <v>0.94</v>
      </c>
      <c r="O817" s="39">
        <v>0.9</v>
      </c>
    </row>
    <row r="818" spans="1:15">
      <c r="A818" s="1">
        <f t="shared" si="12"/>
        <v>42.5</v>
      </c>
      <c r="B818" s="38">
        <v>42</v>
      </c>
      <c r="C818" s="39">
        <v>50</v>
      </c>
      <c r="D818" s="39">
        <v>0.9</v>
      </c>
      <c r="E818" s="39">
        <v>1.02</v>
      </c>
      <c r="F818" s="39">
        <v>1.21</v>
      </c>
      <c r="G818" s="39">
        <v>1.44</v>
      </c>
      <c r="H818" s="39">
        <v>1.59</v>
      </c>
      <c r="I818" s="39">
        <v>1.56</v>
      </c>
      <c r="J818" s="39">
        <v>1.44</v>
      </c>
      <c r="K818" s="39">
        <v>1.31</v>
      </c>
      <c r="L818" s="39">
        <v>1.1599999999999999</v>
      </c>
      <c r="M818" s="39">
        <v>1</v>
      </c>
      <c r="N818" s="39">
        <v>0.89</v>
      </c>
      <c r="O818" s="39">
        <v>0.86</v>
      </c>
    </row>
    <row r="819" spans="1:15">
      <c r="A819" s="1">
        <f t="shared" si="12"/>
        <v>42.55</v>
      </c>
      <c r="B819" s="38">
        <v>42</v>
      </c>
      <c r="C819" s="39">
        <v>55</v>
      </c>
      <c r="D819" s="39">
        <v>0.85</v>
      </c>
      <c r="E819" s="39">
        <v>0.98</v>
      </c>
      <c r="F819" s="39">
        <v>1.19</v>
      </c>
      <c r="G819" s="39">
        <v>1.43</v>
      </c>
      <c r="H819" s="39">
        <v>1.59</v>
      </c>
      <c r="I819" s="39">
        <v>1.57</v>
      </c>
      <c r="J819" s="39">
        <v>1.44</v>
      </c>
      <c r="K819" s="39">
        <v>1.3</v>
      </c>
      <c r="L819" s="39">
        <v>1.1299999999999999</v>
      </c>
      <c r="M819" s="39">
        <v>0.97</v>
      </c>
      <c r="N819" s="39">
        <v>0.85</v>
      </c>
      <c r="O819" s="39">
        <v>0.8</v>
      </c>
    </row>
    <row r="820" spans="1:15">
      <c r="A820" s="1">
        <f t="shared" si="12"/>
        <v>42.6</v>
      </c>
      <c r="B820" s="38">
        <v>42</v>
      </c>
      <c r="C820" s="39">
        <v>60</v>
      </c>
      <c r="D820" s="39">
        <v>0.8</v>
      </c>
      <c r="E820" s="39">
        <v>0.93</v>
      </c>
      <c r="F820" s="39">
        <v>1.1499999999999999</v>
      </c>
      <c r="G820" s="39">
        <v>1.41</v>
      </c>
      <c r="H820" s="39">
        <v>1.59</v>
      </c>
      <c r="I820" s="39">
        <v>1.57</v>
      </c>
      <c r="J820" s="39">
        <v>1.43</v>
      </c>
      <c r="K820" s="39">
        <v>1.28</v>
      </c>
      <c r="L820" s="39">
        <v>1.1000000000000001</v>
      </c>
      <c r="M820" s="39">
        <v>0.92</v>
      </c>
      <c r="N820" s="39">
        <v>0.79</v>
      </c>
      <c r="O820" s="39">
        <v>0.75</v>
      </c>
    </row>
    <row r="821" spans="1:15">
      <c r="A821" s="1">
        <f t="shared" si="12"/>
        <v>42.65</v>
      </c>
      <c r="B821" s="38">
        <v>42</v>
      </c>
      <c r="C821" s="39">
        <v>65</v>
      </c>
      <c r="D821" s="39">
        <v>0.74</v>
      </c>
      <c r="E821" s="39">
        <v>0.88</v>
      </c>
      <c r="F821" s="39">
        <v>1.1100000000000001</v>
      </c>
      <c r="G821" s="39">
        <v>1.39</v>
      </c>
      <c r="H821" s="39">
        <v>1.57</v>
      </c>
      <c r="I821" s="39">
        <v>1.55</v>
      </c>
      <c r="J821" s="39">
        <v>1.41</v>
      </c>
      <c r="K821" s="39">
        <v>1.25</v>
      </c>
      <c r="L821" s="39">
        <v>1.06</v>
      </c>
      <c r="M821" s="39">
        <v>0.87</v>
      </c>
      <c r="N821" s="39">
        <v>0.74</v>
      </c>
      <c r="O821" s="39">
        <v>0.69</v>
      </c>
    </row>
    <row r="822" spans="1:15">
      <c r="A822" s="1">
        <f t="shared" si="12"/>
        <v>42.7</v>
      </c>
      <c r="B822" s="38">
        <v>42</v>
      </c>
      <c r="C822" s="39">
        <v>70</v>
      </c>
      <c r="D822" s="39">
        <v>0.67</v>
      </c>
      <c r="E822" s="39">
        <v>0.82</v>
      </c>
      <c r="F822" s="39">
        <v>1.07</v>
      </c>
      <c r="G822" s="39">
        <v>1.35</v>
      </c>
      <c r="H822" s="39">
        <v>1.55</v>
      </c>
      <c r="I822" s="39">
        <v>1.53</v>
      </c>
      <c r="J822" s="39">
        <v>1.38</v>
      </c>
      <c r="K822" s="39">
        <v>1.21</v>
      </c>
      <c r="L822" s="39">
        <v>1.01</v>
      </c>
      <c r="M822" s="39">
        <v>0.81</v>
      </c>
      <c r="N822" s="39">
        <v>0.67</v>
      </c>
      <c r="O822" s="39">
        <v>0.62</v>
      </c>
    </row>
    <row r="823" spans="1:15">
      <c r="A823" s="1">
        <f t="shared" si="12"/>
        <v>42.75</v>
      </c>
      <c r="B823" s="38">
        <v>42</v>
      </c>
      <c r="C823" s="39">
        <v>75</v>
      </c>
      <c r="D823" s="39">
        <v>0.6</v>
      </c>
      <c r="E823" s="39">
        <v>0.76</v>
      </c>
      <c r="F823" s="39">
        <v>1.01</v>
      </c>
      <c r="G823" s="39">
        <v>1.31</v>
      </c>
      <c r="H823" s="39">
        <v>1.52</v>
      </c>
      <c r="I823" s="39">
        <v>1.5</v>
      </c>
      <c r="J823" s="39">
        <v>1.35</v>
      </c>
      <c r="K823" s="39">
        <v>1.17</v>
      </c>
      <c r="L823" s="39">
        <v>0.96</v>
      </c>
      <c r="M823" s="39">
        <v>0.75</v>
      </c>
      <c r="N823" s="39">
        <v>0.6</v>
      </c>
      <c r="O823" s="39">
        <v>0.55000000000000004</v>
      </c>
    </row>
    <row r="824" spans="1:15">
      <c r="A824" s="1">
        <f t="shared" si="12"/>
        <v>42.8</v>
      </c>
      <c r="B824" s="38">
        <v>42</v>
      </c>
      <c r="C824" s="39">
        <v>80</v>
      </c>
      <c r="D824" s="39">
        <v>0.53</v>
      </c>
      <c r="E824" s="39">
        <v>0.69</v>
      </c>
      <c r="F824" s="39">
        <v>0.95</v>
      </c>
      <c r="G824" s="39">
        <v>1.25</v>
      </c>
      <c r="H824" s="39">
        <v>1.47</v>
      </c>
      <c r="I824" s="39">
        <v>1.46</v>
      </c>
      <c r="J824" s="39">
        <v>1.3</v>
      </c>
      <c r="K824" s="39">
        <v>1.1200000000000001</v>
      </c>
      <c r="L824" s="39">
        <v>0.9</v>
      </c>
      <c r="M824" s="39">
        <v>0.68</v>
      </c>
      <c r="N824" s="39">
        <v>0.53</v>
      </c>
      <c r="O824" s="39">
        <v>0.48</v>
      </c>
    </row>
    <row r="825" spans="1:15">
      <c r="A825" s="1">
        <f t="shared" si="12"/>
        <v>42.85</v>
      </c>
      <c r="B825" s="38">
        <v>42</v>
      </c>
      <c r="C825" s="39">
        <v>85</v>
      </c>
      <c r="D825" s="39">
        <v>0.46</v>
      </c>
      <c r="E825" s="39">
        <v>0.62</v>
      </c>
      <c r="F825" s="39">
        <v>0.88</v>
      </c>
      <c r="G825" s="39">
        <v>1.19</v>
      </c>
      <c r="H825" s="39">
        <v>1.42</v>
      </c>
      <c r="I825" s="39">
        <v>1.41</v>
      </c>
      <c r="J825" s="39">
        <v>1.25</v>
      </c>
      <c r="K825" s="39">
        <v>1.06</v>
      </c>
      <c r="L825" s="39">
        <v>0.83</v>
      </c>
      <c r="M825" s="39">
        <v>0.61</v>
      </c>
      <c r="N825" s="39">
        <v>0.46</v>
      </c>
      <c r="O825" s="39">
        <v>0.4</v>
      </c>
    </row>
    <row r="826" spans="1:15">
      <c r="A826" s="1">
        <f t="shared" si="12"/>
        <v>42.9</v>
      </c>
      <c r="B826" s="38">
        <v>42</v>
      </c>
      <c r="C826" s="39">
        <v>90</v>
      </c>
      <c r="D826" s="39">
        <v>0.38</v>
      </c>
      <c r="E826" s="39">
        <v>0.54</v>
      </c>
      <c r="F826" s="39">
        <v>0.81</v>
      </c>
      <c r="G826" s="39">
        <v>1.1200000000000001</v>
      </c>
      <c r="H826" s="39">
        <v>1.36</v>
      </c>
      <c r="I826" s="39">
        <v>1.35</v>
      </c>
      <c r="J826" s="39">
        <v>1.19</v>
      </c>
      <c r="K826" s="39">
        <v>1</v>
      </c>
      <c r="L826" s="39">
        <v>0.76</v>
      </c>
      <c r="M826" s="39">
        <v>0.54</v>
      </c>
      <c r="N826" s="39">
        <v>0.38</v>
      </c>
      <c r="O826" s="39">
        <v>0.32</v>
      </c>
    </row>
    <row r="827" spans="1:15">
      <c r="A827" s="1">
        <f t="shared" si="12"/>
        <v>43</v>
      </c>
      <c r="B827" s="38">
        <v>43</v>
      </c>
      <c r="C827" s="39">
        <v>0</v>
      </c>
      <c r="D827" s="39">
        <v>1</v>
      </c>
      <c r="E827" s="39">
        <v>1</v>
      </c>
      <c r="F827" s="39">
        <v>1</v>
      </c>
      <c r="G827" s="39">
        <v>1</v>
      </c>
      <c r="H827" s="39">
        <v>1</v>
      </c>
      <c r="I827" s="39">
        <v>1</v>
      </c>
      <c r="J827" s="39">
        <v>1</v>
      </c>
      <c r="K827" s="39">
        <v>1</v>
      </c>
      <c r="L827" s="39">
        <v>1</v>
      </c>
      <c r="M827" s="39">
        <v>1</v>
      </c>
      <c r="N827" s="39">
        <v>1</v>
      </c>
      <c r="O827" s="39">
        <v>1</v>
      </c>
    </row>
    <row r="828" spans="1:15">
      <c r="A828" s="1">
        <f t="shared" si="12"/>
        <v>43.05</v>
      </c>
      <c r="B828" s="38">
        <v>43</v>
      </c>
      <c r="C828" s="39">
        <v>5</v>
      </c>
      <c r="D828" s="39">
        <v>1.02</v>
      </c>
      <c r="E828" s="39">
        <v>1.04</v>
      </c>
      <c r="F828" s="39">
        <v>1.06</v>
      </c>
      <c r="G828" s="39">
        <v>1.08</v>
      </c>
      <c r="H828" s="39">
        <v>1.1000000000000001</v>
      </c>
      <c r="I828" s="39">
        <v>1.0900000000000001</v>
      </c>
      <c r="J828" s="39">
        <v>1.08</v>
      </c>
      <c r="K828" s="39">
        <v>1.07</v>
      </c>
      <c r="L828" s="39">
        <v>1.05</v>
      </c>
      <c r="M828" s="39">
        <v>1.03</v>
      </c>
      <c r="N828" s="39">
        <v>1.02</v>
      </c>
      <c r="O828" s="39">
        <v>1.02</v>
      </c>
    </row>
    <row r="829" spans="1:15">
      <c r="A829" s="1">
        <f t="shared" si="12"/>
        <v>43.1</v>
      </c>
      <c r="B829" s="38">
        <v>43</v>
      </c>
      <c r="C829" s="39">
        <v>10</v>
      </c>
      <c r="D829" s="39">
        <v>1.04</v>
      </c>
      <c r="E829" s="39">
        <v>1.07</v>
      </c>
      <c r="F829" s="39">
        <v>1.1100000000000001</v>
      </c>
      <c r="G829" s="39">
        <v>1.1599999999999999</v>
      </c>
      <c r="H829" s="39">
        <v>1.19</v>
      </c>
      <c r="I829" s="39">
        <v>1.18</v>
      </c>
      <c r="J829" s="39">
        <v>1.1499999999999999</v>
      </c>
      <c r="K829" s="39">
        <v>1.1200000000000001</v>
      </c>
      <c r="L829" s="39">
        <v>1.0900000000000001</v>
      </c>
      <c r="M829" s="39">
        <v>1.06</v>
      </c>
      <c r="N829" s="39">
        <v>1.04</v>
      </c>
      <c r="O829" s="39">
        <v>1.03</v>
      </c>
    </row>
    <row r="830" spans="1:15">
      <c r="A830" s="1">
        <f t="shared" si="12"/>
        <v>43.15</v>
      </c>
      <c r="B830" s="38">
        <v>43</v>
      </c>
      <c r="C830" s="39">
        <v>15</v>
      </c>
      <c r="D830" s="39">
        <v>1.05</v>
      </c>
      <c r="E830" s="39">
        <v>1.0900000000000001</v>
      </c>
      <c r="F830" s="39">
        <v>1.1499999999999999</v>
      </c>
      <c r="G830" s="39">
        <v>1.23</v>
      </c>
      <c r="H830" s="39">
        <v>1.27</v>
      </c>
      <c r="I830" s="39">
        <v>1.26</v>
      </c>
      <c r="J830" s="39">
        <v>1.22</v>
      </c>
      <c r="K830" s="39">
        <v>1.18</v>
      </c>
      <c r="L830" s="39">
        <v>1.1299999999999999</v>
      </c>
      <c r="M830" s="39">
        <v>1.08</v>
      </c>
      <c r="N830" s="39">
        <v>1.05</v>
      </c>
      <c r="O830" s="39">
        <v>1.03</v>
      </c>
    </row>
    <row r="831" spans="1:15">
      <c r="A831" s="1">
        <f t="shared" si="12"/>
        <v>43.2</v>
      </c>
      <c r="B831" s="38">
        <v>43</v>
      </c>
      <c r="C831" s="39">
        <v>20</v>
      </c>
      <c r="D831" s="39">
        <v>1.05</v>
      </c>
      <c r="E831" s="39">
        <v>1.1000000000000001</v>
      </c>
      <c r="F831" s="39">
        <v>1.19</v>
      </c>
      <c r="G831" s="39">
        <v>1.29</v>
      </c>
      <c r="H831" s="39">
        <v>1.35</v>
      </c>
      <c r="I831" s="39">
        <v>1.33</v>
      </c>
      <c r="J831" s="39">
        <v>1.28</v>
      </c>
      <c r="K831" s="39">
        <v>1.22</v>
      </c>
      <c r="L831" s="39">
        <v>1.1599999999999999</v>
      </c>
      <c r="M831" s="39">
        <v>1.0900000000000001</v>
      </c>
      <c r="N831" s="39">
        <v>1.05</v>
      </c>
      <c r="O831" s="39">
        <v>1.03</v>
      </c>
    </row>
    <row r="832" spans="1:15">
      <c r="A832" s="1">
        <f t="shared" si="12"/>
        <v>43.25</v>
      </c>
      <c r="B832" s="38">
        <v>43</v>
      </c>
      <c r="C832" s="39">
        <v>25</v>
      </c>
      <c r="D832" s="39">
        <v>1.04</v>
      </c>
      <c r="E832" s="39">
        <v>1.1100000000000001</v>
      </c>
      <c r="F832" s="39">
        <v>1.22</v>
      </c>
      <c r="G832" s="39">
        <v>1.34</v>
      </c>
      <c r="H832" s="39">
        <v>1.42</v>
      </c>
      <c r="I832" s="39">
        <v>1.4</v>
      </c>
      <c r="J832" s="39">
        <v>1.33</v>
      </c>
      <c r="K832" s="39">
        <v>1.26</v>
      </c>
      <c r="L832" s="39">
        <v>1.18</v>
      </c>
      <c r="M832" s="39">
        <v>1.1000000000000001</v>
      </c>
      <c r="N832" s="39">
        <v>1.04</v>
      </c>
      <c r="O832" s="39">
        <v>1.02</v>
      </c>
    </row>
    <row r="833" spans="1:15">
      <c r="A833" s="1">
        <f t="shared" si="12"/>
        <v>43.3</v>
      </c>
      <c r="B833" s="38">
        <v>43</v>
      </c>
      <c r="C833" s="39">
        <v>30</v>
      </c>
      <c r="D833" s="39">
        <v>1.03</v>
      </c>
      <c r="E833" s="39">
        <v>1.1100000000000001</v>
      </c>
      <c r="F833" s="39">
        <v>1.24</v>
      </c>
      <c r="G833" s="39">
        <v>1.38</v>
      </c>
      <c r="H833" s="39">
        <v>1.48</v>
      </c>
      <c r="I833" s="39">
        <v>1.45</v>
      </c>
      <c r="J833" s="39">
        <v>1.37</v>
      </c>
      <c r="K833" s="39">
        <v>1.29</v>
      </c>
      <c r="L833" s="39">
        <v>1.2</v>
      </c>
      <c r="M833" s="39">
        <v>1.1000000000000001</v>
      </c>
      <c r="N833" s="39">
        <v>1.03</v>
      </c>
      <c r="O833" s="39">
        <v>1</v>
      </c>
    </row>
    <row r="834" spans="1:15">
      <c r="A834" s="1">
        <f t="shared" si="12"/>
        <v>43.35</v>
      </c>
      <c r="B834" s="38">
        <v>43</v>
      </c>
      <c r="C834" s="39">
        <v>35</v>
      </c>
      <c r="D834" s="39">
        <v>1.01</v>
      </c>
      <c r="E834" s="39">
        <v>1.1000000000000001</v>
      </c>
      <c r="F834" s="39">
        <v>1.25</v>
      </c>
      <c r="G834" s="39">
        <v>1.42</v>
      </c>
      <c r="H834" s="39">
        <v>1.52</v>
      </c>
      <c r="I834" s="39">
        <v>1.5</v>
      </c>
      <c r="J834" s="39">
        <v>1.41</v>
      </c>
      <c r="K834" s="39">
        <v>1.31</v>
      </c>
      <c r="L834" s="39">
        <v>1.2</v>
      </c>
      <c r="M834" s="39">
        <v>1.0900000000000001</v>
      </c>
      <c r="N834" s="39">
        <v>1.01</v>
      </c>
      <c r="O834" s="39">
        <v>0.98</v>
      </c>
    </row>
    <row r="835" spans="1:15">
      <c r="A835" s="1">
        <f t="shared" si="12"/>
        <v>43.4</v>
      </c>
      <c r="B835" s="38">
        <v>43</v>
      </c>
      <c r="C835" s="39">
        <v>40</v>
      </c>
      <c r="D835" s="39">
        <v>0.98</v>
      </c>
      <c r="E835" s="39">
        <v>1.0900000000000001</v>
      </c>
      <c r="F835" s="39">
        <v>1.25</v>
      </c>
      <c r="G835" s="39">
        <v>1.44</v>
      </c>
      <c r="H835" s="39">
        <v>1.56</v>
      </c>
      <c r="I835" s="39">
        <v>1.54</v>
      </c>
      <c r="J835" s="39">
        <v>1.43</v>
      </c>
      <c r="K835" s="39">
        <v>1.33</v>
      </c>
      <c r="L835" s="39">
        <v>1.2</v>
      </c>
      <c r="M835" s="39">
        <v>1.07</v>
      </c>
      <c r="N835" s="39">
        <v>0.98</v>
      </c>
      <c r="O835" s="39">
        <v>0.95</v>
      </c>
    </row>
    <row r="836" spans="1:15">
      <c r="A836" s="1">
        <f t="shared" si="12"/>
        <v>43.45</v>
      </c>
      <c r="B836" s="38">
        <v>43</v>
      </c>
      <c r="C836" s="39">
        <v>45</v>
      </c>
      <c r="D836" s="39">
        <v>0.95</v>
      </c>
      <c r="E836" s="39">
        <v>1.06</v>
      </c>
      <c r="F836" s="39">
        <v>1.24</v>
      </c>
      <c r="G836" s="39">
        <v>1.45</v>
      </c>
      <c r="H836" s="39">
        <v>1.59</v>
      </c>
      <c r="I836" s="39">
        <v>1.57</v>
      </c>
      <c r="J836" s="39">
        <v>1.45</v>
      </c>
      <c r="K836" s="39">
        <v>1.33</v>
      </c>
      <c r="L836" s="39">
        <v>1.19</v>
      </c>
      <c r="M836" s="39">
        <v>1.05</v>
      </c>
      <c r="N836" s="39">
        <v>0.95</v>
      </c>
      <c r="O836" s="39">
        <v>0.91</v>
      </c>
    </row>
    <row r="837" spans="1:15">
      <c r="A837" s="1">
        <f t="shared" si="12"/>
        <v>43.5</v>
      </c>
      <c r="B837" s="38">
        <v>43</v>
      </c>
      <c r="C837" s="39">
        <v>50</v>
      </c>
      <c r="D837" s="39">
        <v>0.91</v>
      </c>
      <c r="E837" s="39">
        <v>1.03</v>
      </c>
      <c r="F837" s="39">
        <v>1.23</v>
      </c>
      <c r="G837" s="39">
        <v>1.46</v>
      </c>
      <c r="H837" s="39">
        <v>1.61</v>
      </c>
      <c r="I837" s="39">
        <v>1.58</v>
      </c>
      <c r="J837" s="39">
        <v>1.46</v>
      </c>
      <c r="K837" s="39">
        <v>1.33</v>
      </c>
      <c r="L837" s="39">
        <v>1.17</v>
      </c>
      <c r="M837" s="39">
        <v>1.02</v>
      </c>
      <c r="N837" s="39">
        <v>0.91</v>
      </c>
      <c r="O837" s="39">
        <v>0.87</v>
      </c>
    </row>
    <row r="838" spans="1:15">
      <c r="A838" s="1">
        <f t="shared" si="12"/>
        <v>43.55</v>
      </c>
      <c r="B838" s="38">
        <v>43</v>
      </c>
      <c r="C838" s="39">
        <v>55</v>
      </c>
      <c r="D838" s="39">
        <v>0.86</v>
      </c>
      <c r="E838" s="39">
        <v>1</v>
      </c>
      <c r="F838" s="39">
        <v>1.21</v>
      </c>
      <c r="G838" s="39">
        <v>1.45</v>
      </c>
      <c r="H838" s="39">
        <v>1.62</v>
      </c>
      <c r="I838" s="39">
        <v>1.59</v>
      </c>
      <c r="J838" s="39">
        <v>1.46</v>
      </c>
      <c r="K838" s="39">
        <v>1.32</v>
      </c>
      <c r="L838" s="39">
        <v>1.1499999999999999</v>
      </c>
      <c r="M838" s="39">
        <v>0.98</v>
      </c>
      <c r="N838" s="39">
        <v>0.86</v>
      </c>
      <c r="O838" s="39">
        <v>0.82</v>
      </c>
    </row>
    <row r="839" spans="1:15">
      <c r="A839" s="1">
        <f t="shared" si="12"/>
        <v>43.6</v>
      </c>
      <c r="B839" s="38">
        <v>43</v>
      </c>
      <c r="C839" s="39">
        <v>60</v>
      </c>
      <c r="D839" s="39">
        <v>0.81</v>
      </c>
      <c r="E839" s="39">
        <v>0.95</v>
      </c>
      <c r="F839" s="39">
        <v>1.17</v>
      </c>
      <c r="G839" s="39">
        <v>1.44</v>
      </c>
      <c r="H839" s="39">
        <v>1.62</v>
      </c>
      <c r="I839" s="39">
        <v>1.59</v>
      </c>
      <c r="J839" s="39">
        <v>1.45</v>
      </c>
      <c r="K839" s="39">
        <v>1.3</v>
      </c>
      <c r="L839" s="39">
        <v>1.1200000000000001</v>
      </c>
      <c r="M839" s="39">
        <v>0.94</v>
      </c>
      <c r="N839" s="39">
        <v>0.81</v>
      </c>
      <c r="O839" s="39">
        <v>0.76</v>
      </c>
    </row>
    <row r="840" spans="1:15">
      <c r="A840" s="1">
        <f t="shared" si="12"/>
        <v>43.65</v>
      </c>
      <c r="B840" s="38">
        <v>43</v>
      </c>
      <c r="C840" s="39">
        <v>65</v>
      </c>
      <c r="D840" s="39">
        <v>0.75</v>
      </c>
      <c r="E840" s="39">
        <v>0.9</v>
      </c>
      <c r="F840" s="39">
        <v>1.1299999999999999</v>
      </c>
      <c r="G840" s="39">
        <v>1.41</v>
      </c>
      <c r="H840" s="39">
        <v>1.61</v>
      </c>
      <c r="I840" s="39">
        <v>1.58</v>
      </c>
      <c r="J840" s="39">
        <v>1.43</v>
      </c>
      <c r="K840" s="39">
        <v>1.27</v>
      </c>
      <c r="L840" s="39">
        <v>1.08</v>
      </c>
      <c r="M840" s="39">
        <v>0.89</v>
      </c>
      <c r="N840" s="39">
        <v>0.75</v>
      </c>
      <c r="O840" s="39">
        <v>0.7</v>
      </c>
    </row>
    <row r="841" spans="1:15">
      <c r="A841" s="1">
        <f t="shared" si="12"/>
        <v>43.7</v>
      </c>
      <c r="B841" s="38">
        <v>43</v>
      </c>
      <c r="C841" s="39">
        <v>70</v>
      </c>
      <c r="D841" s="39">
        <v>0.69</v>
      </c>
      <c r="E841" s="39">
        <v>0.84</v>
      </c>
      <c r="F841" s="39">
        <v>1.0900000000000001</v>
      </c>
      <c r="G841" s="39">
        <v>1.38</v>
      </c>
      <c r="H841" s="39">
        <v>1.58</v>
      </c>
      <c r="I841" s="39">
        <v>1.56</v>
      </c>
      <c r="J841" s="39">
        <v>1.41</v>
      </c>
      <c r="K841" s="39">
        <v>1.23</v>
      </c>
      <c r="L841" s="39">
        <v>1.03</v>
      </c>
      <c r="M841" s="39">
        <v>0.83</v>
      </c>
      <c r="N841" s="39">
        <v>0.69</v>
      </c>
      <c r="O841" s="39">
        <v>0.64</v>
      </c>
    </row>
    <row r="842" spans="1:15">
      <c r="A842" s="1">
        <f t="shared" ref="A842:A864" si="13">B842+C842/100</f>
        <v>43.75</v>
      </c>
      <c r="B842" s="38">
        <v>43</v>
      </c>
      <c r="C842" s="39">
        <v>75</v>
      </c>
      <c r="D842" s="39">
        <v>0.62</v>
      </c>
      <c r="E842" s="39">
        <v>0.78</v>
      </c>
      <c r="F842" s="39">
        <v>1.03</v>
      </c>
      <c r="G842" s="39">
        <v>1.34</v>
      </c>
      <c r="H842" s="39">
        <v>1.55</v>
      </c>
      <c r="I842" s="39">
        <v>1.53</v>
      </c>
      <c r="J842" s="39">
        <v>1.37</v>
      </c>
      <c r="K842" s="39">
        <v>1.19</v>
      </c>
      <c r="L842" s="39">
        <v>0.98</v>
      </c>
      <c r="M842" s="39">
        <v>0.77</v>
      </c>
      <c r="N842" s="39">
        <v>0.62</v>
      </c>
      <c r="O842" s="39">
        <v>0.56999999999999995</v>
      </c>
    </row>
    <row r="843" spans="1:15">
      <c r="A843" s="1">
        <f t="shared" si="13"/>
        <v>43.8</v>
      </c>
      <c r="B843" s="38">
        <v>43</v>
      </c>
      <c r="C843" s="39">
        <v>80</v>
      </c>
      <c r="D843" s="39">
        <v>0.55000000000000004</v>
      </c>
      <c r="E843" s="39">
        <v>0.71</v>
      </c>
      <c r="F843" s="39">
        <v>0.97</v>
      </c>
      <c r="G843" s="39">
        <v>1.28</v>
      </c>
      <c r="H843" s="39">
        <v>1.51</v>
      </c>
      <c r="I843" s="39">
        <v>1.49</v>
      </c>
      <c r="J843" s="39">
        <v>1.33</v>
      </c>
      <c r="K843" s="39">
        <v>1.1399999999999999</v>
      </c>
      <c r="L843" s="39">
        <v>0.92</v>
      </c>
      <c r="M843" s="39">
        <v>0.7</v>
      </c>
      <c r="N843" s="39">
        <v>0.55000000000000004</v>
      </c>
      <c r="O843" s="39">
        <v>0.49</v>
      </c>
    </row>
    <row r="844" spans="1:15">
      <c r="A844" s="1">
        <f t="shared" si="13"/>
        <v>43.85</v>
      </c>
      <c r="B844" s="38">
        <v>43</v>
      </c>
      <c r="C844" s="39">
        <v>85</v>
      </c>
      <c r="D844" s="39">
        <v>0.47</v>
      </c>
      <c r="E844" s="39">
        <v>0.64</v>
      </c>
      <c r="F844" s="39">
        <v>0.9</v>
      </c>
      <c r="G844" s="39">
        <v>1.22</v>
      </c>
      <c r="H844" s="39">
        <v>1.45</v>
      </c>
      <c r="I844" s="39">
        <v>1.44</v>
      </c>
      <c r="J844" s="39">
        <v>1.28</v>
      </c>
      <c r="K844" s="39">
        <v>1.08</v>
      </c>
      <c r="L844" s="39">
        <v>0.85</v>
      </c>
      <c r="M844" s="39">
        <v>0.63</v>
      </c>
      <c r="N844" s="39">
        <v>0.47</v>
      </c>
      <c r="O844" s="39">
        <v>0.42</v>
      </c>
    </row>
    <row r="845" spans="1:15">
      <c r="A845" s="1">
        <f t="shared" si="13"/>
        <v>43.9</v>
      </c>
      <c r="B845" s="38">
        <v>43</v>
      </c>
      <c r="C845" s="39">
        <v>90</v>
      </c>
      <c r="D845" s="39">
        <v>0.39</v>
      </c>
      <c r="E845" s="39">
        <v>0.56000000000000005</v>
      </c>
      <c r="F845" s="39">
        <v>0.83</v>
      </c>
      <c r="G845" s="39">
        <v>1.1599999999999999</v>
      </c>
      <c r="H845" s="39">
        <v>1.39</v>
      </c>
      <c r="I845" s="39">
        <v>1.38</v>
      </c>
      <c r="J845" s="39">
        <v>1.22</v>
      </c>
      <c r="K845" s="39">
        <v>1.02</v>
      </c>
      <c r="L845" s="39">
        <v>0.78</v>
      </c>
      <c r="M845" s="39">
        <v>0.56000000000000005</v>
      </c>
      <c r="N845" s="39">
        <v>0.4</v>
      </c>
      <c r="O845" s="39">
        <v>0.34</v>
      </c>
    </row>
    <row r="846" spans="1:15">
      <c r="A846" s="1">
        <f t="shared" si="13"/>
        <v>44</v>
      </c>
      <c r="B846" s="38">
        <v>44</v>
      </c>
      <c r="C846" s="39">
        <v>0</v>
      </c>
      <c r="D846" s="39">
        <v>1</v>
      </c>
      <c r="E846" s="39">
        <v>1</v>
      </c>
      <c r="F846" s="39">
        <v>1</v>
      </c>
      <c r="G846" s="39">
        <v>1</v>
      </c>
      <c r="H846" s="39">
        <v>1</v>
      </c>
      <c r="I846" s="39">
        <v>1</v>
      </c>
      <c r="J846" s="39">
        <v>1</v>
      </c>
      <c r="K846" s="39">
        <v>1</v>
      </c>
      <c r="L846" s="39">
        <v>1</v>
      </c>
      <c r="M846" s="39">
        <v>1</v>
      </c>
      <c r="N846" s="39">
        <v>1</v>
      </c>
      <c r="O846" s="39">
        <v>1</v>
      </c>
    </row>
    <row r="847" spans="1:15">
      <c r="A847" s="1">
        <f t="shared" si="13"/>
        <v>44.05</v>
      </c>
      <c r="B847" s="38">
        <v>44</v>
      </c>
      <c r="C847" s="39">
        <v>5</v>
      </c>
      <c r="D847" s="39">
        <v>1.02</v>
      </c>
      <c r="E847" s="39">
        <v>1.04</v>
      </c>
      <c r="F847" s="39">
        <v>1.06</v>
      </c>
      <c r="G847" s="39">
        <v>1.0900000000000001</v>
      </c>
      <c r="H847" s="39">
        <v>1.1000000000000001</v>
      </c>
      <c r="I847" s="39">
        <v>1.1000000000000001</v>
      </c>
      <c r="J847" s="39">
        <v>1.08</v>
      </c>
      <c r="K847" s="39">
        <v>1.07</v>
      </c>
      <c r="L847" s="39">
        <v>1.05</v>
      </c>
      <c r="M847" s="39">
        <v>1.04</v>
      </c>
      <c r="N847" s="39">
        <v>1.02</v>
      </c>
      <c r="O847" s="39">
        <v>1.02</v>
      </c>
    </row>
    <row r="848" spans="1:15">
      <c r="A848" s="1">
        <f t="shared" si="13"/>
        <v>44.1</v>
      </c>
      <c r="B848" s="38">
        <v>44</v>
      </c>
      <c r="C848" s="39">
        <v>10</v>
      </c>
      <c r="D848" s="39">
        <v>1.04</v>
      </c>
      <c r="E848" s="39">
        <v>1.07</v>
      </c>
      <c r="F848" s="39">
        <v>1.1100000000000001</v>
      </c>
      <c r="G848" s="39">
        <v>1.1599999999999999</v>
      </c>
      <c r="H848" s="39">
        <v>1.19</v>
      </c>
      <c r="I848" s="39">
        <v>1.18</v>
      </c>
      <c r="J848" s="39">
        <v>1.1599999999999999</v>
      </c>
      <c r="K848" s="39">
        <v>1.1299999999999999</v>
      </c>
      <c r="L848" s="39">
        <v>1.1000000000000001</v>
      </c>
      <c r="M848" s="39">
        <v>1.06</v>
      </c>
      <c r="N848" s="39">
        <v>1.04</v>
      </c>
      <c r="O848" s="39">
        <v>1.03</v>
      </c>
    </row>
    <row r="849" spans="1:15">
      <c r="A849" s="1">
        <f t="shared" si="13"/>
        <v>44.15</v>
      </c>
      <c r="B849" s="38">
        <v>44</v>
      </c>
      <c r="C849" s="39">
        <v>15</v>
      </c>
      <c r="D849" s="39">
        <v>1.05</v>
      </c>
      <c r="E849" s="39">
        <v>1.0900000000000001</v>
      </c>
      <c r="F849" s="39">
        <v>1.1599999999999999</v>
      </c>
      <c r="G849" s="39">
        <v>1.23</v>
      </c>
      <c r="H849" s="39">
        <v>1.28</v>
      </c>
      <c r="I849" s="39">
        <v>1.27</v>
      </c>
      <c r="J849" s="39">
        <v>1.22</v>
      </c>
      <c r="K849" s="39">
        <v>1.18</v>
      </c>
      <c r="L849" s="39">
        <v>1.1299999999999999</v>
      </c>
      <c r="M849" s="39">
        <v>1.0900000000000001</v>
      </c>
      <c r="N849" s="39">
        <v>1.05</v>
      </c>
      <c r="O849" s="39">
        <v>1.04</v>
      </c>
    </row>
    <row r="850" spans="1:15">
      <c r="A850" s="1">
        <f t="shared" si="13"/>
        <v>44.2</v>
      </c>
      <c r="B850" s="38">
        <v>44</v>
      </c>
      <c r="C850" s="39">
        <v>20</v>
      </c>
      <c r="D850" s="39">
        <v>1.06</v>
      </c>
      <c r="E850" s="39">
        <v>1.1100000000000001</v>
      </c>
      <c r="F850" s="39">
        <v>1.2</v>
      </c>
      <c r="G850" s="39">
        <v>1.3</v>
      </c>
      <c r="H850" s="39">
        <v>1.36</v>
      </c>
      <c r="I850" s="39">
        <v>1.34</v>
      </c>
      <c r="J850" s="39">
        <v>1.28</v>
      </c>
      <c r="K850" s="39">
        <v>1.23</v>
      </c>
      <c r="L850" s="39">
        <v>1.17</v>
      </c>
      <c r="M850" s="39">
        <v>1.1000000000000001</v>
      </c>
      <c r="N850" s="39">
        <v>1.05</v>
      </c>
      <c r="O850" s="39">
        <v>1.04</v>
      </c>
    </row>
    <row r="851" spans="1:15">
      <c r="A851" s="1">
        <f t="shared" si="13"/>
        <v>44.25</v>
      </c>
      <c r="B851" s="38">
        <v>44</v>
      </c>
      <c r="C851" s="39">
        <v>25</v>
      </c>
      <c r="D851" s="39">
        <v>1.05</v>
      </c>
      <c r="E851" s="39">
        <v>1.1200000000000001</v>
      </c>
      <c r="F851" s="39">
        <v>1.23</v>
      </c>
      <c r="G851" s="39">
        <v>1.35</v>
      </c>
      <c r="H851" s="39">
        <v>1.43</v>
      </c>
      <c r="I851" s="39">
        <v>1.41</v>
      </c>
      <c r="J851" s="39">
        <v>1.34</v>
      </c>
      <c r="K851" s="39">
        <v>1.27</v>
      </c>
      <c r="L851" s="39">
        <v>1.19</v>
      </c>
      <c r="M851" s="39">
        <v>1.1100000000000001</v>
      </c>
      <c r="N851" s="39">
        <v>1.05</v>
      </c>
      <c r="O851" s="39">
        <v>1.03</v>
      </c>
    </row>
    <row r="852" spans="1:15">
      <c r="A852" s="1">
        <f t="shared" si="13"/>
        <v>44.3</v>
      </c>
      <c r="B852" s="38">
        <v>44</v>
      </c>
      <c r="C852" s="39">
        <v>30</v>
      </c>
      <c r="D852" s="39">
        <v>1.05</v>
      </c>
      <c r="E852" s="39">
        <v>1.1200000000000001</v>
      </c>
      <c r="F852" s="39">
        <v>1.25</v>
      </c>
      <c r="G852" s="39">
        <v>1.4</v>
      </c>
      <c r="H852" s="39">
        <v>1.49</v>
      </c>
      <c r="I852" s="39">
        <v>1.47</v>
      </c>
      <c r="J852" s="39">
        <v>1.38</v>
      </c>
      <c r="K852" s="39">
        <v>1.3</v>
      </c>
      <c r="L852" s="39">
        <v>1.2</v>
      </c>
      <c r="M852" s="39">
        <v>1.1100000000000001</v>
      </c>
      <c r="N852" s="39">
        <v>1.04</v>
      </c>
      <c r="O852" s="39">
        <v>1.01</v>
      </c>
    </row>
    <row r="853" spans="1:15">
      <c r="A853" s="1">
        <f t="shared" si="13"/>
        <v>44.35</v>
      </c>
      <c r="B853" s="38">
        <v>44</v>
      </c>
      <c r="C853" s="39">
        <v>35</v>
      </c>
      <c r="D853" s="39">
        <v>1.02</v>
      </c>
      <c r="E853" s="39">
        <v>1.1100000000000001</v>
      </c>
      <c r="F853" s="39">
        <v>1.26</v>
      </c>
      <c r="G853" s="39">
        <v>1.43</v>
      </c>
      <c r="H853" s="39">
        <v>1.54</v>
      </c>
      <c r="I853" s="39">
        <v>1.52</v>
      </c>
      <c r="J853" s="39">
        <v>1.42</v>
      </c>
      <c r="K853" s="39">
        <v>1.32</v>
      </c>
      <c r="L853" s="39">
        <v>1.21</v>
      </c>
      <c r="M853" s="39">
        <v>1.1000000000000001</v>
      </c>
      <c r="N853" s="39">
        <v>1.02</v>
      </c>
      <c r="O853" s="39">
        <v>0.99</v>
      </c>
    </row>
    <row r="854" spans="1:15">
      <c r="A854" s="1">
        <f t="shared" si="13"/>
        <v>44.4</v>
      </c>
      <c r="B854" s="38">
        <v>44</v>
      </c>
      <c r="C854" s="39">
        <v>40</v>
      </c>
      <c r="D854" s="39">
        <v>1</v>
      </c>
      <c r="E854" s="39">
        <v>1.1000000000000001</v>
      </c>
      <c r="F854" s="39">
        <v>1.26</v>
      </c>
      <c r="G854" s="39">
        <v>1.46</v>
      </c>
      <c r="H854" s="39">
        <v>1.59</v>
      </c>
      <c r="I854" s="39">
        <v>1.56</v>
      </c>
      <c r="J854" s="39">
        <v>1.45</v>
      </c>
      <c r="K854" s="39">
        <v>1.34</v>
      </c>
      <c r="L854" s="39">
        <v>1.21</v>
      </c>
      <c r="M854" s="39">
        <v>1.08</v>
      </c>
      <c r="N854" s="39">
        <v>0.99</v>
      </c>
      <c r="O854" s="39">
        <v>0.96</v>
      </c>
    </row>
    <row r="855" spans="1:15">
      <c r="A855" s="1">
        <f t="shared" si="13"/>
        <v>44.45</v>
      </c>
      <c r="B855" s="38">
        <v>44</v>
      </c>
      <c r="C855" s="39">
        <v>45</v>
      </c>
      <c r="D855" s="39">
        <v>0.96</v>
      </c>
      <c r="E855" s="39">
        <v>1.08</v>
      </c>
      <c r="F855" s="39">
        <v>1.26</v>
      </c>
      <c r="G855" s="39">
        <v>1.48</v>
      </c>
      <c r="H855" s="39">
        <v>1.62</v>
      </c>
      <c r="I855" s="39">
        <v>1.59</v>
      </c>
      <c r="J855" s="39">
        <v>1.47</v>
      </c>
      <c r="K855" s="39">
        <v>1.35</v>
      </c>
      <c r="L855" s="39">
        <v>1.2</v>
      </c>
      <c r="M855" s="39">
        <v>1.06</v>
      </c>
      <c r="N855" s="39">
        <v>0.96</v>
      </c>
      <c r="O855" s="39">
        <v>0.92</v>
      </c>
    </row>
    <row r="856" spans="1:15">
      <c r="A856" s="1">
        <f t="shared" si="13"/>
        <v>44.5</v>
      </c>
      <c r="B856" s="38">
        <v>44</v>
      </c>
      <c r="C856" s="39">
        <v>50</v>
      </c>
      <c r="D856" s="39">
        <v>0.92</v>
      </c>
      <c r="E856" s="39">
        <v>1.05</v>
      </c>
      <c r="F856" s="39">
        <v>1.25</v>
      </c>
      <c r="G856" s="39">
        <v>1.48</v>
      </c>
      <c r="H856" s="39">
        <v>1.64</v>
      </c>
      <c r="I856" s="39">
        <v>1.61</v>
      </c>
      <c r="J856" s="39">
        <v>1.48</v>
      </c>
      <c r="K856" s="39">
        <v>1.34</v>
      </c>
      <c r="L856" s="39">
        <v>1.19</v>
      </c>
      <c r="M856" s="39">
        <v>1.03</v>
      </c>
      <c r="N856" s="39">
        <v>0.92</v>
      </c>
      <c r="O856" s="39">
        <v>0.88</v>
      </c>
    </row>
    <row r="857" spans="1:15">
      <c r="A857" s="1">
        <f t="shared" si="13"/>
        <v>44.55</v>
      </c>
      <c r="B857" s="38">
        <v>44</v>
      </c>
      <c r="C857" s="39">
        <v>55</v>
      </c>
      <c r="D857" s="39">
        <v>0.88</v>
      </c>
      <c r="E857" s="39">
        <v>1.01</v>
      </c>
      <c r="F857" s="39">
        <v>1.22</v>
      </c>
      <c r="G857" s="39">
        <v>1.48</v>
      </c>
      <c r="H857" s="39">
        <v>1.65</v>
      </c>
      <c r="I857" s="39">
        <v>1.62</v>
      </c>
      <c r="J857" s="39">
        <v>1.48</v>
      </c>
      <c r="K857" s="39">
        <v>1.33</v>
      </c>
      <c r="L857" s="39">
        <v>1.1599999999999999</v>
      </c>
      <c r="M857" s="39">
        <v>0.99</v>
      </c>
      <c r="N857" s="39">
        <v>0.87</v>
      </c>
      <c r="O857" s="39">
        <v>0.83</v>
      </c>
    </row>
    <row r="858" spans="1:15">
      <c r="A858" s="1">
        <f t="shared" si="13"/>
        <v>44.6</v>
      </c>
      <c r="B858" s="38">
        <v>44</v>
      </c>
      <c r="C858" s="39">
        <v>60</v>
      </c>
      <c r="D858" s="39">
        <v>0.82</v>
      </c>
      <c r="E858" s="39">
        <v>0.97</v>
      </c>
      <c r="F858" s="39">
        <v>1.19</v>
      </c>
      <c r="G858" s="39">
        <v>1.47</v>
      </c>
      <c r="H858" s="39">
        <v>1.65</v>
      </c>
      <c r="I858" s="39">
        <v>1.62</v>
      </c>
      <c r="J858" s="39">
        <v>1.47</v>
      </c>
      <c r="K858" s="39">
        <v>1.32</v>
      </c>
      <c r="L858" s="39">
        <v>1.1299999999999999</v>
      </c>
      <c r="M858" s="39">
        <v>0.95</v>
      </c>
      <c r="N858" s="39">
        <v>0.82</v>
      </c>
      <c r="O858" s="39">
        <v>0.78</v>
      </c>
    </row>
    <row r="859" spans="1:15">
      <c r="A859" s="1">
        <f t="shared" si="13"/>
        <v>44.65</v>
      </c>
      <c r="B859" s="38">
        <v>44</v>
      </c>
      <c r="C859" s="39">
        <v>65</v>
      </c>
      <c r="D859" s="39">
        <v>0.77</v>
      </c>
      <c r="E859" s="39">
        <v>0.92</v>
      </c>
      <c r="F859" s="39">
        <v>1.1599999999999999</v>
      </c>
      <c r="G859" s="39">
        <v>1.44</v>
      </c>
      <c r="H859" s="39">
        <v>1.64</v>
      </c>
      <c r="I859" s="39">
        <v>1.61</v>
      </c>
      <c r="J859" s="39">
        <v>1.46</v>
      </c>
      <c r="K859" s="39">
        <v>1.29</v>
      </c>
      <c r="L859" s="39">
        <v>1.0900000000000001</v>
      </c>
      <c r="M859" s="39">
        <v>0.9</v>
      </c>
      <c r="N859" s="39">
        <v>0.76</v>
      </c>
      <c r="O859" s="39">
        <v>0.72</v>
      </c>
    </row>
    <row r="860" spans="1:15">
      <c r="A860" s="1">
        <f t="shared" si="13"/>
        <v>44.7</v>
      </c>
      <c r="B860" s="38">
        <v>44</v>
      </c>
      <c r="C860" s="39">
        <v>70</v>
      </c>
      <c r="D860" s="39">
        <v>0.7</v>
      </c>
      <c r="E860" s="39">
        <v>0.86</v>
      </c>
      <c r="F860" s="39">
        <v>1.1100000000000001</v>
      </c>
      <c r="G860" s="39">
        <v>1.41</v>
      </c>
      <c r="H860" s="39">
        <v>1.62</v>
      </c>
      <c r="I860" s="39">
        <v>1.59</v>
      </c>
      <c r="J860" s="39">
        <v>1.43</v>
      </c>
      <c r="K860" s="39">
        <v>1.26</v>
      </c>
      <c r="L860" s="39">
        <v>1.05</v>
      </c>
      <c r="M860" s="39">
        <v>0.85</v>
      </c>
      <c r="N860" s="39">
        <v>0.7</v>
      </c>
      <c r="O860" s="39">
        <v>0.65</v>
      </c>
    </row>
    <row r="861" spans="1:15">
      <c r="A861" s="1">
        <f t="shared" si="13"/>
        <v>44.75</v>
      </c>
      <c r="B861" s="38">
        <v>44</v>
      </c>
      <c r="C861" s="39">
        <v>75</v>
      </c>
      <c r="D861" s="39">
        <v>0.64</v>
      </c>
      <c r="E861" s="39">
        <v>0.8</v>
      </c>
      <c r="F861" s="39">
        <v>1.06</v>
      </c>
      <c r="G861" s="39">
        <v>1.37</v>
      </c>
      <c r="H861" s="39">
        <v>1.59</v>
      </c>
      <c r="I861" s="39">
        <v>1.56</v>
      </c>
      <c r="J861" s="39">
        <v>1.4</v>
      </c>
      <c r="K861" s="39">
        <v>1.21</v>
      </c>
      <c r="L861" s="39">
        <v>1</v>
      </c>
      <c r="M861" s="39">
        <v>0.78</v>
      </c>
      <c r="N861" s="39">
        <v>64</v>
      </c>
      <c r="O861" s="39">
        <v>0.57999999999999996</v>
      </c>
    </row>
    <row r="862" spans="1:15">
      <c r="A862" s="1">
        <f t="shared" si="13"/>
        <v>44.8</v>
      </c>
      <c r="B862" s="38">
        <v>44</v>
      </c>
      <c r="C862" s="39">
        <v>80</v>
      </c>
      <c r="D862" s="39">
        <v>0.56000000000000005</v>
      </c>
      <c r="E862" s="39">
        <v>0.73</v>
      </c>
      <c r="F862" s="39">
        <v>0.99</v>
      </c>
      <c r="G862" s="39">
        <v>1.32</v>
      </c>
      <c r="H862" s="39">
        <v>1.54</v>
      </c>
      <c r="I862" s="39">
        <v>1.52</v>
      </c>
      <c r="J862" s="39">
        <v>1.36</v>
      </c>
      <c r="K862" s="39">
        <v>1.1599999999999999</v>
      </c>
      <c r="L862" s="39">
        <v>0.94</v>
      </c>
      <c r="M862" s="39">
        <v>0.72</v>
      </c>
      <c r="N862" s="39">
        <v>0.56000000000000005</v>
      </c>
      <c r="O862" s="39">
        <v>0.51</v>
      </c>
    </row>
    <row r="863" spans="1:15">
      <c r="A863" s="1">
        <f t="shared" si="13"/>
        <v>44.85</v>
      </c>
      <c r="B863" s="38">
        <v>44</v>
      </c>
      <c r="C863" s="39">
        <v>85</v>
      </c>
      <c r="D863" s="39">
        <v>0.49</v>
      </c>
      <c r="E863" s="39">
        <v>0.66</v>
      </c>
      <c r="F863" s="39">
        <v>0.93</v>
      </c>
      <c r="G863" s="39">
        <v>1.26</v>
      </c>
      <c r="H863" s="39">
        <v>1.49</v>
      </c>
      <c r="I863" s="39">
        <v>1.48</v>
      </c>
      <c r="J863" s="39">
        <v>1.31</v>
      </c>
      <c r="K863" s="39">
        <v>1.1100000000000001</v>
      </c>
      <c r="L863" s="39">
        <v>0.87</v>
      </c>
      <c r="M863" s="39">
        <v>0.65</v>
      </c>
      <c r="N863" s="39">
        <v>0.49</v>
      </c>
      <c r="O863" s="39">
        <v>0.43</v>
      </c>
    </row>
    <row r="864" spans="1:15">
      <c r="A864" s="1">
        <f t="shared" si="13"/>
        <v>44.9</v>
      </c>
      <c r="B864" s="38">
        <v>44</v>
      </c>
      <c r="C864" s="39">
        <v>90</v>
      </c>
      <c r="D864" s="39">
        <v>0.41</v>
      </c>
      <c r="E864" s="39">
        <v>0.57999999999999996</v>
      </c>
      <c r="F864" s="39">
        <v>0.85</v>
      </c>
      <c r="G864" s="39">
        <v>1.19</v>
      </c>
      <c r="H864" s="39">
        <v>1.43</v>
      </c>
      <c r="I864" s="39">
        <v>1.42</v>
      </c>
      <c r="J864" s="39">
        <v>1.25</v>
      </c>
      <c r="K864" s="39">
        <v>1.04</v>
      </c>
      <c r="L864" s="39">
        <v>0.8</v>
      </c>
      <c r="M864" s="39">
        <v>0.56999999999999995</v>
      </c>
      <c r="N864" s="39">
        <v>0.41</v>
      </c>
      <c r="O864" s="39">
        <v>0.35</v>
      </c>
    </row>
    <row r="865" spans="2:15" ht="16.2" thickBot="1">
      <c r="B865" s="36"/>
      <c r="C865" s="2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</row>
  </sheetData>
  <mergeCells count="4">
    <mergeCell ref="C3:D3"/>
    <mergeCell ref="C4:D4"/>
    <mergeCell ref="A7:C7"/>
    <mergeCell ref="C5:E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A98"/>
  <sheetViews>
    <sheetView topLeftCell="A90" workbookViewId="0">
      <selection activeCell="B103" sqref="B103"/>
    </sheetView>
  </sheetViews>
  <sheetFormatPr defaultColWidth="11" defaultRowHeight="15.6"/>
  <cols>
    <col min="1" max="1" width="42.09765625" customWidth="1"/>
  </cols>
  <sheetData>
    <row r="1" spans="1:1">
      <c r="A1" t="s">
        <v>694</v>
      </c>
    </row>
    <row r="3" spans="1:1">
      <c r="A3" t="s">
        <v>695</v>
      </c>
    </row>
    <row r="4" spans="1:1">
      <c r="A4" t="s">
        <v>696</v>
      </c>
    </row>
    <row r="5" spans="1:1">
      <c r="A5" t="s">
        <v>697</v>
      </c>
    </row>
    <row r="6" spans="1:1">
      <c r="A6" t="s">
        <v>698</v>
      </c>
    </row>
    <row r="7" spans="1:1">
      <c r="A7" t="s">
        <v>699</v>
      </c>
    </row>
    <row r="9" spans="1:1">
      <c r="A9" t="s">
        <v>700</v>
      </c>
    </row>
    <row r="10" spans="1:1">
      <c r="A10" t="s">
        <v>701</v>
      </c>
    </row>
    <row r="12" spans="1:1">
      <c r="A12" t="s">
        <v>702</v>
      </c>
    </row>
    <row r="13" spans="1:1">
      <c r="A13" t="s">
        <v>703</v>
      </c>
    </row>
    <row r="14" spans="1:1">
      <c r="A14" t="s">
        <v>704</v>
      </c>
    </row>
    <row r="15" spans="1:1">
      <c r="A15" t="s">
        <v>705</v>
      </c>
    </row>
    <row r="16" spans="1:1">
      <c r="A16" t="s">
        <v>706</v>
      </c>
    </row>
    <row r="18" spans="1:1">
      <c r="A18" t="s">
        <v>707</v>
      </c>
    </row>
    <row r="19" spans="1:1">
      <c r="A19" t="s">
        <v>708</v>
      </c>
    </row>
    <row r="20" spans="1:1">
      <c r="A20" t="s">
        <v>709</v>
      </c>
    </row>
    <row r="21" spans="1:1">
      <c r="A21" t="s">
        <v>710</v>
      </c>
    </row>
    <row r="23" spans="1:1">
      <c r="A23" t="s">
        <v>711</v>
      </c>
    </row>
    <row r="24" spans="1:1">
      <c r="A24" t="s">
        <v>712</v>
      </c>
    </row>
    <row r="25" spans="1:1">
      <c r="A25" t="s">
        <v>713</v>
      </c>
    </row>
    <row r="26" spans="1:1">
      <c r="A26" t="s">
        <v>714</v>
      </c>
    </row>
    <row r="27" spans="1:1">
      <c r="A27" t="s">
        <v>715</v>
      </c>
    </row>
    <row r="28" spans="1:1">
      <c r="A28" t="s">
        <v>716</v>
      </c>
    </row>
    <row r="30" spans="1:1">
      <c r="A30" t="s">
        <v>717</v>
      </c>
    </row>
    <row r="31" spans="1:1">
      <c r="A31" t="s">
        <v>718</v>
      </c>
    </row>
    <row r="32" spans="1:1">
      <c r="A32" t="s">
        <v>719</v>
      </c>
    </row>
    <row r="33" spans="1:1">
      <c r="A33" t="s">
        <v>720</v>
      </c>
    </row>
    <row r="35" spans="1:1">
      <c r="A35" t="s">
        <v>721</v>
      </c>
    </row>
    <row r="36" spans="1:1">
      <c r="A36" t="s">
        <v>722</v>
      </c>
    </row>
    <row r="37" spans="1:1">
      <c r="A37" t="s">
        <v>723</v>
      </c>
    </row>
    <row r="39" spans="1:1">
      <c r="A39" t="s">
        <v>724</v>
      </c>
    </row>
    <row r="40" spans="1:1">
      <c r="A40" t="s">
        <v>725</v>
      </c>
    </row>
    <row r="42" spans="1:1">
      <c r="A42" t="s">
        <v>726</v>
      </c>
    </row>
    <row r="43" spans="1:1">
      <c r="A43" t="s">
        <v>727</v>
      </c>
    </row>
    <row r="45" spans="1:1">
      <c r="A45" t="s">
        <v>728</v>
      </c>
    </row>
    <row r="46" spans="1:1">
      <c r="A46" t="s">
        <v>729</v>
      </c>
    </row>
    <row r="48" spans="1:1">
      <c r="A48" t="s">
        <v>730</v>
      </c>
    </row>
    <row r="49" spans="1:1">
      <c r="A49" t="s">
        <v>731</v>
      </c>
    </row>
    <row r="51" spans="1:1">
      <c r="A51" s="167" t="s">
        <v>732</v>
      </c>
    </row>
    <row r="52" spans="1:1">
      <c r="A52" t="s">
        <v>733</v>
      </c>
    </row>
    <row r="54" spans="1:1">
      <c r="A54" t="s">
        <v>734</v>
      </c>
    </row>
    <row r="55" spans="1:1">
      <c r="A55" t="s">
        <v>735</v>
      </c>
    </row>
    <row r="57" spans="1:1">
      <c r="A57" s="168">
        <v>43286</v>
      </c>
    </row>
    <row r="58" spans="1:1">
      <c r="A58" t="s">
        <v>736</v>
      </c>
    </row>
    <row r="60" spans="1:1">
      <c r="A60" s="181" t="s">
        <v>737</v>
      </c>
    </row>
    <row r="61" spans="1:1">
      <c r="A61" t="s">
        <v>738</v>
      </c>
    </row>
    <row r="62" spans="1:1">
      <c r="A62" t="s">
        <v>739</v>
      </c>
    </row>
    <row r="64" spans="1:1">
      <c r="A64" s="181" t="s">
        <v>740</v>
      </c>
    </row>
    <row r="65" spans="1:1">
      <c r="A65" t="s">
        <v>741</v>
      </c>
    </row>
    <row r="67" spans="1:1">
      <c r="A67" t="s">
        <v>742</v>
      </c>
    </row>
    <row r="68" spans="1:1">
      <c r="A68" t="s">
        <v>743</v>
      </c>
    </row>
    <row r="70" spans="1:1">
      <c r="A70" t="s">
        <v>744</v>
      </c>
    </row>
    <row r="71" spans="1:1">
      <c r="A71" t="s">
        <v>745</v>
      </c>
    </row>
    <row r="72" spans="1:1">
      <c r="A72" t="s">
        <v>746</v>
      </c>
    </row>
    <row r="74" spans="1:1">
      <c r="A74" t="s">
        <v>747</v>
      </c>
    </row>
    <row r="75" spans="1:1">
      <c r="A75" t="s">
        <v>748</v>
      </c>
    </row>
    <row r="77" spans="1:1">
      <c r="A77" t="s">
        <v>749</v>
      </c>
    </row>
    <row r="78" spans="1:1">
      <c r="A78" t="s">
        <v>750</v>
      </c>
    </row>
    <row r="80" spans="1:1">
      <c r="A80" s="181" t="s">
        <v>751</v>
      </c>
    </row>
    <row r="81" spans="1:1">
      <c r="A81" t="s">
        <v>752</v>
      </c>
    </row>
    <row r="82" spans="1:1">
      <c r="A82" t="s">
        <v>753</v>
      </c>
    </row>
    <row r="84" spans="1:1">
      <c r="A84" t="s">
        <v>754</v>
      </c>
    </row>
    <row r="85" spans="1:1">
      <c r="A85" t="s">
        <v>755</v>
      </c>
    </row>
    <row r="86" spans="1:1">
      <c r="A86" t="s">
        <v>756</v>
      </c>
    </row>
    <row r="88" spans="1:1">
      <c r="A88" t="s">
        <v>757</v>
      </c>
    </row>
    <row r="89" spans="1:1">
      <c r="A89" t="s">
        <v>758</v>
      </c>
    </row>
    <row r="90" spans="1:1">
      <c r="A90" t="s">
        <v>759</v>
      </c>
    </row>
    <row r="92" spans="1:1">
      <c r="A92" t="s">
        <v>760</v>
      </c>
    </row>
    <row r="93" spans="1:1">
      <c r="A93" t="s">
        <v>761</v>
      </c>
    </row>
    <row r="94" spans="1:1">
      <c r="A94" t="s">
        <v>762</v>
      </c>
    </row>
    <row r="96" spans="1:1">
      <c r="A96" t="s">
        <v>763</v>
      </c>
    </row>
    <row r="97" spans="1:1">
      <c r="A97" t="s">
        <v>764</v>
      </c>
    </row>
    <row r="98" spans="1:1">
      <c r="A98" t="s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</vt:lpstr>
      <vt:lpstr>Cálculo</vt:lpstr>
      <vt:lpstr>Gráficos</vt:lpstr>
      <vt:lpstr>Resumo dos Cálculos</vt:lpstr>
      <vt:lpstr>Dados compilados</vt:lpstr>
      <vt:lpstr>Painel e Inversor</vt:lpstr>
      <vt:lpstr>Temperatura</vt:lpstr>
      <vt:lpstr>Inclinação</vt:lpstr>
      <vt:lpstr>historico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Alcione Belache</dc:creator>
  <cp:keywords/>
  <dc:description/>
  <cp:lastModifiedBy>Quasat Solar</cp:lastModifiedBy>
  <cp:revision/>
  <dcterms:created xsi:type="dcterms:W3CDTF">2013-01-28T17:23:04Z</dcterms:created>
  <dcterms:modified xsi:type="dcterms:W3CDTF">2022-02-25T13:09:02Z</dcterms:modified>
  <cp:category/>
  <cp:contentStatus/>
</cp:coreProperties>
</file>