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imi/Library/Mobile Documents/com~apple~CloudDocs/01_Light/Lighting Sustainability/Greenlight Alliance/"/>
    </mc:Choice>
  </mc:AlternateContent>
  <xr:revisionPtr revIDLastSave="0" documentId="13_ncr:1_{C3876DB1-FF7F-2D47-B2D6-70A2A2196F27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L90 Analysis" sheetId="4" r:id="rId1"/>
    <sheet name="L70 Analysis" sheetId="5" r:id="rId2"/>
    <sheet name="L90 Vs L70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4" l="1"/>
  <c r="B49" i="4"/>
  <c r="C49" i="4"/>
  <c r="N36" i="4"/>
  <c r="Q36" i="4" s="1"/>
  <c r="Q35" i="4"/>
  <c r="P35" i="4"/>
  <c r="O35" i="4"/>
  <c r="N35" i="4"/>
  <c r="N34" i="4"/>
  <c r="P34" i="4" s="1"/>
  <c r="N33" i="4"/>
  <c r="Q33" i="4" s="1"/>
  <c r="Q32" i="4"/>
  <c r="N32" i="4"/>
  <c r="P32" i="4" s="1"/>
  <c r="N31" i="4"/>
  <c r="Q31" i="4" s="1"/>
  <c r="Q30" i="4"/>
  <c r="P30" i="4"/>
  <c r="O30" i="4"/>
  <c r="N30" i="4"/>
  <c r="N29" i="4"/>
  <c r="P29" i="4" s="1"/>
  <c r="N28" i="4"/>
  <c r="Q28" i="4" s="1"/>
  <c r="Q27" i="4"/>
  <c r="N27" i="4"/>
  <c r="P27" i="4" s="1"/>
  <c r="N26" i="4"/>
  <c r="Q26" i="4" s="1"/>
  <c r="N25" i="4"/>
  <c r="Q25" i="4" s="1"/>
  <c r="N24" i="4"/>
  <c r="Q24" i="4" s="1"/>
  <c r="N23" i="4"/>
  <c r="Q23" i="4" s="1"/>
  <c r="N22" i="4"/>
  <c r="P22" i="4" s="1"/>
  <c r="N21" i="4"/>
  <c r="N20" i="4"/>
  <c r="P20" i="4" s="1"/>
  <c r="N19" i="4"/>
  <c r="O19" i="4" s="1"/>
  <c r="N18" i="4"/>
  <c r="P18" i="4" s="1"/>
  <c r="N17" i="4"/>
  <c r="N16" i="4"/>
  <c r="N15" i="4"/>
  <c r="N14" i="4"/>
  <c r="N13" i="4"/>
  <c r="P13" i="4" s="1"/>
  <c r="N12" i="4"/>
  <c r="N11" i="4"/>
  <c r="N10" i="4"/>
  <c r="O10" i="4" s="1"/>
  <c r="N9" i="4"/>
  <c r="N8" i="4"/>
  <c r="P8" i="4" s="1"/>
  <c r="N7" i="4"/>
  <c r="Q30" i="5"/>
  <c r="Q32" i="5"/>
  <c r="Q33" i="5"/>
  <c r="Q34" i="5"/>
  <c r="O30" i="5"/>
  <c r="N22" i="5"/>
  <c r="O22" i="5" s="1"/>
  <c r="N23" i="5"/>
  <c r="Q23" i="5" s="1"/>
  <c r="N24" i="5"/>
  <c r="O24" i="5" s="1"/>
  <c r="N25" i="5"/>
  <c r="Q25" i="5" s="1"/>
  <c r="N26" i="5"/>
  <c r="Q26" i="5" s="1"/>
  <c r="N27" i="5"/>
  <c r="O27" i="5" s="1"/>
  <c r="N28" i="5"/>
  <c r="Q28" i="5" s="1"/>
  <c r="N29" i="5"/>
  <c r="Q29" i="5" s="1"/>
  <c r="N30" i="5"/>
  <c r="P30" i="5" s="1"/>
  <c r="N31" i="5"/>
  <c r="P31" i="5" s="1"/>
  <c r="N32" i="5"/>
  <c r="P32" i="5" s="1"/>
  <c r="N33" i="5"/>
  <c r="P33" i="5" s="1"/>
  <c r="N34" i="5"/>
  <c r="P34" i="5" s="1"/>
  <c r="N35" i="5"/>
  <c r="Q35" i="5" s="1"/>
  <c r="N36" i="5"/>
  <c r="O36" i="5" s="1"/>
  <c r="N17" i="5"/>
  <c r="P17" i="5" s="1"/>
  <c r="N18" i="5"/>
  <c r="P18" i="5" s="1"/>
  <c r="N19" i="5"/>
  <c r="P19" i="5" s="1"/>
  <c r="N20" i="5"/>
  <c r="Q20" i="5" s="1"/>
  <c r="N21" i="5"/>
  <c r="Q21" i="5" s="1"/>
  <c r="N8" i="5"/>
  <c r="Q8" i="5" s="1"/>
  <c r="N9" i="5"/>
  <c r="Q9" i="5" s="1"/>
  <c r="N10" i="5"/>
  <c r="Q10" i="5" s="1"/>
  <c r="N11" i="5"/>
  <c r="Q11" i="5" s="1"/>
  <c r="N12" i="5"/>
  <c r="Q12" i="5" s="1"/>
  <c r="N13" i="5"/>
  <c r="Q13" i="5" s="1"/>
  <c r="N14" i="5"/>
  <c r="Q14" i="5" s="1"/>
  <c r="N15" i="5"/>
  <c r="Q15" i="5" s="1"/>
  <c r="N16" i="5"/>
  <c r="P16" i="5" s="1"/>
  <c r="N7" i="5"/>
  <c r="Q7" i="5" s="1"/>
  <c r="D49" i="5"/>
  <c r="C49" i="5"/>
  <c r="K14" i="5"/>
  <c r="K15" i="5" s="1"/>
  <c r="K16" i="5" s="1"/>
  <c r="K17" i="5" s="1"/>
  <c r="K18" i="5" s="1"/>
  <c r="K14" i="4"/>
  <c r="K15" i="4" s="1"/>
  <c r="K16" i="4" s="1"/>
  <c r="K17" i="4" s="1"/>
  <c r="K18" i="4" s="1"/>
  <c r="B31" i="5"/>
  <c r="C31" i="5" s="1"/>
  <c r="D31" i="5" s="1"/>
  <c r="B37" i="5"/>
  <c r="C37" i="5" s="1"/>
  <c r="B37" i="4"/>
  <c r="C37" i="4" s="1"/>
  <c r="B31" i="4"/>
  <c r="C31" i="4" s="1"/>
  <c r="O33" i="5" l="1"/>
  <c r="O32" i="5"/>
  <c r="O31" i="5"/>
  <c r="Q31" i="5"/>
  <c r="O34" i="5"/>
  <c r="O33" i="4"/>
  <c r="O25" i="4"/>
  <c r="P25" i="4"/>
  <c r="O36" i="4"/>
  <c r="O28" i="4"/>
  <c r="P33" i="4"/>
  <c r="O31" i="4"/>
  <c r="P28" i="4"/>
  <c r="P31" i="4"/>
  <c r="P36" i="4"/>
  <c r="Q29" i="4"/>
  <c r="Q34" i="4"/>
  <c r="O29" i="4"/>
  <c r="O34" i="4"/>
  <c r="O27" i="4"/>
  <c r="O32" i="4"/>
  <c r="Q22" i="4"/>
  <c r="O17" i="5"/>
  <c r="P27" i="5"/>
  <c r="Q17" i="5"/>
  <c r="Q19" i="5"/>
  <c r="O18" i="5"/>
  <c r="P26" i="5"/>
  <c r="Q27" i="5"/>
  <c r="O26" i="5"/>
  <c r="Q36" i="5"/>
  <c r="O19" i="5"/>
  <c r="P29" i="5"/>
  <c r="P28" i="5"/>
  <c r="Q18" i="5"/>
  <c r="P36" i="5"/>
  <c r="P35" i="5"/>
  <c r="P25" i="5"/>
  <c r="O29" i="5"/>
  <c r="O28" i="5"/>
  <c r="O35" i="5"/>
  <c r="O25" i="5"/>
  <c r="P24" i="5"/>
  <c r="Q24" i="5"/>
  <c r="O23" i="5"/>
  <c r="P23" i="5"/>
  <c r="P22" i="5"/>
  <c r="Q22" i="5"/>
  <c r="O21" i="5"/>
  <c r="P21" i="5"/>
  <c r="O20" i="5"/>
  <c r="P20" i="5"/>
  <c r="P26" i="4"/>
  <c r="P24" i="4"/>
  <c r="O24" i="4"/>
  <c r="O22" i="4"/>
  <c r="O23" i="4"/>
  <c r="P23" i="4"/>
  <c r="O26" i="4"/>
  <c r="P15" i="4"/>
  <c r="O12" i="5"/>
  <c r="P12" i="5"/>
  <c r="O11" i="5"/>
  <c r="P11" i="5"/>
  <c r="N37" i="5"/>
  <c r="O16" i="5"/>
  <c r="Q16" i="5"/>
  <c r="O15" i="5"/>
  <c r="P15" i="5"/>
  <c r="O9" i="5"/>
  <c r="P9" i="5"/>
  <c r="P8" i="5"/>
  <c r="O7" i="5"/>
  <c r="P7" i="5"/>
  <c r="O14" i="5"/>
  <c r="P14" i="5"/>
  <c r="O10" i="5"/>
  <c r="P10" i="5"/>
  <c r="O8" i="5"/>
  <c r="O13" i="5"/>
  <c r="P13" i="5"/>
  <c r="P9" i="4"/>
  <c r="P19" i="4"/>
  <c r="O17" i="4"/>
  <c r="O13" i="4"/>
  <c r="O14" i="4"/>
  <c r="O21" i="4"/>
  <c r="P17" i="4"/>
  <c r="O20" i="4"/>
  <c r="C9" i="3"/>
  <c r="O18" i="4"/>
  <c r="O8" i="4"/>
  <c r="O15" i="4"/>
  <c r="P21" i="4"/>
  <c r="P11" i="4"/>
  <c r="O16" i="4"/>
  <c r="O11" i="4"/>
  <c r="P10" i="4"/>
  <c r="P16" i="4"/>
  <c r="P14" i="4"/>
  <c r="N37" i="4"/>
  <c r="P12" i="4"/>
  <c r="O9" i="4"/>
  <c r="O7" i="4"/>
  <c r="O12" i="4"/>
  <c r="P7" i="4"/>
  <c r="B49" i="5"/>
  <c r="D37" i="5"/>
  <c r="D31" i="4"/>
  <c r="D37" i="4"/>
  <c r="Q16" i="4" s="1"/>
  <c r="Q37" i="5" l="1"/>
  <c r="D43" i="5" s="1"/>
  <c r="P37" i="5"/>
  <c r="C43" i="5" s="1"/>
  <c r="O37" i="5"/>
  <c r="B43" i="5" s="1"/>
  <c r="Q18" i="4"/>
  <c r="Q9" i="4"/>
  <c r="Q20" i="4"/>
  <c r="Q17" i="4"/>
  <c r="Q19" i="4"/>
  <c r="Q11" i="4"/>
  <c r="Q21" i="4"/>
  <c r="P37" i="4"/>
  <c r="C43" i="4" s="1"/>
  <c r="O37" i="4"/>
  <c r="B43" i="4" s="1"/>
  <c r="Q13" i="4"/>
  <c r="Q15" i="4"/>
  <c r="Q8" i="4"/>
  <c r="Q10" i="4"/>
  <c r="Q12" i="4"/>
  <c r="Q14" i="4"/>
  <c r="Q7" i="4"/>
  <c r="B9" i="3"/>
  <c r="C5" i="3" l="1"/>
  <c r="B5" i="3"/>
  <c r="Q37" i="4"/>
  <c r="D43" i="4" s="1"/>
  <c r="D5" i="3" s="1"/>
  <c r="D9" i="3"/>
</calcChain>
</file>

<file path=xl/sharedStrings.xml><?xml version="1.0" encoding="utf-8"?>
<sst xmlns="http://schemas.openxmlformats.org/spreadsheetml/2006/main" count="160" uniqueCount="77">
  <si>
    <t>Luminaire Type</t>
  </si>
  <si>
    <t>L90 Lifetime (hours)</t>
  </si>
  <si>
    <t>Current Electricity Rate ($/kWh)</t>
  </si>
  <si>
    <t>CO2e Grid Factor (kg/kWh)</t>
  </si>
  <si>
    <t>Luminaire Data</t>
  </si>
  <si>
    <t>Market Data</t>
  </si>
  <si>
    <t>GWP - Cradle to Gate Total (kgCO2e)</t>
  </si>
  <si>
    <t>GWP - EOL (kgCO2e)</t>
  </si>
  <si>
    <t>Wattage (W)</t>
  </si>
  <si>
    <t>L70 Lifetime (hours)</t>
  </si>
  <si>
    <t xml:space="preserve">Project Data </t>
  </si>
  <si>
    <t>Control System Coefficient (average)</t>
  </si>
  <si>
    <t>Anticipated Project Life (years)</t>
  </si>
  <si>
    <t>Operational Hours/Year</t>
  </si>
  <si>
    <t>Qty</t>
  </si>
  <si>
    <t>L90 Luminaire Maintenance Factor</t>
  </si>
  <si>
    <t>L70 Luminaire Maintenance Factor</t>
  </si>
  <si>
    <t>Lifetime</t>
  </si>
  <si>
    <t>LIFETIME ASSESSMENT</t>
  </si>
  <si>
    <t>A</t>
  </si>
  <si>
    <t>Lifetime Assessment L90 (years)</t>
  </si>
  <si>
    <t>Lifetime Assessment L70 (years)</t>
  </si>
  <si>
    <t>ENERGY ASSESSMENT</t>
  </si>
  <si>
    <t>Energy Assessment L90 (kWh/year)</t>
  </si>
  <si>
    <t>Energy Assessment L70 (kWh/year)</t>
  </si>
  <si>
    <t>Lifetime with Control + Maintenance Dimming</t>
  </si>
  <si>
    <t>Lifetime with Control</t>
  </si>
  <si>
    <t>Annual Energy with Control + Maintenance Dimming</t>
  </si>
  <si>
    <t>Annual Energy with Control</t>
  </si>
  <si>
    <t>Annual Energy</t>
  </si>
  <si>
    <t>GWP Assessment L90 (kgCO2e)</t>
  </si>
  <si>
    <t>GWP Assessment L70 (kgCO2e)</t>
  </si>
  <si>
    <t>Total GWP</t>
  </si>
  <si>
    <t>Total GWP with Control</t>
  </si>
  <si>
    <t>ENVIRONMENTAL ASSESSMENT (during life of project)</t>
  </si>
  <si>
    <t>Total GWP with Control + Maintenance Dimming</t>
  </si>
  <si>
    <t>A (Calculated Luminaire)</t>
  </si>
  <si>
    <t>Total Cost with Control + Maintenance Dimming</t>
  </si>
  <si>
    <t>Total Cost with Control</t>
  </si>
  <si>
    <t>Total Cost</t>
  </si>
  <si>
    <t>COST ASSESSMENT (during life of project)</t>
  </si>
  <si>
    <t>Cost Assessment L90 ($)</t>
  </si>
  <si>
    <t>Cost Assessment L70 ($)</t>
  </si>
  <si>
    <t>Control Additional Cost Coefficient</t>
  </si>
  <si>
    <t>Luminaire</t>
  </si>
  <si>
    <t>Without Control</t>
  </si>
  <si>
    <t>With Control</t>
  </si>
  <si>
    <t>With Control + Maintenance Dimming</t>
  </si>
  <si>
    <t>Comparison of L70 to L90 Values (L70 / L90)</t>
  </si>
  <si>
    <t>Average inflation rate</t>
  </si>
  <si>
    <t>L90 LUMINAIRE COMPARISON</t>
  </si>
  <si>
    <t>Flux Lumens (lm)</t>
  </si>
  <si>
    <t>Note: Edit only Yellow Cells</t>
  </si>
  <si>
    <t>ENVIRONMENTAL IMPACT DIFFERENCE USING L90 INSTEAD OF L70</t>
  </si>
  <si>
    <t>COST DIFFERENCE USING L90 INSTEAD OF L70</t>
  </si>
  <si>
    <t>Supply + Install Cost ($)</t>
  </si>
  <si>
    <t>Loan Interest</t>
  </si>
  <si>
    <t xml:space="preserve">Electricity Grid Decarbonisation </t>
  </si>
  <si>
    <t>Fill if loan taken to finance extra control system costs</t>
  </si>
  <si>
    <t>Additional reduction in electricity grid carbon from current levels</t>
  </si>
  <si>
    <t>Multiplier of base cost for additional control</t>
  </si>
  <si>
    <t>Multiplier of base energy load accounting for control system efficiencies</t>
  </si>
  <si>
    <t>Maintenance factor used in calculations (will adjust quantities required for compliance)</t>
  </si>
  <si>
    <t>Control System Financing</t>
  </si>
  <si>
    <t>Additional Control Cost (per unit)</t>
  </si>
  <si>
    <t>Total Additional Control Cost</t>
  </si>
  <si>
    <t>Annual Loan Payment</t>
  </si>
  <si>
    <t>Total Loan Payments</t>
  </si>
  <si>
    <t>Total Interest Paid</t>
  </si>
  <si>
    <t>Electricity Grid Decarbonisation Timeframe (years)</t>
  </si>
  <si>
    <t>Loan term (years)</t>
  </si>
  <si>
    <t>Grid Decarbonization Schedule</t>
  </si>
  <si>
    <t>Year</t>
  </si>
  <si>
    <t>Grid Factor (kg/kWh)</t>
  </si>
  <si>
    <t>Annual Emissions (kgCO2e)</t>
  </si>
  <si>
    <t>With Control + Maint</t>
  </si>
  <si>
    <t>Maximum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</si>
</sst>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$]#,##0.00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</font>
    <font>
      <sz val="16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/>
    <xf numFmtId="0" fontId="6" fillId="0" borderId="1" xfId="0" applyFont="1" applyBorder="1" applyAlignment="1">
      <alignment wrapText="1"/>
    </xf>
    <xf numFmtId="4" fontId="6" fillId="6" borderId="1" xfId="0" applyNumberFormat="1" applyFont="1" applyFill="1" applyBorder="1" applyAlignment="1">
      <alignment wrapText="1"/>
    </xf>
    <xf numFmtId="164" fontId="6" fillId="6" borderId="1" xfId="0" applyNumberFormat="1" applyFont="1" applyFill="1" applyBorder="1" applyAlignment="1">
      <alignment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4" borderId="1" xfId="0" applyFont="1" applyFill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" fontId="6" fillId="2" borderId="1" xfId="0" applyNumberFormat="1" applyFont="1" applyFill="1" applyBorder="1" applyAlignment="1">
      <alignment wrapText="1"/>
    </xf>
    <xf numFmtId="4" fontId="6" fillId="0" borderId="0" xfId="0" applyNumberFormat="1" applyFont="1" applyAlignment="1">
      <alignment wrapText="1"/>
    </xf>
    <xf numFmtId="4" fontId="6" fillId="3" borderId="0" xfId="0" applyNumberFormat="1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4" fontId="6" fillId="7" borderId="1" xfId="0" applyNumberFormat="1" applyFont="1" applyFill="1" applyBorder="1" applyAlignment="1">
      <alignment wrapText="1"/>
    </xf>
    <xf numFmtId="4" fontId="6" fillId="8" borderId="1" xfId="0" applyNumberFormat="1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44" fontId="6" fillId="7" borderId="1" xfId="1" applyFont="1" applyFill="1" applyBorder="1" applyAlignment="1">
      <alignment wrapText="1"/>
    </xf>
    <xf numFmtId="44" fontId="6" fillId="6" borderId="1" xfId="1" applyFont="1" applyFill="1" applyBorder="1" applyAlignment="1">
      <alignment wrapText="1"/>
    </xf>
    <xf numFmtId="4" fontId="3" fillId="0" borderId="0" xfId="0" applyNumberFormat="1" applyFont="1"/>
    <xf numFmtId="0" fontId="7" fillId="3" borderId="0" xfId="0" applyFont="1" applyFill="1" applyAlignment="1">
      <alignment wrapText="1"/>
    </xf>
    <xf numFmtId="9" fontId="6" fillId="6" borderId="1" xfId="2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6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9" fontId="10" fillId="0" borderId="1" xfId="2" applyFont="1" applyBorder="1"/>
    <xf numFmtId="0" fontId="8" fillId="0" borderId="0" xfId="0" applyFont="1" applyAlignment="1">
      <alignment wrapText="1"/>
    </xf>
    <xf numFmtId="0" fontId="7" fillId="3" borderId="0" xfId="0" applyFont="1" applyFill="1" applyAlignment="1">
      <alignment horizontal="left" wrapText="1"/>
    </xf>
    <xf numFmtId="0" fontId="8" fillId="0" borderId="0" xfId="0" applyFont="1" applyAlignment="1">
      <alignment horizontal="center" wrapText="1"/>
    </xf>
    <xf numFmtId="0" fontId="11" fillId="0" borderId="2" xfId="0" applyFont="1" applyBorder="1" applyAlignment="1">
      <alignment horizontal="left"/>
    </xf>
    <xf numFmtId="0" fontId="1" fillId="0" borderId="0" xfId="0" applyFont="1"/>
    <xf numFmtId="0" fontId="12" fillId="0" borderId="0" xfId="0" applyFont="1"/>
    <xf numFmtId="2" fontId="1" fillId="0" borderId="0" xfId="0" applyNumberFormat="1" applyFont="1"/>
    <xf numFmtId="44" fontId="1" fillId="0" borderId="0" xfId="1" applyFont="1"/>
    <xf numFmtId="44" fontId="1" fillId="0" borderId="0" xfId="0" applyNumberFormat="1" applyFont="1"/>
    <xf numFmtId="2" fontId="3" fillId="0" borderId="0" xfId="0" applyNumberFormat="1" applyFont="1"/>
    <xf numFmtId="0" fontId="3" fillId="0" borderId="1" xfId="0" applyFont="1" applyBorder="1"/>
    <xf numFmtId="0" fontId="1" fillId="0" borderId="1" xfId="0" applyFont="1" applyBorder="1"/>
    <xf numFmtId="2" fontId="1" fillId="0" borderId="1" xfId="0" applyNumberFormat="1" applyFont="1" applyBorder="1"/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44" fontId="1" fillId="0" borderId="1" xfId="1" applyFont="1" applyBorder="1"/>
    <xf numFmtId="44" fontId="1" fillId="0" borderId="1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5A2A-C484-418C-8149-0DBA1E03424D}">
  <sheetPr>
    <outlinePr summaryBelow="0" summaryRight="0"/>
  </sheetPr>
  <dimension ref="A1:U62"/>
  <sheetViews>
    <sheetView tabSelected="1" topLeftCell="A23" zoomScale="120" zoomScaleNormal="120" workbookViewId="0">
      <selection activeCell="B18" sqref="B18"/>
    </sheetView>
  </sheetViews>
  <sheetFormatPr baseColWidth="10" defaultColWidth="12.6640625" defaultRowHeight="15.75" customHeight="1" x14ac:dyDescent="0.2"/>
  <cols>
    <col min="1" max="1" width="47.33203125" style="1" bestFit="1" customWidth="1"/>
    <col min="2" max="2" width="18" style="1" customWidth="1"/>
    <col min="3" max="3" width="14.5" style="1" customWidth="1"/>
    <col min="4" max="5" width="13.5" style="1" customWidth="1"/>
    <col min="6" max="6" width="14.83203125" style="1" customWidth="1"/>
    <col min="7" max="7" width="12.5" style="1" customWidth="1"/>
    <col min="8" max="8" width="14.5" style="1" customWidth="1"/>
    <col min="9" max="9" width="14.33203125" style="1" customWidth="1"/>
    <col min="10" max="10" width="26.83203125" style="1" customWidth="1"/>
    <col min="11" max="11" width="13.5" style="1" customWidth="1"/>
    <col min="12" max="12" width="14.33203125" style="1" customWidth="1"/>
    <col min="13" max="13" width="27.83203125" style="1" customWidth="1"/>
    <col min="14" max="14" width="18" style="1" customWidth="1"/>
    <col min="15" max="15" width="24.33203125" style="1" customWidth="1"/>
    <col min="16" max="16" width="11.5" style="1" customWidth="1"/>
    <col min="17" max="17" width="17.6640625" style="1" customWidth="1"/>
    <col min="18" max="18" width="10.5" style="1" customWidth="1"/>
    <col min="19" max="20" width="11.5" style="1" customWidth="1"/>
    <col min="21" max="21" width="14.83203125" style="1" customWidth="1"/>
    <col min="22" max="22" width="11.5" style="1" customWidth="1"/>
    <col min="23" max="23" width="13" style="1" customWidth="1"/>
    <col min="24" max="24" width="10.5" style="1" customWidth="1"/>
    <col min="25" max="26" width="12.83203125" style="1" customWidth="1"/>
    <col min="27" max="16384" width="12.6640625" style="1"/>
  </cols>
  <sheetData>
    <row r="1" spans="1:21" ht="25.5" customHeight="1" x14ac:dyDescent="0.3">
      <c r="A1" s="40" t="s">
        <v>50</v>
      </c>
      <c r="B1" s="40"/>
      <c r="C1" s="40"/>
      <c r="D1" s="40"/>
      <c r="E1" s="40"/>
      <c r="F1" s="40"/>
      <c r="G1" s="40"/>
      <c r="H1" s="40"/>
      <c r="I1" s="29"/>
      <c r="J1" s="29"/>
      <c r="K1" s="29"/>
      <c r="L1" s="29"/>
      <c r="M1" s="29"/>
      <c r="N1" s="29"/>
      <c r="O1" s="29"/>
      <c r="S1" s="29"/>
      <c r="T1" s="29"/>
      <c r="U1" s="29"/>
    </row>
    <row r="2" spans="1:21" ht="15.75" customHeight="1" x14ac:dyDescent="0.2">
      <c r="A2" s="2"/>
    </row>
    <row r="3" spans="1:21" ht="15.75" customHeight="1" x14ac:dyDescent="0.2">
      <c r="A3" s="30" t="s">
        <v>52</v>
      </c>
    </row>
    <row r="5" spans="1:21" ht="15.75" customHeight="1" x14ac:dyDescent="0.2">
      <c r="A5" s="3" t="s">
        <v>5</v>
      </c>
      <c r="M5" s="51" t="s">
        <v>71</v>
      </c>
      <c r="N5" s="52"/>
      <c r="O5" s="52"/>
      <c r="P5" s="52"/>
      <c r="Q5" s="53"/>
    </row>
    <row r="6" spans="1:21" ht="15.75" customHeight="1" x14ac:dyDescent="0.2">
      <c r="A6" s="4" t="s">
        <v>3</v>
      </c>
      <c r="B6" s="5">
        <v>0.39</v>
      </c>
      <c r="M6" s="49" t="s">
        <v>72</v>
      </c>
      <c r="N6" s="49" t="s">
        <v>73</v>
      </c>
      <c r="O6" s="49" t="s">
        <v>74</v>
      </c>
      <c r="P6" s="49" t="s">
        <v>46</v>
      </c>
      <c r="Q6" s="49" t="s">
        <v>75</v>
      </c>
    </row>
    <row r="7" spans="1:21" ht="15.75" customHeight="1" x14ac:dyDescent="0.2">
      <c r="A7" s="4" t="s">
        <v>2</v>
      </c>
      <c r="B7" s="6">
        <v>0.26</v>
      </c>
      <c r="M7" s="49">
        <v>1</v>
      </c>
      <c r="N7" s="49">
        <f>IF(M7&lt;=$B$17,IF(M7&lt;=$B$11,$B$6*(1-($B$10/$B$11)*(M7-1)),$B$6*(1-$B$10)),"")</f>
        <v>0.39</v>
      </c>
      <c r="O7" s="50">
        <f>IF(M7&lt;=$B$17,N7*$B$37,"")</f>
        <v>10811.666666666668</v>
      </c>
      <c r="P7" s="50">
        <f>IF(M7&lt;=$B$17,N7*$C$37,"")</f>
        <v>8108.7500000000009</v>
      </c>
      <c r="Q7" s="50">
        <f>IF(M7&lt;=$B$17,N7*$D$37,"")</f>
        <v>7703.3125</v>
      </c>
    </row>
    <row r="8" spans="1:21" ht="15.75" customHeight="1" x14ac:dyDescent="0.2">
      <c r="A8" s="4" t="s">
        <v>49</v>
      </c>
      <c r="B8" s="28">
        <v>0.03</v>
      </c>
      <c r="M8" s="49">
        <v>2</v>
      </c>
      <c r="N8" s="49">
        <f t="shared" ref="N8:N36" si="0">IF(M8&lt;=$B$17,IF(M8&lt;=$B$11,$B$6*(1-($B$10/$B$11)*(M8-1)),$B$6*(1-$B$10)),"")</f>
        <v>0.38219999999999998</v>
      </c>
      <c r="O8" s="50">
        <f t="shared" ref="O8:O36" si="1">IF(M8&lt;=$B$17,N8*$B$37,"")</f>
        <v>10595.433333333332</v>
      </c>
      <c r="P8" s="50">
        <f t="shared" ref="P8:P36" si="2">IF(M8&lt;=$B$17,N8*$C$37,"")</f>
        <v>7946.5749999999998</v>
      </c>
      <c r="Q8" s="50">
        <f t="shared" ref="Q8:Q36" si="3">IF(M8&lt;=$B$17,N8*$D$37,"")</f>
        <v>7549.2462499999992</v>
      </c>
    </row>
    <row r="9" spans="1:21" ht="15.75" customHeight="1" x14ac:dyDescent="0.2">
      <c r="A9" s="4" t="s">
        <v>56</v>
      </c>
      <c r="B9" s="28">
        <v>0.08</v>
      </c>
      <c r="C9" s="1" t="s">
        <v>58</v>
      </c>
      <c r="M9" s="49">
        <v>3</v>
      </c>
      <c r="N9" s="49">
        <f t="shared" si="0"/>
        <v>0.37440000000000001</v>
      </c>
      <c r="O9" s="50">
        <f t="shared" si="1"/>
        <v>10379.200000000001</v>
      </c>
      <c r="P9" s="50">
        <f t="shared" si="2"/>
        <v>7784.4000000000005</v>
      </c>
      <c r="Q9" s="50">
        <f t="shared" si="3"/>
        <v>7395.1799999999994</v>
      </c>
    </row>
    <row r="10" spans="1:21" ht="15.75" customHeight="1" x14ac:dyDescent="0.2">
      <c r="A10" s="4" t="s">
        <v>57</v>
      </c>
      <c r="B10" s="28">
        <v>0.3</v>
      </c>
      <c r="C10" s="1" t="s">
        <v>59</v>
      </c>
      <c r="M10" s="49">
        <v>4</v>
      </c>
      <c r="N10" s="49">
        <f t="shared" si="0"/>
        <v>0.36659999999999998</v>
      </c>
      <c r="O10" s="50">
        <f t="shared" si="1"/>
        <v>10162.966666666667</v>
      </c>
      <c r="P10" s="50">
        <f t="shared" si="2"/>
        <v>7622.2250000000004</v>
      </c>
      <c r="Q10" s="50">
        <f t="shared" si="3"/>
        <v>7241.1137499999995</v>
      </c>
    </row>
    <row r="11" spans="1:21" ht="15.75" customHeight="1" x14ac:dyDescent="0.2">
      <c r="A11" s="4" t="s">
        <v>69</v>
      </c>
      <c r="B11" s="5">
        <v>15</v>
      </c>
      <c r="C11" s="1" t="s">
        <v>76</v>
      </c>
      <c r="M11" s="49">
        <v>5</v>
      </c>
      <c r="N11" s="49">
        <f t="shared" si="0"/>
        <v>0.35880000000000001</v>
      </c>
      <c r="O11" s="50">
        <f t="shared" si="1"/>
        <v>9946.7333333333336</v>
      </c>
      <c r="P11" s="50">
        <f t="shared" si="2"/>
        <v>7460.05</v>
      </c>
      <c r="Q11" s="50">
        <f t="shared" si="3"/>
        <v>7087.0474999999997</v>
      </c>
    </row>
    <row r="12" spans="1:21" ht="15.75" customHeight="1" x14ac:dyDescent="0.2">
      <c r="A12" s="7"/>
      <c r="B12" s="8"/>
      <c r="M12" s="49">
        <v>6</v>
      </c>
      <c r="N12" s="49">
        <f t="shared" si="0"/>
        <v>0.35100000000000003</v>
      </c>
      <c r="O12" s="50">
        <f t="shared" si="1"/>
        <v>9730.5000000000018</v>
      </c>
      <c r="P12" s="50">
        <f t="shared" si="2"/>
        <v>7297.8750000000009</v>
      </c>
      <c r="Q12" s="50">
        <f t="shared" si="3"/>
        <v>6932.9812499999998</v>
      </c>
    </row>
    <row r="13" spans="1:21" ht="15.75" customHeight="1" x14ac:dyDescent="0.2">
      <c r="A13" s="3" t="s">
        <v>10</v>
      </c>
      <c r="J13" s="51" t="s">
        <v>63</v>
      </c>
      <c r="K13" s="53"/>
      <c r="M13" s="49">
        <v>7</v>
      </c>
      <c r="N13" s="49">
        <f t="shared" si="0"/>
        <v>0.34320000000000001</v>
      </c>
      <c r="O13" s="50">
        <f t="shared" si="1"/>
        <v>9514.2666666666664</v>
      </c>
      <c r="P13" s="50">
        <f t="shared" si="2"/>
        <v>7135.7000000000007</v>
      </c>
      <c r="Q13" s="50">
        <f t="shared" si="3"/>
        <v>6778.915</v>
      </c>
    </row>
    <row r="14" spans="1:21" ht="15.75" customHeight="1" x14ac:dyDescent="0.2">
      <c r="A14" s="4" t="s">
        <v>11</v>
      </c>
      <c r="B14" s="28">
        <v>0.75</v>
      </c>
      <c r="C14" s="1" t="s">
        <v>61</v>
      </c>
      <c r="J14" s="49" t="s">
        <v>64</v>
      </c>
      <c r="K14" s="54">
        <f>H24*(B15-1)</f>
        <v>38.999999999999979</v>
      </c>
      <c r="M14" s="49">
        <v>8</v>
      </c>
      <c r="N14" s="49">
        <f t="shared" si="0"/>
        <v>0.33540000000000003</v>
      </c>
      <c r="O14" s="50">
        <f t="shared" si="1"/>
        <v>9298.0333333333347</v>
      </c>
      <c r="P14" s="50">
        <f t="shared" si="2"/>
        <v>6973.5250000000015</v>
      </c>
      <c r="Q14" s="50">
        <f t="shared" si="3"/>
        <v>6624.8487500000001</v>
      </c>
    </row>
    <row r="15" spans="1:21" ht="15.75" customHeight="1" x14ac:dyDescent="0.2">
      <c r="A15" s="4" t="s">
        <v>43</v>
      </c>
      <c r="B15" s="28">
        <v>1.1499999999999999</v>
      </c>
      <c r="C15" s="1" t="s">
        <v>60</v>
      </c>
      <c r="J15" s="49" t="s">
        <v>65</v>
      </c>
      <c r="K15" s="54">
        <f>(D24/B20)*K14</f>
        <v>21666.666666666653</v>
      </c>
      <c r="M15" s="49">
        <v>9</v>
      </c>
      <c r="N15" s="49">
        <f t="shared" si="0"/>
        <v>0.3276</v>
      </c>
      <c r="O15" s="50">
        <f t="shared" si="1"/>
        <v>9081.8000000000011</v>
      </c>
      <c r="P15" s="50">
        <f t="shared" si="2"/>
        <v>6811.35</v>
      </c>
      <c r="Q15" s="50">
        <f t="shared" si="3"/>
        <v>6470.7824999999993</v>
      </c>
    </row>
    <row r="16" spans="1:21" ht="15.75" customHeight="1" x14ac:dyDescent="0.2">
      <c r="A16" s="4" t="s">
        <v>13</v>
      </c>
      <c r="B16" s="5">
        <v>4990</v>
      </c>
      <c r="J16" s="49" t="s">
        <v>66</v>
      </c>
      <c r="K16" s="54">
        <f>PMT(B9,B18,-K15)</f>
        <v>3228.9722551032987</v>
      </c>
      <c r="M16" s="49">
        <v>10</v>
      </c>
      <c r="N16" s="49">
        <f t="shared" si="0"/>
        <v>0.31980000000000003</v>
      </c>
      <c r="O16" s="50">
        <f t="shared" si="1"/>
        <v>8865.5666666666675</v>
      </c>
      <c r="P16" s="50">
        <f t="shared" si="2"/>
        <v>6649.1750000000011</v>
      </c>
      <c r="Q16" s="50">
        <f t="shared" si="3"/>
        <v>6316.7162500000004</v>
      </c>
    </row>
    <row r="17" spans="1:21" ht="15.75" customHeight="1" x14ac:dyDescent="0.2">
      <c r="A17" s="4" t="s">
        <v>12</v>
      </c>
      <c r="B17" s="5">
        <v>15</v>
      </c>
      <c r="C17" s="1" t="s">
        <v>76</v>
      </c>
      <c r="J17" s="49" t="s">
        <v>67</v>
      </c>
      <c r="K17" s="54">
        <f>K16*B18</f>
        <v>32289.722551032988</v>
      </c>
      <c r="M17" s="49">
        <v>11</v>
      </c>
      <c r="N17" s="49">
        <f t="shared" si="0"/>
        <v>0.31200000000000006</v>
      </c>
      <c r="O17" s="50">
        <f t="shared" si="1"/>
        <v>8649.3333333333358</v>
      </c>
      <c r="P17" s="50">
        <f t="shared" si="2"/>
        <v>6487.0000000000018</v>
      </c>
      <c r="Q17" s="50">
        <f t="shared" si="3"/>
        <v>6162.6500000000005</v>
      </c>
    </row>
    <row r="18" spans="1:21" ht="15.75" customHeight="1" x14ac:dyDescent="0.2">
      <c r="A18" s="4" t="s">
        <v>70</v>
      </c>
      <c r="B18" s="5">
        <v>10</v>
      </c>
      <c r="C18" s="1" t="s">
        <v>58</v>
      </c>
      <c r="J18" s="49" t="s">
        <v>68</v>
      </c>
      <c r="K18" s="55">
        <f>K17-K15</f>
        <v>10623.055884366335</v>
      </c>
      <c r="M18" s="49">
        <v>12</v>
      </c>
      <c r="N18" s="49">
        <f t="shared" si="0"/>
        <v>0.30420000000000003</v>
      </c>
      <c r="O18" s="50">
        <f t="shared" si="1"/>
        <v>8433.1</v>
      </c>
      <c r="P18" s="50">
        <f t="shared" si="2"/>
        <v>6324.8250000000007</v>
      </c>
      <c r="Q18" s="50">
        <f t="shared" si="3"/>
        <v>6008.5837499999998</v>
      </c>
    </row>
    <row r="19" spans="1:21" ht="15.75" customHeight="1" x14ac:dyDescent="0.2">
      <c r="A19" s="7"/>
      <c r="B19" s="8"/>
      <c r="M19" s="49">
        <v>13</v>
      </c>
      <c r="N19" s="49">
        <f t="shared" si="0"/>
        <v>0.2964</v>
      </c>
      <c r="O19" s="50">
        <f t="shared" si="1"/>
        <v>8216.8666666666668</v>
      </c>
      <c r="P19" s="50">
        <f t="shared" si="2"/>
        <v>6162.6500000000005</v>
      </c>
      <c r="Q19" s="50">
        <f t="shared" si="3"/>
        <v>5854.5174999999999</v>
      </c>
    </row>
    <row r="20" spans="1:21" ht="15.75" customHeight="1" x14ac:dyDescent="0.2">
      <c r="A20" s="9" t="s">
        <v>15</v>
      </c>
      <c r="B20" s="5">
        <v>0.9</v>
      </c>
      <c r="C20" s="1" t="s">
        <v>62</v>
      </c>
      <c r="M20" s="49">
        <v>14</v>
      </c>
      <c r="N20" s="49">
        <f t="shared" si="0"/>
        <v>0.28860000000000002</v>
      </c>
      <c r="O20" s="50">
        <f t="shared" si="1"/>
        <v>8000.6333333333341</v>
      </c>
      <c r="P20" s="50">
        <f t="shared" si="2"/>
        <v>6000.4750000000013</v>
      </c>
      <c r="Q20" s="50">
        <f t="shared" si="3"/>
        <v>5700.4512500000001</v>
      </c>
    </row>
    <row r="21" spans="1:21" ht="15.75" customHeight="1" x14ac:dyDescent="0.2">
      <c r="A21" s="7"/>
      <c r="B21" s="8"/>
      <c r="M21" s="49">
        <v>15</v>
      </c>
      <c r="N21" s="49">
        <f t="shared" si="0"/>
        <v>0.28079999999999999</v>
      </c>
      <c r="O21" s="50">
        <f t="shared" si="1"/>
        <v>7784.4</v>
      </c>
      <c r="P21" s="50">
        <f t="shared" si="2"/>
        <v>5838.3</v>
      </c>
      <c r="Q21" s="50">
        <f t="shared" si="3"/>
        <v>5546.3849999999993</v>
      </c>
    </row>
    <row r="22" spans="1:21" ht="15.75" customHeight="1" x14ac:dyDescent="0.2">
      <c r="A22" s="3" t="s">
        <v>4</v>
      </c>
      <c r="M22" s="49">
        <v>16</v>
      </c>
      <c r="N22" s="49" t="str">
        <f t="shared" si="0"/>
        <v/>
      </c>
      <c r="O22" s="50" t="str">
        <f t="shared" si="1"/>
        <v/>
      </c>
      <c r="P22" s="50" t="str">
        <f t="shared" si="2"/>
        <v/>
      </c>
      <c r="Q22" s="50" t="str">
        <f t="shared" si="3"/>
        <v/>
      </c>
    </row>
    <row r="23" spans="1:21" ht="42" customHeight="1" x14ac:dyDescent="0.2">
      <c r="A23" s="11" t="s">
        <v>0</v>
      </c>
      <c r="B23" s="11" t="s">
        <v>8</v>
      </c>
      <c r="C23" s="11" t="s">
        <v>51</v>
      </c>
      <c r="D23" s="11" t="s">
        <v>14</v>
      </c>
      <c r="E23" s="12" t="s">
        <v>1</v>
      </c>
      <c r="F23" s="11" t="s">
        <v>6</v>
      </c>
      <c r="G23" s="11" t="s">
        <v>7</v>
      </c>
      <c r="H23" s="11" t="s">
        <v>55</v>
      </c>
      <c r="M23" s="49">
        <v>17</v>
      </c>
      <c r="N23" s="49" t="str">
        <f t="shared" si="0"/>
        <v/>
      </c>
      <c r="O23" s="50" t="str">
        <f t="shared" si="1"/>
        <v/>
      </c>
      <c r="P23" s="50" t="str">
        <f t="shared" si="2"/>
        <v/>
      </c>
      <c r="Q23" s="50" t="str">
        <f t="shared" si="3"/>
        <v/>
      </c>
      <c r="U23" s="14"/>
    </row>
    <row r="24" spans="1:21" ht="15.75" customHeight="1" x14ac:dyDescent="0.2">
      <c r="A24" s="4" t="s">
        <v>36</v>
      </c>
      <c r="B24" s="5">
        <v>10</v>
      </c>
      <c r="C24" s="5">
        <v>1000</v>
      </c>
      <c r="D24" s="5">
        <v>500</v>
      </c>
      <c r="E24" s="5">
        <v>50000</v>
      </c>
      <c r="F24" s="5">
        <v>10</v>
      </c>
      <c r="G24" s="5">
        <v>0.5</v>
      </c>
      <c r="H24" s="25">
        <v>260</v>
      </c>
      <c r="L24" s="16"/>
      <c r="M24" s="49">
        <v>18</v>
      </c>
      <c r="N24" s="49" t="str">
        <f t="shared" si="0"/>
        <v/>
      </c>
      <c r="O24" s="50" t="str">
        <f t="shared" si="1"/>
        <v/>
      </c>
      <c r="P24" s="50" t="str">
        <f t="shared" si="2"/>
        <v/>
      </c>
      <c r="Q24" s="50" t="str">
        <f t="shared" si="3"/>
        <v/>
      </c>
    </row>
    <row r="25" spans="1:21" ht="15.75" customHeight="1" x14ac:dyDescent="0.2">
      <c r="A25" s="7"/>
      <c r="B25" s="7"/>
      <c r="C25" s="7"/>
      <c r="D25" s="7"/>
      <c r="E25" s="7"/>
      <c r="F25" s="7"/>
      <c r="G25" s="7"/>
      <c r="H25" s="7"/>
      <c r="L25" s="16"/>
      <c r="M25" s="48">
        <v>19</v>
      </c>
      <c r="N25" s="49" t="str">
        <f t="shared" si="0"/>
        <v/>
      </c>
      <c r="O25" s="50" t="str">
        <f t="shared" si="1"/>
        <v/>
      </c>
      <c r="P25" s="50" t="str">
        <f t="shared" si="2"/>
        <v/>
      </c>
      <c r="Q25" s="50" t="str">
        <f t="shared" si="3"/>
        <v/>
      </c>
    </row>
    <row r="26" spans="1:21" ht="15.75" customHeight="1" x14ac:dyDescent="0.2">
      <c r="A26" s="7"/>
      <c r="B26" s="16"/>
      <c r="C26" s="16"/>
      <c r="D26" s="16"/>
      <c r="E26" s="16"/>
      <c r="F26" s="16"/>
      <c r="G26" s="16"/>
      <c r="H26" s="8"/>
      <c r="L26" s="16"/>
      <c r="M26" s="48">
        <v>20</v>
      </c>
      <c r="N26" s="49" t="str">
        <f t="shared" si="0"/>
        <v/>
      </c>
      <c r="O26" s="50" t="str">
        <f t="shared" si="1"/>
        <v/>
      </c>
      <c r="P26" s="50" t="str">
        <f t="shared" si="2"/>
        <v/>
      </c>
      <c r="Q26" s="50" t="str">
        <f t="shared" si="3"/>
        <v/>
      </c>
    </row>
    <row r="27" spans="1:21" ht="15.75" customHeight="1" x14ac:dyDescent="0.2">
      <c r="A27" s="27" t="s">
        <v>18</v>
      </c>
      <c r="B27" s="17"/>
      <c r="C27" s="17"/>
      <c r="D27" s="17"/>
      <c r="E27" s="17"/>
      <c r="F27" s="17"/>
      <c r="G27" s="17"/>
      <c r="H27" s="18"/>
      <c r="L27" s="16"/>
      <c r="M27" s="48">
        <v>21</v>
      </c>
      <c r="N27" s="49" t="str">
        <f t="shared" si="0"/>
        <v/>
      </c>
      <c r="O27" s="50" t="str">
        <f t="shared" si="1"/>
        <v/>
      </c>
      <c r="P27" s="50" t="str">
        <f t="shared" si="2"/>
        <v/>
      </c>
      <c r="Q27" s="50" t="str">
        <f t="shared" si="3"/>
        <v/>
      </c>
    </row>
    <row r="28" spans="1:21" ht="15.75" customHeight="1" x14ac:dyDescent="0.2">
      <c r="A28" s="19"/>
      <c r="B28" s="16"/>
      <c r="C28" s="16"/>
      <c r="L28" s="16"/>
      <c r="M28" s="48">
        <v>22</v>
      </c>
      <c r="N28" s="49" t="str">
        <f t="shared" si="0"/>
        <v/>
      </c>
      <c r="O28" s="50" t="str">
        <f t="shared" si="1"/>
        <v/>
      </c>
      <c r="P28" s="50" t="str">
        <f t="shared" si="2"/>
        <v/>
      </c>
      <c r="Q28" s="50" t="str">
        <f t="shared" si="3"/>
        <v/>
      </c>
    </row>
    <row r="29" spans="1:21" ht="15.75" customHeight="1" x14ac:dyDescent="0.2">
      <c r="A29" s="20" t="s">
        <v>20</v>
      </c>
      <c r="B29" s="16"/>
      <c r="C29" s="16"/>
      <c r="L29" s="16"/>
      <c r="M29" s="48">
        <v>23</v>
      </c>
      <c r="N29" s="49" t="str">
        <f t="shared" si="0"/>
        <v/>
      </c>
      <c r="O29" s="50" t="str">
        <f t="shared" si="1"/>
        <v/>
      </c>
      <c r="P29" s="50" t="str">
        <f t="shared" si="2"/>
        <v/>
      </c>
      <c r="Q29" s="50" t="str">
        <f t="shared" si="3"/>
        <v/>
      </c>
    </row>
    <row r="30" spans="1:21" ht="60" x14ac:dyDescent="0.2">
      <c r="A30" s="11" t="s">
        <v>0</v>
      </c>
      <c r="B30" s="11" t="s">
        <v>17</v>
      </c>
      <c r="C30" s="11" t="s">
        <v>26</v>
      </c>
      <c r="D30" s="11" t="s">
        <v>25</v>
      </c>
      <c r="L30" s="16"/>
      <c r="M30" s="48">
        <v>24</v>
      </c>
      <c r="N30" s="49" t="str">
        <f t="shared" si="0"/>
        <v/>
      </c>
      <c r="O30" s="50" t="str">
        <f t="shared" si="1"/>
        <v/>
      </c>
      <c r="P30" s="50" t="str">
        <f t="shared" si="2"/>
        <v/>
      </c>
      <c r="Q30" s="50" t="str">
        <f t="shared" si="3"/>
        <v/>
      </c>
    </row>
    <row r="31" spans="1:21" ht="15.75" customHeight="1" x14ac:dyDescent="0.2">
      <c r="A31" s="4" t="s">
        <v>36</v>
      </c>
      <c r="B31" s="21">
        <f>E24/B16</f>
        <v>10.020040080160321</v>
      </c>
      <c r="C31" s="22">
        <f>B31/B14</f>
        <v>13.360053440213761</v>
      </c>
      <c r="D31" s="15">
        <f>C31/(1-(1-B20)/2)</f>
        <v>14.063214147593433</v>
      </c>
      <c r="L31" s="16"/>
      <c r="M31" s="48">
        <v>25</v>
      </c>
      <c r="N31" s="49" t="str">
        <f t="shared" si="0"/>
        <v/>
      </c>
      <c r="O31" s="50" t="str">
        <f t="shared" si="1"/>
        <v/>
      </c>
      <c r="P31" s="50" t="str">
        <f t="shared" si="2"/>
        <v/>
      </c>
      <c r="Q31" s="50" t="str">
        <f t="shared" si="3"/>
        <v/>
      </c>
    </row>
    <row r="32" spans="1:21" ht="15.75" customHeight="1" x14ac:dyDescent="0.2">
      <c r="A32" s="7"/>
      <c r="B32" s="16"/>
      <c r="C32" s="16"/>
      <c r="D32" s="16"/>
      <c r="E32" s="16"/>
      <c r="F32" s="16"/>
      <c r="G32" s="16"/>
      <c r="H32" s="8"/>
      <c r="L32" s="16"/>
      <c r="M32" s="48">
        <v>26</v>
      </c>
      <c r="N32" s="49" t="str">
        <f t="shared" si="0"/>
        <v/>
      </c>
      <c r="O32" s="50" t="str">
        <f t="shared" si="1"/>
        <v/>
      </c>
      <c r="P32" s="50" t="str">
        <f t="shared" si="2"/>
        <v/>
      </c>
      <c r="Q32" s="50" t="str">
        <f t="shared" si="3"/>
        <v/>
      </c>
    </row>
    <row r="33" spans="1:17" ht="15.75" customHeight="1" x14ac:dyDescent="0.2">
      <c r="A33" s="27" t="s">
        <v>22</v>
      </c>
      <c r="B33" s="17"/>
      <c r="C33" s="17"/>
      <c r="D33" s="17"/>
      <c r="E33" s="17"/>
      <c r="F33" s="17"/>
      <c r="G33" s="17"/>
      <c r="H33" s="18"/>
      <c r="L33" s="16"/>
      <c r="M33" s="48">
        <v>27</v>
      </c>
      <c r="N33" s="49" t="str">
        <f t="shared" si="0"/>
        <v/>
      </c>
      <c r="O33" s="50" t="str">
        <f t="shared" si="1"/>
        <v/>
      </c>
      <c r="P33" s="50" t="str">
        <f t="shared" si="2"/>
        <v/>
      </c>
      <c r="Q33" s="50" t="str">
        <f t="shared" si="3"/>
        <v/>
      </c>
    </row>
    <row r="34" spans="1:17" ht="15.75" customHeight="1" x14ac:dyDescent="0.2">
      <c r="A34" s="7"/>
      <c r="B34" s="16"/>
      <c r="C34" s="16"/>
      <c r="D34" s="16"/>
      <c r="L34" s="16"/>
      <c r="M34" s="48">
        <v>28</v>
      </c>
      <c r="N34" s="49" t="str">
        <f t="shared" si="0"/>
        <v/>
      </c>
      <c r="O34" s="50" t="str">
        <f t="shared" si="1"/>
        <v/>
      </c>
      <c r="P34" s="50" t="str">
        <f t="shared" si="2"/>
        <v/>
      </c>
      <c r="Q34" s="50" t="str">
        <f t="shared" si="3"/>
        <v/>
      </c>
    </row>
    <row r="35" spans="1:17" ht="15.75" customHeight="1" x14ac:dyDescent="0.2">
      <c r="A35" s="20" t="s">
        <v>23</v>
      </c>
      <c r="B35" s="16"/>
      <c r="C35" s="16"/>
      <c r="D35" s="16"/>
      <c r="L35" s="16"/>
      <c r="M35" s="48">
        <v>29</v>
      </c>
      <c r="N35" s="49" t="str">
        <f t="shared" si="0"/>
        <v/>
      </c>
      <c r="O35" s="50" t="str">
        <f t="shared" si="1"/>
        <v/>
      </c>
      <c r="P35" s="50" t="str">
        <f t="shared" si="2"/>
        <v/>
      </c>
      <c r="Q35" s="50" t="str">
        <f t="shared" si="3"/>
        <v/>
      </c>
    </row>
    <row r="36" spans="1:17" ht="60" x14ac:dyDescent="0.2">
      <c r="A36" s="11" t="s">
        <v>0</v>
      </c>
      <c r="B36" s="11" t="s">
        <v>29</v>
      </c>
      <c r="C36" s="11" t="s">
        <v>28</v>
      </c>
      <c r="D36" s="11" t="s">
        <v>27</v>
      </c>
      <c r="L36" s="16"/>
      <c r="M36" s="48">
        <v>30</v>
      </c>
      <c r="N36" s="49" t="str">
        <f t="shared" si="0"/>
        <v/>
      </c>
      <c r="O36" s="50" t="str">
        <f t="shared" si="1"/>
        <v/>
      </c>
      <c r="P36" s="50" t="str">
        <f t="shared" si="2"/>
        <v/>
      </c>
      <c r="Q36" s="50" t="str">
        <f t="shared" si="3"/>
        <v/>
      </c>
    </row>
    <row r="37" spans="1:17" ht="15.75" customHeight="1" x14ac:dyDescent="0.2">
      <c r="A37" s="4" t="s">
        <v>36</v>
      </c>
      <c r="B37" s="21">
        <f>B24*D24*B16/1000/B20</f>
        <v>27722.222222222223</v>
      </c>
      <c r="C37" s="22">
        <f>B37*B14</f>
        <v>20791.666666666668</v>
      </c>
      <c r="D37" s="15">
        <f>C37*(1-(1-B20)/2)</f>
        <v>19752.083333333332</v>
      </c>
      <c r="L37" s="16"/>
      <c r="N37" s="1">
        <f>SUMIF(M7:M36,"&lt;="&amp;B17,N7:N36)/B17</f>
        <v>0.33539999999999998</v>
      </c>
      <c r="O37" s="47">
        <f>SUM(O7:O36)</f>
        <v>139470.5</v>
      </c>
      <c r="P37" s="47">
        <f>SUM(P7:P36)</f>
        <v>104602.87500000001</v>
      </c>
      <c r="Q37" s="47">
        <f>SUM(Q7:Q36)</f>
        <v>99372.731249999997</v>
      </c>
    </row>
    <row r="38" spans="1:17" ht="15.75" customHeight="1" x14ac:dyDescent="0.2">
      <c r="A38" s="7"/>
      <c r="B38" s="16"/>
      <c r="C38" s="16"/>
      <c r="D38" s="16"/>
      <c r="E38" s="16"/>
      <c r="F38" s="16"/>
      <c r="G38" s="16"/>
      <c r="H38" s="8"/>
      <c r="L38" s="16"/>
    </row>
    <row r="39" spans="1:17" ht="15.75" customHeight="1" x14ac:dyDescent="0.2">
      <c r="A39" s="39" t="s">
        <v>34</v>
      </c>
      <c r="B39" s="39"/>
      <c r="C39" s="17"/>
      <c r="D39" s="17"/>
      <c r="E39" s="17"/>
      <c r="F39" s="17"/>
      <c r="G39" s="17"/>
      <c r="H39" s="18"/>
      <c r="L39" s="16"/>
    </row>
    <row r="40" spans="1:17" ht="15.75" customHeight="1" x14ac:dyDescent="0.2">
      <c r="A40" s="7"/>
      <c r="B40" s="16"/>
      <c r="C40" s="16"/>
      <c r="D40" s="16"/>
      <c r="L40" s="16"/>
    </row>
    <row r="41" spans="1:17" ht="15.75" customHeight="1" x14ac:dyDescent="0.2">
      <c r="A41" s="20" t="s">
        <v>30</v>
      </c>
      <c r="B41" s="16"/>
      <c r="C41" s="16"/>
      <c r="D41" s="16"/>
      <c r="L41" s="16"/>
    </row>
    <row r="42" spans="1:17" ht="60" x14ac:dyDescent="0.2">
      <c r="A42" s="11" t="s">
        <v>0</v>
      </c>
      <c r="B42" s="11" t="s">
        <v>32</v>
      </c>
      <c r="C42" s="11" t="s">
        <v>33</v>
      </c>
      <c r="D42" s="11" t="s">
        <v>35</v>
      </c>
      <c r="L42" s="16"/>
    </row>
    <row r="43" spans="1:17" ht="15.75" customHeight="1" x14ac:dyDescent="0.2">
      <c r="A43" s="4" t="s">
        <v>36</v>
      </c>
      <c r="B43" s="21">
        <f>((D24+((ROUNDDOWN(B17/B31,0))*D24))*B20)*(F24+G24)+O37</f>
        <v>148920.5</v>
      </c>
      <c r="C43" s="22">
        <f>((D24+((ROUNDDOWN(B17/C31,0))*D24))*B20)*(F24+G24)+P37</f>
        <v>114052.87500000001</v>
      </c>
      <c r="D43" s="15">
        <f>((D24+((ROUNDDOWN(B17/D31,0))*D24))*B20)*(F24+G24)+Q37</f>
        <v>108822.73125</v>
      </c>
      <c r="L43" s="16"/>
    </row>
    <row r="44" spans="1:17" ht="15.75" customHeight="1" x14ac:dyDescent="0.2">
      <c r="A44" s="7"/>
      <c r="B44" s="16"/>
      <c r="C44" s="16"/>
      <c r="D44" s="16"/>
      <c r="F44" s="16"/>
      <c r="G44" s="16"/>
      <c r="H44" s="8"/>
      <c r="L44" s="16"/>
    </row>
    <row r="45" spans="1:17" ht="15.75" customHeight="1" x14ac:dyDescent="0.2">
      <c r="A45" s="39" t="s">
        <v>40</v>
      </c>
      <c r="B45" s="39"/>
      <c r="C45" s="17"/>
      <c r="D45" s="17"/>
      <c r="E45" s="17"/>
      <c r="F45" s="17"/>
      <c r="G45" s="17"/>
      <c r="H45" s="18"/>
      <c r="L45" s="16"/>
    </row>
    <row r="46" spans="1:17" ht="15.75" customHeight="1" x14ac:dyDescent="0.2">
      <c r="A46" s="7"/>
      <c r="B46" s="16"/>
      <c r="C46" s="16"/>
      <c r="D46" s="16"/>
      <c r="L46" s="16"/>
    </row>
    <row r="47" spans="1:17" ht="15.75" customHeight="1" x14ac:dyDescent="0.2">
      <c r="A47" s="20" t="s">
        <v>41</v>
      </c>
      <c r="B47" s="16"/>
      <c r="C47" s="16"/>
      <c r="D47" s="16"/>
      <c r="L47" s="16"/>
    </row>
    <row r="48" spans="1:17" ht="60" x14ac:dyDescent="0.2">
      <c r="A48" s="11" t="s">
        <v>0</v>
      </c>
      <c r="B48" s="11" t="s">
        <v>39</v>
      </c>
      <c r="C48" s="11" t="s">
        <v>38</v>
      </c>
      <c r="D48" s="11" t="s">
        <v>37</v>
      </c>
      <c r="L48" s="16"/>
    </row>
    <row r="49" spans="1:12" ht="15.75" customHeight="1" x14ac:dyDescent="0.2">
      <c r="A49" s="4" t="s">
        <v>36</v>
      </c>
      <c r="B49" s="24">
        <f>((B37*B7)*(1-(1+B8)^B17)/(-B8))+((H24*D24)/B20)+((H24*D24)*(ROUNDDOWN(B17/B31,0))/B20*(1+B8)^B31)</f>
        <v>472737.56132160831</v>
      </c>
      <c r="C49" s="24">
        <f>((C37*B7)*(1-(1+B8)^B17)/(-B8))+((H24*D24)/B20)+((H24*D24)*(ROUNDDOWN(B17/C31,0))/B20*(1+B8)^C31)+(PMT(B9,B18,-((H24*D24/B20)*(B15-1)))*B18-((H24*D24/B20)*(B15-1)))</f>
        <v>470001.27755119978</v>
      </c>
      <c r="D49" s="24">
        <f>((D37*B7)*(1-(1+B8)^B17)/(-B8))+((H24*D24)/B20)+((H24*D24)*(ROUNDDOWN(B17/D31,0))/B20*(1+B8)^D31)+(PMT(B9,B18,-((H24*D24/B20)*(B15-1)))*B18-((H24*D24/B20)*(B15-1)))</f>
        <v>469476.80877578602</v>
      </c>
      <c r="L49" s="16"/>
    </row>
    <row r="50" spans="1:12" ht="15.75" customHeight="1" x14ac:dyDescent="0.2">
      <c r="A50" s="7"/>
      <c r="B50" s="16"/>
      <c r="C50" s="16"/>
      <c r="L50" s="16"/>
    </row>
    <row r="51" spans="1:12" ht="15.75" customHeight="1" x14ac:dyDescent="0.2">
      <c r="A51" s="7"/>
      <c r="B51" s="16"/>
      <c r="C51" s="16"/>
      <c r="L51" s="16"/>
    </row>
    <row r="52" spans="1:12" ht="15.75" customHeight="1" x14ac:dyDescent="0.2">
      <c r="A52" s="7"/>
      <c r="B52" s="16"/>
      <c r="C52" s="16"/>
      <c r="L52" s="16"/>
    </row>
    <row r="53" spans="1:12" ht="15.75" customHeight="1" x14ac:dyDescent="0.2">
      <c r="A53" s="7"/>
      <c r="B53" s="16"/>
      <c r="C53" s="16"/>
      <c r="L53" s="16"/>
    </row>
    <row r="54" spans="1:12" ht="15.75" customHeight="1" x14ac:dyDescent="0.2">
      <c r="A54" s="7"/>
      <c r="B54" s="16"/>
      <c r="C54" s="16"/>
      <c r="L54" s="16"/>
    </row>
    <row r="55" spans="1:12" ht="15.75" customHeight="1" x14ac:dyDescent="0.2">
      <c r="A55" s="7"/>
      <c r="B55" s="16"/>
      <c r="C55" s="16"/>
      <c r="D55" s="26"/>
      <c r="L55" s="16"/>
    </row>
    <row r="56" spans="1:12" ht="15.75" customHeight="1" x14ac:dyDescent="0.2">
      <c r="A56" s="7"/>
      <c r="B56" s="16"/>
      <c r="C56" s="16"/>
      <c r="L56" s="16"/>
    </row>
    <row r="57" spans="1:12" ht="15.75" customHeight="1" x14ac:dyDescent="0.2">
      <c r="A57" s="7"/>
      <c r="B57" s="16"/>
      <c r="C57" s="16"/>
      <c r="L57" s="16"/>
    </row>
    <row r="58" spans="1:12" ht="15.75" customHeight="1" x14ac:dyDescent="0.2">
      <c r="A58" s="7"/>
      <c r="B58" s="16"/>
      <c r="C58" s="16"/>
      <c r="L58" s="16"/>
    </row>
    <row r="59" spans="1:12" ht="15.75" customHeight="1" x14ac:dyDescent="0.2">
      <c r="A59" s="7"/>
      <c r="B59" s="16"/>
      <c r="C59" s="16"/>
      <c r="L59" s="16"/>
    </row>
    <row r="60" spans="1:12" ht="15.75" customHeight="1" x14ac:dyDescent="0.2">
      <c r="A60" s="7"/>
      <c r="B60" s="16"/>
      <c r="C60" s="16"/>
      <c r="L60" s="16"/>
    </row>
    <row r="61" spans="1:12" ht="15.75" customHeight="1" x14ac:dyDescent="0.2">
      <c r="A61" s="7"/>
      <c r="B61" s="16"/>
      <c r="C61" s="16"/>
      <c r="L61" s="16"/>
    </row>
    <row r="62" spans="1:12" ht="15.75" customHeight="1" x14ac:dyDescent="0.2">
      <c r="A62" s="7"/>
      <c r="B62" s="16"/>
      <c r="C62" s="16"/>
      <c r="D62" s="16"/>
      <c r="E62" s="16"/>
      <c r="F62" s="16"/>
      <c r="G62" s="16"/>
      <c r="H62" s="8"/>
      <c r="L62" s="16"/>
    </row>
  </sheetData>
  <mergeCells count="5">
    <mergeCell ref="A39:B39"/>
    <mergeCell ref="A45:B45"/>
    <mergeCell ref="A1:H1"/>
    <mergeCell ref="M5:Q5"/>
    <mergeCell ref="J13:K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E011-4E34-4991-B105-02D450F41D14}">
  <sheetPr>
    <outlinePr summaryBelow="0" summaryRight="0"/>
  </sheetPr>
  <dimension ref="A1:Q62"/>
  <sheetViews>
    <sheetView topLeftCell="A23" zoomScale="130" zoomScaleNormal="130" workbookViewId="0">
      <selection activeCell="B18" sqref="B18"/>
    </sheetView>
  </sheetViews>
  <sheetFormatPr baseColWidth="10" defaultColWidth="12.6640625" defaultRowHeight="15.75" customHeight="1" x14ac:dyDescent="0.2"/>
  <cols>
    <col min="1" max="1" width="48.83203125" style="1" bestFit="1" customWidth="1"/>
    <col min="2" max="2" width="18" style="1" customWidth="1"/>
    <col min="3" max="3" width="14.5" style="1" customWidth="1"/>
    <col min="4" max="5" width="13.5" style="1" customWidth="1"/>
    <col min="6" max="6" width="14.83203125" style="1" customWidth="1"/>
    <col min="7" max="7" width="12.5" style="1" customWidth="1"/>
    <col min="8" max="8" width="14.5" style="1" customWidth="1"/>
    <col min="9" max="9" width="14.33203125" style="1" customWidth="1"/>
    <col min="10" max="10" width="31.83203125" style="1" customWidth="1"/>
    <col min="11" max="11" width="13.5" style="1" customWidth="1"/>
    <col min="12" max="12" width="14.33203125" style="1" customWidth="1"/>
    <col min="13" max="13" width="27.83203125" style="1" customWidth="1"/>
    <col min="14" max="14" width="18" style="1" customWidth="1"/>
    <col min="15" max="15" width="24.33203125" style="1" customWidth="1"/>
    <col min="16" max="16" width="11.5" style="1" customWidth="1"/>
    <col min="17" max="17" width="17.6640625" style="1" customWidth="1"/>
    <col min="18" max="18" width="10.5" style="1" customWidth="1"/>
    <col min="19" max="20" width="12.83203125" style="1" customWidth="1"/>
    <col min="21" max="16384" width="12.6640625" style="1"/>
  </cols>
  <sheetData>
    <row r="1" spans="1:17" ht="25.5" customHeight="1" x14ac:dyDescent="0.3">
      <c r="A1" s="40" t="s">
        <v>50</v>
      </c>
      <c r="B1" s="40"/>
      <c r="C1" s="40"/>
      <c r="D1" s="40"/>
      <c r="E1" s="40"/>
      <c r="F1" s="40"/>
      <c r="G1" s="40"/>
      <c r="H1" s="40"/>
      <c r="I1" s="29"/>
      <c r="J1" s="29"/>
      <c r="K1" s="29"/>
      <c r="L1" s="29"/>
      <c r="M1" s="29"/>
      <c r="N1" s="29"/>
      <c r="O1" s="29"/>
    </row>
    <row r="2" spans="1:17" ht="15.75" customHeight="1" x14ac:dyDescent="0.2">
      <c r="A2" s="2"/>
    </row>
    <row r="3" spans="1:17" ht="15.75" customHeight="1" x14ac:dyDescent="0.2">
      <c r="A3" s="30" t="s">
        <v>52</v>
      </c>
    </row>
    <row r="5" spans="1:17" ht="15.75" customHeight="1" x14ac:dyDescent="0.2">
      <c r="A5" s="3" t="s">
        <v>5</v>
      </c>
      <c r="M5" s="43" t="s">
        <v>71</v>
      </c>
    </row>
    <row r="6" spans="1:17" ht="15.75" customHeight="1" x14ac:dyDescent="0.2">
      <c r="A6" s="4" t="s">
        <v>3</v>
      </c>
      <c r="B6" s="5">
        <v>0.39</v>
      </c>
      <c r="M6" s="42" t="s">
        <v>72</v>
      </c>
      <c r="N6" s="42" t="s">
        <v>73</v>
      </c>
      <c r="O6" s="42" t="s">
        <v>74</v>
      </c>
      <c r="P6" s="42" t="s">
        <v>46</v>
      </c>
      <c r="Q6" s="42" t="s">
        <v>75</v>
      </c>
    </row>
    <row r="7" spans="1:17" ht="15.75" customHeight="1" x14ac:dyDescent="0.2">
      <c r="A7" s="4" t="s">
        <v>2</v>
      </c>
      <c r="B7" s="6">
        <v>0.26</v>
      </c>
      <c r="M7" s="42">
        <v>1</v>
      </c>
      <c r="N7" s="42">
        <f>IF(M7&lt;=$B$17,IF(M7&lt;=$B$11,$B$6*(1-($B$10/$B$11)*(M7-1)),$B$6*(1-$B$10)),"")</f>
        <v>0.39</v>
      </c>
      <c r="O7" s="44">
        <f>IF(M7&lt;=$B$17,N7*$B$37,"")</f>
        <v>13900.714285714286</v>
      </c>
      <c r="P7" s="44">
        <f>IF(M7&lt;=$B$17,N7*$C$37,"")</f>
        <v>10425.535714285716</v>
      </c>
      <c r="Q7" s="44">
        <f>IF(M7&lt;=$B$17,N7*$D$37,"")</f>
        <v>8861.7053571428569</v>
      </c>
    </row>
    <row r="8" spans="1:17" ht="15.75" customHeight="1" x14ac:dyDescent="0.2">
      <c r="A8" s="4" t="s">
        <v>49</v>
      </c>
      <c r="B8" s="28">
        <v>0.03</v>
      </c>
      <c r="M8" s="42">
        <v>2</v>
      </c>
      <c r="N8" s="42">
        <f t="shared" ref="N8:N36" si="0">IF(M8&lt;=$B$17,IF(M8&lt;=$B$11,$B$6*(1-($B$10/$B$11)*(M8-1)),$B$6*(1-$B$10)),"")</f>
        <v>0.38219999999999998</v>
      </c>
      <c r="O8" s="44">
        <f t="shared" ref="O8:O36" si="1">IF(M8&lt;=$B$17,N8*$B$37,"")</f>
        <v>13622.7</v>
      </c>
      <c r="P8" s="44">
        <f t="shared" ref="P8:P36" si="2">IF(M8&lt;=$B$17,N8*$C$37,"")</f>
        <v>10217.025</v>
      </c>
      <c r="Q8" s="44">
        <f t="shared" ref="Q8:Q36" si="3">IF(M8&lt;=$B$17,N8*$D$37,"")</f>
        <v>8684.4712499999987</v>
      </c>
    </row>
    <row r="9" spans="1:17" ht="15.75" customHeight="1" x14ac:dyDescent="0.2">
      <c r="A9" s="4" t="s">
        <v>56</v>
      </c>
      <c r="B9" s="28">
        <v>0.08</v>
      </c>
      <c r="C9" s="1" t="s">
        <v>58</v>
      </c>
      <c r="M9" s="42">
        <v>3</v>
      </c>
      <c r="N9" s="42">
        <f t="shared" si="0"/>
        <v>0.37440000000000001</v>
      </c>
      <c r="O9" s="44">
        <f t="shared" si="1"/>
        <v>13344.685714285715</v>
      </c>
      <c r="P9" s="44">
        <f t="shared" si="2"/>
        <v>10008.514285714287</v>
      </c>
      <c r="Q9" s="44">
        <f t="shared" si="3"/>
        <v>8507.2371428571423</v>
      </c>
    </row>
    <row r="10" spans="1:17" ht="15.75" customHeight="1" x14ac:dyDescent="0.2">
      <c r="A10" s="4" t="s">
        <v>57</v>
      </c>
      <c r="B10" s="28">
        <v>0.3</v>
      </c>
      <c r="C10" s="1" t="s">
        <v>59</v>
      </c>
      <c r="M10" s="42">
        <v>4</v>
      </c>
      <c r="N10" s="42">
        <f t="shared" si="0"/>
        <v>0.36659999999999998</v>
      </c>
      <c r="O10" s="44">
        <f t="shared" si="1"/>
        <v>13066.671428571428</v>
      </c>
      <c r="P10" s="44">
        <f t="shared" si="2"/>
        <v>9800.0035714285714</v>
      </c>
      <c r="Q10" s="44">
        <f t="shared" si="3"/>
        <v>8330.0030357142841</v>
      </c>
    </row>
    <row r="11" spans="1:17" ht="15.75" customHeight="1" x14ac:dyDescent="0.2">
      <c r="A11" s="4" t="s">
        <v>69</v>
      </c>
      <c r="B11" s="5">
        <v>15</v>
      </c>
      <c r="C11" s="1" t="s">
        <v>76</v>
      </c>
      <c r="M11" s="42">
        <v>5</v>
      </c>
      <c r="N11" s="42">
        <f t="shared" si="0"/>
        <v>0.35880000000000001</v>
      </c>
      <c r="O11" s="44">
        <f t="shared" si="1"/>
        <v>12788.657142857144</v>
      </c>
      <c r="P11" s="44">
        <f t="shared" si="2"/>
        <v>9591.4928571428572</v>
      </c>
      <c r="Q11" s="44">
        <f t="shared" si="3"/>
        <v>8152.7689285714287</v>
      </c>
    </row>
    <row r="12" spans="1:17" ht="15.75" customHeight="1" x14ac:dyDescent="0.2">
      <c r="A12" s="7"/>
      <c r="B12" s="8"/>
      <c r="M12" s="42">
        <v>6</v>
      </c>
      <c r="N12" s="42">
        <f t="shared" si="0"/>
        <v>0.35100000000000003</v>
      </c>
      <c r="O12" s="44">
        <f t="shared" si="1"/>
        <v>12510.642857142859</v>
      </c>
      <c r="P12" s="44">
        <f t="shared" si="2"/>
        <v>9382.9821428571449</v>
      </c>
      <c r="Q12" s="44">
        <f t="shared" si="3"/>
        <v>7975.5348214285723</v>
      </c>
    </row>
    <row r="13" spans="1:17" ht="15.75" customHeight="1" x14ac:dyDescent="0.2">
      <c r="A13" s="3" t="s">
        <v>10</v>
      </c>
      <c r="J13" s="43" t="s">
        <v>63</v>
      </c>
      <c r="M13" s="42">
        <v>7</v>
      </c>
      <c r="N13" s="42">
        <f t="shared" si="0"/>
        <v>0.34320000000000001</v>
      </c>
      <c r="O13" s="44">
        <f t="shared" si="1"/>
        <v>12232.628571428573</v>
      </c>
      <c r="P13" s="44">
        <f t="shared" si="2"/>
        <v>9174.471428571429</v>
      </c>
      <c r="Q13" s="44">
        <f t="shared" si="3"/>
        <v>7798.3007142857141</v>
      </c>
    </row>
    <row r="14" spans="1:17" ht="15.75" customHeight="1" x14ac:dyDescent="0.2">
      <c r="A14" s="4" t="s">
        <v>11</v>
      </c>
      <c r="B14" s="28">
        <v>0.75</v>
      </c>
      <c r="C14" s="1" t="s">
        <v>61</v>
      </c>
      <c r="J14" s="42" t="s">
        <v>64</v>
      </c>
      <c r="K14" s="45">
        <f>H24*(B15-1)</f>
        <v>38.999999999999979</v>
      </c>
      <c r="M14" s="42">
        <v>8</v>
      </c>
      <c r="N14" s="42">
        <f t="shared" si="0"/>
        <v>0.33540000000000003</v>
      </c>
      <c r="O14" s="44">
        <f t="shared" si="1"/>
        <v>11954.614285714288</v>
      </c>
      <c r="P14" s="44">
        <f t="shared" si="2"/>
        <v>8965.9607142857149</v>
      </c>
      <c r="Q14" s="44">
        <f t="shared" si="3"/>
        <v>7621.0666071428577</v>
      </c>
    </row>
    <row r="15" spans="1:17" ht="15.75" customHeight="1" x14ac:dyDescent="0.2">
      <c r="A15" s="4" t="s">
        <v>43</v>
      </c>
      <c r="B15" s="28">
        <v>1.1499999999999999</v>
      </c>
      <c r="C15" s="1" t="s">
        <v>60</v>
      </c>
      <c r="J15" s="42" t="s">
        <v>65</v>
      </c>
      <c r="K15" s="45">
        <f>(D24/B20)*K14</f>
        <v>27857.142857142844</v>
      </c>
      <c r="M15" s="42">
        <v>9</v>
      </c>
      <c r="N15" s="42">
        <f t="shared" si="0"/>
        <v>0.3276</v>
      </c>
      <c r="O15" s="44">
        <f t="shared" si="1"/>
        <v>11676.6</v>
      </c>
      <c r="P15" s="44">
        <f t="shared" si="2"/>
        <v>8757.4500000000007</v>
      </c>
      <c r="Q15" s="44">
        <f t="shared" si="3"/>
        <v>7443.8324999999995</v>
      </c>
    </row>
    <row r="16" spans="1:17" ht="15.75" customHeight="1" x14ac:dyDescent="0.2">
      <c r="A16" s="4" t="s">
        <v>13</v>
      </c>
      <c r="B16" s="5">
        <v>4990</v>
      </c>
      <c r="J16" s="42" t="s">
        <v>66</v>
      </c>
      <c r="K16" s="45">
        <f>PMT(B9,B18,-K15)</f>
        <v>4151.535756561384</v>
      </c>
      <c r="M16" s="42">
        <v>10</v>
      </c>
      <c r="N16" s="42">
        <f t="shared" si="0"/>
        <v>0.31980000000000003</v>
      </c>
      <c r="O16" s="44">
        <f t="shared" si="1"/>
        <v>11398.585714285717</v>
      </c>
      <c r="P16" s="44">
        <f t="shared" si="2"/>
        <v>8548.9392857142866</v>
      </c>
      <c r="Q16" s="44">
        <f t="shared" si="3"/>
        <v>7266.5983928571432</v>
      </c>
    </row>
    <row r="17" spans="1:17" ht="15.75" customHeight="1" x14ac:dyDescent="0.2">
      <c r="A17" s="4" t="s">
        <v>12</v>
      </c>
      <c r="B17" s="5">
        <v>15</v>
      </c>
      <c r="C17" s="1" t="s">
        <v>76</v>
      </c>
      <c r="J17" s="42" t="s">
        <v>67</v>
      </c>
      <c r="K17" s="45">
        <f>K16*B18</f>
        <v>41515.357565613842</v>
      </c>
      <c r="M17" s="42">
        <v>11</v>
      </c>
      <c r="N17" s="42">
        <f t="shared" si="0"/>
        <v>0.31200000000000006</v>
      </c>
      <c r="O17" s="44">
        <f t="shared" si="1"/>
        <v>11120.571428571431</v>
      </c>
      <c r="P17" s="44">
        <f t="shared" si="2"/>
        <v>8340.4285714285743</v>
      </c>
      <c r="Q17" s="44">
        <f t="shared" si="3"/>
        <v>7089.3642857142868</v>
      </c>
    </row>
    <row r="18" spans="1:17" ht="15.75" customHeight="1" x14ac:dyDescent="0.2">
      <c r="A18" s="4" t="s">
        <v>70</v>
      </c>
      <c r="B18" s="5">
        <v>10</v>
      </c>
      <c r="C18" s="1" t="s">
        <v>58</v>
      </c>
      <c r="J18" s="42" t="s">
        <v>68</v>
      </c>
      <c r="K18" s="46">
        <f>K17-K15</f>
        <v>13658.214708470998</v>
      </c>
      <c r="M18" s="42">
        <v>12</v>
      </c>
      <c r="N18" s="42">
        <f t="shared" si="0"/>
        <v>0.30420000000000003</v>
      </c>
      <c r="O18" s="44">
        <f t="shared" si="1"/>
        <v>10842.557142857144</v>
      </c>
      <c r="P18" s="44">
        <f t="shared" si="2"/>
        <v>8131.9178571428583</v>
      </c>
      <c r="Q18" s="44">
        <f t="shared" si="3"/>
        <v>6912.1301785714286</v>
      </c>
    </row>
    <row r="19" spans="1:17" ht="15.75" customHeight="1" x14ac:dyDescent="0.2">
      <c r="A19" s="7"/>
      <c r="B19" s="8"/>
      <c r="M19" s="42">
        <v>13</v>
      </c>
      <c r="N19" s="42">
        <f t="shared" si="0"/>
        <v>0.2964</v>
      </c>
      <c r="O19" s="44">
        <f t="shared" si="1"/>
        <v>10564.542857142858</v>
      </c>
      <c r="P19" s="44">
        <f t="shared" si="2"/>
        <v>7923.4071428571433</v>
      </c>
      <c r="Q19" s="44">
        <f t="shared" si="3"/>
        <v>6734.8960714285713</v>
      </c>
    </row>
    <row r="20" spans="1:17" ht="15.75" customHeight="1" x14ac:dyDescent="0.2">
      <c r="A20" s="10" t="s">
        <v>16</v>
      </c>
      <c r="B20" s="5">
        <v>0.7</v>
      </c>
      <c r="M20" s="42">
        <v>14</v>
      </c>
      <c r="N20" s="42">
        <f t="shared" si="0"/>
        <v>0.28860000000000002</v>
      </c>
      <c r="O20" s="44">
        <f t="shared" si="1"/>
        <v>10286.528571428573</v>
      </c>
      <c r="P20" s="44">
        <f t="shared" si="2"/>
        <v>7714.8964285714301</v>
      </c>
      <c r="Q20" s="44">
        <f t="shared" si="3"/>
        <v>6557.6619642857149</v>
      </c>
    </row>
    <row r="21" spans="1:17" ht="15.75" customHeight="1" x14ac:dyDescent="0.2">
      <c r="A21" s="7"/>
      <c r="B21" s="8"/>
      <c r="M21" s="42">
        <v>15</v>
      </c>
      <c r="N21" s="42">
        <f t="shared" si="0"/>
        <v>0.28079999999999999</v>
      </c>
      <c r="O21" s="44">
        <f t="shared" si="1"/>
        <v>10008.514285714286</v>
      </c>
      <c r="P21" s="44">
        <f t="shared" si="2"/>
        <v>7506.3857142857141</v>
      </c>
      <c r="Q21" s="44">
        <f t="shared" si="3"/>
        <v>6380.4278571428567</v>
      </c>
    </row>
    <row r="22" spans="1:17" ht="15.75" customHeight="1" x14ac:dyDescent="0.2">
      <c r="A22" s="3" t="s">
        <v>4</v>
      </c>
      <c r="M22" s="42">
        <v>16</v>
      </c>
      <c r="N22" s="42" t="str">
        <f t="shared" si="0"/>
        <v/>
      </c>
      <c r="O22" s="44" t="str">
        <f t="shared" si="1"/>
        <v/>
      </c>
      <c r="P22" s="44" t="str">
        <f t="shared" si="2"/>
        <v/>
      </c>
      <c r="Q22" s="44" t="str">
        <f t="shared" si="3"/>
        <v/>
      </c>
    </row>
    <row r="23" spans="1:17" ht="42" customHeight="1" x14ac:dyDescent="0.2">
      <c r="A23" s="11" t="s">
        <v>0</v>
      </c>
      <c r="B23" s="11" t="s">
        <v>8</v>
      </c>
      <c r="C23" s="11" t="s">
        <v>51</v>
      </c>
      <c r="D23" s="11" t="s">
        <v>14</v>
      </c>
      <c r="E23" s="13" t="s">
        <v>9</v>
      </c>
      <c r="F23" s="11" t="s">
        <v>6</v>
      </c>
      <c r="G23" s="11" t="s">
        <v>7</v>
      </c>
      <c r="H23" s="11" t="s">
        <v>55</v>
      </c>
      <c r="M23" s="42">
        <v>17</v>
      </c>
      <c r="N23" s="42" t="str">
        <f t="shared" si="0"/>
        <v/>
      </c>
      <c r="O23" s="44" t="str">
        <f t="shared" si="1"/>
        <v/>
      </c>
      <c r="P23" s="44" t="str">
        <f t="shared" si="2"/>
        <v/>
      </c>
      <c r="Q23" s="44" t="str">
        <f t="shared" si="3"/>
        <v/>
      </c>
    </row>
    <row r="24" spans="1:17" ht="15.75" customHeight="1" x14ac:dyDescent="0.2">
      <c r="A24" s="4" t="s">
        <v>36</v>
      </c>
      <c r="B24" s="5">
        <v>10</v>
      </c>
      <c r="C24" s="5">
        <v>1000</v>
      </c>
      <c r="D24" s="5">
        <v>500</v>
      </c>
      <c r="E24" s="5">
        <v>100000</v>
      </c>
      <c r="F24" s="5">
        <v>10</v>
      </c>
      <c r="G24" s="5">
        <v>0.5</v>
      </c>
      <c r="H24" s="25">
        <v>260</v>
      </c>
      <c r="L24" s="16"/>
      <c r="M24" s="42">
        <v>18</v>
      </c>
      <c r="N24" s="42" t="str">
        <f t="shared" si="0"/>
        <v/>
      </c>
      <c r="O24" s="44" t="str">
        <f t="shared" si="1"/>
        <v/>
      </c>
      <c r="P24" s="44" t="str">
        <f t="shared" si="2"/>
        <v/>
      </c>
      <c r="Q24" s="44" t="str">
        <f t="shared" si="3"/>
        <v/>
      </c>
    </row>
    <row r="25" spans="1:17" ht="15.75" customHeight="1" x14ac:dyDescent="0.2">
      <c r="A25" s="7"/>
      <c r="B25" s="7"/>
      <c r="C25" s="7"/>
      <c r="D25" s="7"/>
      <c r="E25" s="7"/>
      <c r="F25" s="7"/>
      <c r="G25" s="7"/>
      <c r="H25" s="7"/>
      <c r="L25" s="16"/>
      <c r="M25" s="1">
        <v>19</v>
      </c>
      <c r="N25" s="42" t="str">
        <f t="shared" si="0"/>
        <v/>
      </c>
      <c r="O25" s="44" t="str">
        <f t="shared" si="1"/>
        <v/>
      </c>
      <c r="P25" s="44" t="str">
        <f t="shared" si="2"/>
        <v/>
      </c>
      <c r="Q25" s="44" t="str">
        <f t="shared" si="3"/>
        <v/>
      </c>
    </row>
    <row r="26" spans="1:17" ht="15.75" customHeight="1" x14ac:dyDescent="0.2">
      <c r="A26" s="7"/>
      <c r="B26" s="16"/>
      <c r="C26" s="16"/>
      <c r="D26" s="16"/>
      <c r="E26" s="16"/>
      <c r="F26" s="16"/>
      <c r="G26" s="16"/>
      <c r="H26" s="8"/>
      <c r="L26" s="16"/>
      <c r="M26" s="1">
        <v>20</v>
      </c>
      <c r="N26" s="42" t="str">
        <f t="shared" si="0"/>
        <v/>
      </c>
      <c r="O26" s="44" t="str">
        <f t="shared" si="1"/>
        <v/>
      </c>
      <c r="P26" s="44" t="str">
        <f t="shared" si="2"/>
        <v/>
      </c>
      <c r="Q26" s="44" t="str">
        <f t="shared" si="3"/>
        <v/>
      </c>
    </row>
    <row r="27" spans="1:17" ht="15.75" customHeight="1" x14ac:dyDescent="0.2">
      <c r="A27" s="27" t="s">
        <v>18</v>
      </c>
      <c r="B27" s="17"/>
      <c r="C27" s="17"/>
      <c r="D27" s="17"/>
      <c r="E27" s="17"/>
      <c r="F27" s="17"/>
      <c r="G27" s="17"/>
      <c r="H27" s="18"/>
      <c r="L27" s="16"/>
      <c r="M27" s="1">
        <v>21</v>
      </c>
      <c r="N27" s="42" t="str">
        <f t="shared" si="0"/>
        <v/>
      </c>
      <c r="O27" s="44" t="str">
        <f t="shared" si="1"/>
        <v/>
      </c>
      <c r="P27" s="44" t="str">
        <f t="shared" si="2"/>
        <v/>
      </c>
      <c r="Q27" s="44" t="str">
        <f t="shared" si="3"/>
        <v/>
      </c>
    </row>
    <row r="28" spans="1:17" ht="15.75" customHeight="1" x14ac:dyDescent="0.2">
      <c r="A28" s="7"/>
      <c r="B28" s="16"/>
      <c r="C28" s="16"/>
      <c r="D28" s="16"/>
      <c r="E28" s="16"/>
      <c r="F28" s="16"/>
      <c r="G28" s="16"/>
      <c r="H28" s="8"/>
      <c r="L28" s="16"/>
      <c r="M28" s="1">
        <v>22</v>
      </c>
      <c r="N28" s="42" t="str">
        <f t="shared" si="0"/>
        <v/>
      </c>
      <c r="O28" s="44" t="str">
        <f t="shared" si="1"/>
        <v/>
      </c>
      <c r="P28" s="44" t="str">
        <f t="shared" si="2"/>
        <v/>
      </c>
      <c r="Q28" s="44" t="str">
        <f t="shared" si="3"/>
        <v/>
      </c>
    </row>
    <row r="29" spans="1:17" ht="15.75" customHeight="1" x14ac:dyDescent="0.2">
      <c r="A29" s="23" t="s">
        <v>21</v>
      </c>
      <c r="B29" s="16"/>
      <c r="C29" s="16"/>
      <c r="L29" s="16"/>
      <c r="M29" s="1">
        <v>23</v>
      </c>
      <c r="N29" s="42" t="str">
        <f t="shared" si="0"/>
        <v/>
      </c>
      <c r="O29" s="44" t="str">
        <f t="shared" si="1"/>
        <v/>
      </c>
      <c r="P29" s="44" t="str">
        <f t="shared" si="2"/>
        <v/>
      </c>
      <c r="Q29" s="44" t="str">
        <f t="shared" si="3"/>
        <v/>
      </c>
    </row>
    <row r="30" spans="1:17" ht="60" x14ac:dyDescent="0.2">
      <c r="A30" s="11" t="s">
        <v>0</v>
      </c>
      <c r="B30" s="11" t="s">
        <v>17</v>
      </c>
      <c r="C30" s="11" t="s">
        <v>26</v>
      </c>
      <c r="D30" s="11" t="s">
        <v>25</v>
      </c>
      <c r="L30" s="16"/>
      <c r="M30" s="1">
        <v>24</v>
      </c>
      <c r="N30" s="42" t="str">
        <f t="shared" si="0"/>
        <v/>
      </c>
      <c r="O30" s="44" t="str">
        <f t="shared" si="1"/>
        <v/>
      </c>
      <c r="P30" s="44" t="str">
        <f t="shared" si="2"/>
        <v/>
      </c>
      <c r="Q30" s="44" t="str">
        <f t="shared" si="3"/>
        <v/>
      </c>
    </row>
    <row r="31" spans="1:17" ht="15.75" customHeight="1" x14ac:dyDescent="0.2">
      <c r="A31" s="4" t="s">
        <v>36</v>
      </c>
      <c r="B31" s="21">
        <f>E24/B16</f>
        <v>20.040080160320642</v>
      </c>
      <c r="C31" s="22">
        <f>B31/B20</f>
        <v>28.628685943315205</v>
      </c>
      <c r="D31" s="15">
        <f>C31/(1-(1-B20)/2)</f>
        <v>33.680806992135537</v>
      </c>
      <c r="L31" s="16"/>
      <c r="M31" s="1">
        <v>25</v>
      </c>
      <c r="N31" s="42" t="str">
        <f t="shared" si="0"/>
        <v/>
      </c>
      <c r="O31" s="44" t="str">
        <f t="shared" si="1"/>
        <v/>
      </c>
      <c r="P31" s="44" t="str">
        <f t="shared" si="2"/>
        <v/>
      </c>
      <c r="Q31" s="44" t="str">
        <f t="shared" si="3"/>
        <v/>
      </c>
    </row>
    <row r="32" spans="1:17" ht="15.75" customHeight="1" x14ac:dyDescent="0.2">
      <c r="A32" s="7"/>
      <c r="B32" s="16"/>
      <c r="C32" s="16"/>
      <c r="D32" s="16"/>
      <c r="L32" s="16"/>
      <c r="M32" s="1">
        <v>26</v>
      </c>
      <c r="N32" s="42" t="str">
        <f t="shared" si="0"/>
        <v/>
      </c>
      <c r="O32" s="44" t="str">
        <f t="shared" si="1"/>
        <v/>
      </c>
      <c r="P32" s="44" t="str">
        <f t="shared" si="2"/>
        <v/>
      </c>
      <c r="Q32" s="44" t="str">
        <f t="shared" si="3"/>
        <v/>
      </c>
    </row>
    <row r="33" spans="1:17" ht="15.75" customHeight="1" x14ac:dyDescent="0.2">
      <c r="A33" s="27" t="s">
        <v>22</v>
      </c>
      <c r="B33" s="17"/>
      <c r="C33" s="17"/>
      <c r="D33" s="17"/>
      <c r="E33" s="17"/>
      <c r="F33" s="17"/>
      <c r="G33" s="17"/>
      <c r="H33" s="18"/>
      <c r="L33" s="16"/>
      <c r="M33" s="1">
        <v>27</v>
      </c>
      <c r="N33" s="42" t="str">
        <f t="shared" si="0"/>
        <v/>
      </c>
      <c r="O33" s="44" t="str">
        <f t="shared" si="1"/>
        <v/>
      </c>
      <c r="P33" s="44" t="str">
        <f t="shared" si="2"/>
        <v/>
      </c>
      <c r="Q33" s="44" t="str">
        <f t="shared" si="3"/>
        <v/>
      </c>
    </row>
    <row r="34" spans="1:17" ht="15.75" customHeight="1" x14ac:dyDescent="0.2">
      <c r="A34" s="7"/>
      <c r="B34" s="16"/>
      <c r="C34" s="16"/>
      <c r="D34" s="16"/>
      <c r="E34" s="16"/>
      <c r="F34" s="16"/>
      <c r="G34" s="16"/>
      <c r="H34" s="8"/>
      <c r="L34" s="16"/>
      <c r="M34" s="1">
        <v>28</v>
      </c>
      <c r="N34" s="42" t="str">
        <f t="shared" si="0"/>
        <v/>
      </c>
      <c r="O34" s="44" t="str">
        <f t="shared" si="1"/>
        <v/>
      </c>
      <c r="P34" s="44" t="str">
        <f t="shared" si="2"/>
        <v/>
      </c>
      <c r="Q34" s="44" t="str">
        <f t="shared" si="3"/>
        <v/>
      </c>
    </row>
    <row r="35" spans="1:17" ht="15.75" customHeight="1" x14ac:dyDescent="0.2">
      <c r="A35" s="23" t="s">
        <v>24</v>
      </c>
      <c r="B35" s="16"/>
      <c r="C35" s="16"/>
      <c r="D35" s="16"/>
      <c r="L35" s="16"/>
      <c r="M35" s="1">
        <v>29</v>
      </c>
      <c r="N35" s="42" t="str">
        <f t="shared" si="0"/>
        <v/>
      </c>
      <c r="O35" s="44" t="str">
        <f t="shared" si="1"/>
        <v/>
      </c>
      <c r="P35" s="44" t="str">
        <f t="shared" si="2"/>
        <v/>
      </c>
      <c r="Q35" s="44" t="str">
        <f t="shared" si="3"/>
        <v/>
      </c>
    </row>
    <row r="36" spans="1:17" ht="60" x14ac:dyDescent="0.2">
      <c r="A36" s="11" t="s">
        <v>0</v>
      </c>
      <c r="B36" s="11" t="s">
        <v>29</v>
      </c>
      <c r="C36" s="11" t="s">
        <v>28</v>
      </c>
      <c r="D36" s="11" t="s">
        <v>27</v>
      </c>
      <c r="L36" s="16"/>
      <c r="M36" s="1">
        <v>30</v>
      </c>
      <c r="N36" s="42" t="str">
        <f t="shared" si="0"/>
        <v/>
      </c>
      <c r="O36" s="44" t="str">
        <f t="shared" si="1"/>
        <v/>
      </c>
      <c r="P36" s="44" t="str">
        <f t="shared" si="2"/>
        <v/>
      </c>
      <c r="Q36" s="44" t="str">
        <f t="shared" si="3"/>
        <v/>
      </c>
    </row>
    <row r="37" spans="1:17" ht="15.75" customHeight="1" x14ac:dyDescent="0.2">
      <c r="A37" s="4" t="s">
        <v>36</v>
      </c>
      <c r="B37" s="21">
        <f>B24*D24*B16/1000/B20</f>
        <v>35642.857142857145</v>
      </c>
      <c r="C37" s="22">
        <f>B37*B14</f>
        <v>26732.142857142859</v>
      </c>
      <c r="D37" s="15">
        <f>C37*(1-(1-B20)/2)</f>
        <v>22722.321428571428</v>
      </c>
      <c r="L37" s="16"/>
      <c r="N37" s="1">
        <f>SUMIF(M7:M36,"&lt;="&amp;B17,N7:N36)/B17</f>
        <v>0.33539999999999998</v>
      </c>
      <c r="O37" s="47">
        <f>SUM(O7:O36)</f>
        <v>179319.21428571432</v>
      </c>
      <c r="P37" s="47">
        <f>SUM(P7:P36)</f>
        <v>134489.41071428574</v>
      </c>
      <c r="Q37" s="47">
        <f>SUM(Q7:Q36)</f>
        <v>114315.99910714287</v>
      </c>
    </row>
    <row r="38" spans="1:17" ht="15.75" customHeight="1" x14ac:dyDescent="0.2">
      <c r="A38" s="7"/>
      <c r="B38" s="16"/>
      <c r="C38" s="16"/>
      <c r="D38" s="16"/>
      <c r="L38" s="16"/>
    </row>
    <row r="39" spans="1:17" ht="15.75" customHeight="1" x14ac:dyDescent="0.2">
      <c r="A39" s="39" t="s">
        <v>34</v>
      </c>
      <c r="B39" s="39"/>
      <c r="C39" s="17"/>
      <c r="D39" s="17"/>
      <c r="E39" s="17"/>
      <c r="F39" s="17"/>
      <c r="G39" s="17"/>
      <c r="H39" s="18"/>
      <c r="L39" s="16"/>
    </row>
    <row r="40" spans="1:17" ht="15.75" customHeight="1" x14ac:dyDescent="0.2">
      <c r="A40" s="7"/>
      <c r="B40" s="16"/>
      <c r="C40" s="16"/>
      <c r="D40" s="16"/>
      <c r="E40" s="16"/>
      <c r="F40" s="16"/>
      <c r="G40" s="16"/>
      <c r="H40" s="8"/>
      <c r="L40" s="16"/>
    </row>
    <row r="41" spans="1:17" ht="15.75" customHeight="1" x14ac:dyDescent="0.2">
      <c r="A41" s="23" t="s">
        <v>31</v>
      </c>
      <c r="B41" s="16"/>
      <c r="C41" s="16"/>
      <c r="D41" s="16"/>
      <c r="L41" s="16"/>
    </row>
    <row r="42" spans="1:17" ht="60" x14ac:dyDescent="0.2">
      <c r="A42" s="11" t="s">
        <v>0</v>
      </c>
      <c r="B42" s="11" t="s">
        <v>32</v>
      </c>
      <c r="C42" s="11" t="s">
        <v>33</v>
      </c>
      <c r="D42" s="11" t="s">
        <v>35</v>
      </c>
      <c r="L42" s="16"/>
    </row>
    <row r="43" spans="1:17" ht="15.75" customHeight="1" x14ac:dyDescent="0.2">
      <c r="A43" s="4" t="s">
        <v>36</v>
      </c>
      <c r="B43" s="21">
        <f>((D24+((ROUNDDOWN(B17/B31,0))*D24))*B20)*(F24+G24)+O37</f>
        <v>182994.21428571432</v>
      </c>
      <c r="C43" s="22">
        <f>((D24+((ROUNDDOWN(B17/C31,0))*D24))*B20)*(F24+G24)+P37</f>
        <v>138164.41071428574</v>
      </c>
      <c r="D43" s="15">
        <f>((D24+((ROUNDDOWN(B17/D31,0))*D24))*B20)*(F24+G24)+Q37</f>
        <v>117990.99910714287</v>
      </c>
      <c r="L43" s="16"/>
    </row>
    <row r="44" spans="1:17" ht="15.75" customHeight="1" x14ac:dyDescent="0.2">
      <c r="A44" s="7"/>
      <c r="B44" s="16"/>
      <c r="C44" s="16"/>
      <c r="D44" s="16"/>
      <c r="L44" s="16"/>
    </row>
    <row r="45" spans="1:17" ht="15.75" customHeight="1" x14ac:dyDescent="0.2">
      <c r="A45" s="39" t="s">
        <v>40</v>
      </c>
      <c r="B45" s="39"/>
      <c r="C45" s="17"/>
      <c r="D45" s="17"/>
      <c r="E45" s="17"/>
      <c r="F45" s="17"/>
      <c r="G45" s="17"/>
      <c r="H45" s="18"/>
      <c r="L45" s="16"/>
    </row>
    <row r="46" spans="1:17" ht="15.75" customHeight="1" x14ac:dyDescent="0.2">
      <c r="A46" s="7"/>
      <c r="B46" s="16"/>
      <c r="C46" s="16"/>
      <c r="D46" s="16"/>
      <c r="E46" s="16"/>
      <c r="F46" s="16"/>
      <c r="G46" s="16"/>
      <c r="H46" s="8"/>
      <c r="L46" s="16"/>
    </row>
    <row r="47" spans="1:17" ht="15.75" customHeight="1" x14ac:dyDescent="0.2">
      <c r="A47" s="23" t="s">
        <v>42</v>
      </c>
      <c r="B47" s="16"/>
      <c r="C47" s="16"/>
      <c r="D47" s="16"/>
      <c r="L47" s="16"/>
    </row>
    <row r="48" spans="1:17" ht="60" x14ac:dyDescent="0.2">
      <c r="A48" s="11" t="s">
        <v>0</v>
      </c>
      <c r="B48" s="11" t="s">
        <v>39</v>
      </c>
      <c r="C48" s="11" t="s">
        <v>38</v>
      </c>
      <c r="D48" s="11" t="s">
        <v>37</v>
      </c>
      <c r="L48" s="16"/>
    </row>
    <row r="49" spans="1:12" ht="15.75" customHeight="1" x14ac:dyDescent="0.2">
      <c r="A49" s="4" t="s">
        <v>36</v>
      </c>
      <c r="B49" s="24">
        <f>((B37*B7)*(1-(1+B8)^B17)/(-B8))+((H24*D24)/B20)+((H24*D24)*(ROUNDDOWN(B17/B31,0))/B20*(1+B8)^B31)</f>
        <v>358073.07768996002</v>
      </c>
      <c r="C49" s="24">
        <f>((C37*B7)*(1-(1+B8)^B17)/(-B8))+((H24*D24)/B20)+((H24*D24)*(ROUNDDOWN(B17/C31,0))/B20*(1+B8)^C31)+(PMT(B9,B18,-((H24*D24/B20)*(B15-1)))*B18-((H24*D24/B20)*(B15-1)))</f>
        <v>328641.59440451243</v>
      </c>
      <c r="D49" s="24">
        <f>((D37*B7)*(1-(1+B8)^B17)/(-B8))+((H24*D24)/B20)+((H24*D24)*(ROUNDDOWN(B17/D31,0))/B20*(1+B8)^D31)+(PMT(B9,B18,-((H24*D24/B20)*(B15-1)))*B18-((H24*D24/B20)*(B15-1)))</f>
        <v>309251.230307249</v>
      </c>
      <c r="L49" s="16"/>
    </row>
    <row r="50" spans="1:12" ht="15.75" customHeight="1" x14ac:dyDescent="0.2">
      <c r="A50" s="7"/>
      <c r="B50" s="16"/>
      <c r="C50" s="16"/>
      <c r="L50" s="16"/>
    </row>
    <row r="51" spans="1:12" ht="15.75" customHeight="1" x14ac:dyDescent="0.2">
      <c r="A51" s="7"/>
      <c r="B51" s="16"/>
      <c r="C51" s="16"/>
      <c r="L51" s="16"/>
    </row>
    <row r="52" spans="1:12" ht="15.75" customHeight="1" x14ac:dyDescent="0.2">
      <c r="A52" s="7"/>
      <c r="B52" s="16"/>
      <c r="C52" s="16"/>
      <c r="L52" s="16"/>
    </row>
    <row r="53" spans="1:12" ht="15.75" customHeight="1" x14ac:dyDescent="0.2">
      <c r="A53" s="7"/>
      <c r="B53" s="16"/>
      <c r="C53" s="16"/>
      <c r="L53" s="16"/>
    </row>
    <row r="54" spans="1:12" ht="15.75" customHeight="1" x14ac:dyDescent="0.2">
      <c r="A54" s="7"/>
      <c r="B54" s="16"/>
      <c r="C54" s="16"/>
      <c r="L54" s="16"/>
    </row>
    <row r="55" spans="1:12" ht="15.75" customHeight="1" x14ac:dyDescent="0.2">
      <c r="A55" s="7"/>
      <c r="B55" s="16"/>
      <c r="C55" s="16"/>
      <c r="D55" s="26"/>
      <c r="L55" s="16"/>
    </row>
    <row r="56" spans="1:12" ht="15.75" customHeight="1" x14ac:dyDescent="0.2">
      <c r="A56" s="7"/>
      <c r="B56" s="16"/>
      <c r="C56" s="16"/>
      <c r="L56" s="16"/>
    </row>
    <row r="57" spans="1:12" ht="15.75" customHeight="1" x14ac:dyDescent="0.2">
      <c r="A57" s="7"/>
      <c r="B57" s="16"/>
      <c r="C57" s="16"/>
      <c r="L57" s="16"/>
    </row>
    <row r="58" spans="1:12" ht="15.75" customHeight="1" x14ac:dyDescent="0.2">
      <c r="A58" s="7"/>
      <c r="B58" s="16"/>
      <c r="C58" s="16"/>
      <c r="L58" s="16"/>
    </row>
    <row r="59" spans="1:12" ht="15.75" customHeight="1" x14ac:dyDescent="0.2">
      <c r="A59" s="7"/>
      <c r="B59" s="16"/>
      <c r="C59" s="16"/>
      <c r="L59" s="16"/>
    </row>
    <row r="60" spans="1:12" ht="15.75" customHeight="1" x14ac:dyDescent="0.2">
      <c r="A60" s="7"/>
      <c r="B60" s="16"/>
      <c r="C60" s="16"/>
      <c r="L60" s="16"/>
    </row>
    <row r="61" spans="1:12" ht="15.75" customHeight="1" x14ac:dyDescent="0.2">
      <c r="A61" s="7"/>
      <c r="B61" s="16"/>
      <c r="C61" s="16"/>
      <c r="L61" s="16"/>
    </row>
    <row r="62" spans="1:12" ht="15.75" customHeight="1" x14ac:dyDescent="0.2">
      <c r="A62" s="7"/>
      <c r="B62" s="16"/>
      <c r="C62" s="16"/>
      <c r="D62" s="16"/>
      <c r="E62" s="16"/>
      <c r="F62" s="16"/>
      <c r="G62" s="16"/>
      <c r="H62" s="8"/>
      <c r="L62" s="16"/>
    </row>
  </sheetData>
  <mergeCells count="3">
    <mergeCell ref="A39:B39"/>
    <mergeCell ref="A45:B45"/>
    <mergeCell ref="A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B9D3-7AC8-8840-BE39-A679FF42526F}">
  <dimension ref="A1:I9"/>
  <sheetViews>
    <sheetView zoomScale="120" zoomScaleNormal="120" workbookViewId="0">
      <selection activeCell="D5" sqref="D5"/>
    </sheetView>
  </sheetViews>
  <sheetFormatPr baseColWidth="10" defaultColWidth="11.5" defaultRowHeight="13" x14ac:dyDescent="0.15"/>
  <cols>
    <col min="1" max="1" width="28.33203125" customWidth="1"/>
    <col min="2" max="4" width="25" customWidth="1"/>
  </cols>
  <sheetData>
    <row r="1" spans="1:9" ht="24" customHeight="1" x14ac:dyDescent="0.3">
      <c r="A1" s="40" t="s">
        <v>48</v>
      </c>
      <c r="B1" s="40"/>
      <c r="C1" s="40"/>
      <c r="D1" s="40"/>
      <c r="E1" s="38"/>
      <c r="F1" s="38"/>
      <c r="G1" s="38"/>
      <c r="H1" s="38"/>
      <c r="I1" s="38"/>
    </row>
    <row r="2" spans="1:9" ht="20" x14ac:dyDescent="0.2">
      <c r="A2" s="32"/>
      <c r="B2" s="32"/>
      <c r="C2" s="32"/>
      <c r="D2" s="32"/>
    </row>
    <row r="3" spans="1:9" ht="18" x14ac:dyDescent="0.2">
      <c r="A3" s="41" t="s">
        <v>53</v>
      </c>
      <c r="B3" s="41"/>
      <c r="C3" s="41"/>
      <c r="D3" s="33"/>
    </row>
    <row r="4" spans="1:9" ht="57" x14ac:dyDescent="0.2">
      <c r="A4" s="34" t="s">
        <v>44</v>
      </c>
      <c r="B4" s="35" t="s">
        <v>45</v>
      </c>
      <c r="C4" s="35" t="s">
        <v>46</v>
      </c>
      <c r="D4" s="36" t="s">
        <v>47</v>
      </c>
      <c r="E4" s="31"/>
    </row>
    <row r="5" spans="1:9" ht="18" x14ac:dyDescent="0.2">
      <c r="A5" s="34" t="s">
        <v>19</v>
      </c>
      <c r="B5" s="37">
        <f>('L90 Analysis'!B43-'L70 Analysis'!B43)/'L70 Analysis'!B43</f>
        <v>-0.18620104694957193</v>
      </c>
      <c r="C5" s="37">
        <f>('L90 Analysis'!C43-'L70 Analysis'!C43)/'L70 Analysis'!C43</f>
        <v>-0.17451336121678021</v>
      </c>
      <c r="D5" s="37">
        <f>('L90 Analysis'!D43-'L70 Analysis'!D43)/'L70 Analysis'!D43</f>
        <v>-7.770311232653887E-2</v>
      </c>
    </row>
    <row r="6" spans="1:9" ht="18" x14ac:dyDescent="0.2">
      <c r="A6" s="33"/>
      <c r="B6" s="33"/>
      <c r="C6" s="33"/>
      <c r="D6" s="33"/>
    </row>
    <row r="7" spans="1:9" ht="18" x14ac:dyDescent="0.2">
      <c r="A7" s="41" t="s">
        <v>54</v>
      </c>
      <c r="B7" s="41"/>
      <c r="C7" s="41"/>
      <c r="D7" s="41"/>
    </row>
    <row r="8" spans="1:9" ht="57" x14ac:dyDescent="0.2">
      <c r="A8" s="34" t="s">
        <v>44</v>
      </c>
      <c r="B8" s="35" t="s">
        <v>45</v>
      </c>
      <c r="C8" s="35" t="s">
        <v>46</v>
      </c>
      <c r="D8" s="36" t="s">
        <v>47</v>
      </c>
    </row>
    <row r="9" spans="1:9" ht="18" x14ac:dyDescent="0.2">
      <c r="A9" s="34" t="s">
        <v>19</v>
      </c>
      <c r="B9" s="37">
        <f>('L90 Analysis'!B49-'L70 Analysis'!B49)/'L70 Analysis'!B49</f>
        <v>0.32022648664731873</v>
      </c>
      <c r="C9" s="37">
        <f>('L90 Analysis'!C49-'L70 Analysis'!C49)/'L70 Analysis'!C49</f>
        <v>0.43013326844043082</v>
      </c>
      <c r="D9" s="37">
        <f>('L90 Analysis'!D49-'L70 Analysis'!D49)/'L70 Analysis'!D49</f>
        <v>0.51810813592996485</v>
      </c>
    </row>
  </sheetData>
  <mergeCells count="3">
    <mergeCell ref="A3:C3"/>
    <mergeCell ref="A7:D7"/>
    <mergeCell ref="A1:D1"/>
  </mergeCells>
  <conditionalFormatting sqref="B5:D5">
    <cfRule type="colorScale" priority="3">
      <colorScale>
        <cfvo type="min"/>
        <cfvo type="num" val="0"/>
        <cfvo type="max"/>
        <color theme="7"/>
        <color rgb="FFFFEB84"/>
        <color theme="8"/>
      </colorScale>
    </cfRule>
  </conditionalFormatting>
  <conditionalFormatting sqref="B9:D9">
    <cfRule type="colorScale" priority="4">
      <colorScale>
        <cfvo type="min"/>
        <cfvo type="num" val="0"/>
        <cfvo type="max"/>
        <color theme="7"/>
        <color rgb="FFFFEB84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L90 Analysis</vt:lpstr>
      <vt:lpstr>L70 Analysis</vt:lpstr>
      <vt:lpstr>L90 Vs L70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Dimitrios Tsiokaras</dc:creator>
  <cp:lastModifiedBy>Dimitrios Tsiokaras</cp:lastModifiedBy>
  <dcterms:created xsi:type="dcterms:W3CDTF">2024-10-22T04:41:10Z</dcterms:created>
  <dcterms:modified xsi:type="dcterms:W3CDTF">2025-06-01T14:40:37Z</dcterms:modified>
</cp:coreProperties>
</file>