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8ECDD04F-7394-4807-B406-41F70873CBC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opsd_hydro" sheetId="1" r:id="rId1"/>
    <sheet name="Tabelle1" sheetId="2" r:id="rId2"/>
  </sheets>
  <definedNames>
    <definedName name="_xlnm._FilterDatabase" localSheetId="0" hidden="1">opsd_hydro!$A$1:$AK$229</definedName>
    <definedName name="_xlnm._FilterDatabase" localSheetId="1" hidden="1">Tabelle1!$B$2:$AK$32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32" i="1" l="1"/>
  <c r="X231" i="1"/>
  <c r="X230" i="1"/>
  <c r="AD9" i="1" l="1"/>
  <c r="AE9" i="1" s="1"/>
  <c r="AD46" i="1"/>
  <c r="AE46" i="1" s="1"/>
  <c r="AD4" i="1"/>
  <c r="AE4" i="1" s="1"/>
  <c r="AD13" i="1"/>
  <c r="AF13" i="1" s="1"/>
  <c r="AD12" i="1"/>
  <c r="AF12" i="1" s="1"/>
  <c r="AD50" i="1"/>
  <c r="AF50" i="1" s="1"/>
  <c r="AD5" i="1"/>
  <c r="AF5" i="1" s="1"/>
  <c r="AD10" i="1"/>
  <c r="AF10" i="1" s="1"/>
  <c r="AD43" i="1"/>
  <c r="AF43" i="1" s="1"/>
  <c r="AD6" i="1"/>
  <c r="AF6" i="1" s="1"/>
  <c r="AD14" i="1"/>
  <c r="AE14" i="1" s="1"/>
  <c r="AD16" i="1"/>
  <c r="AF16" i="1" s="1"/>
  <c r="AD147" i="1"/>
  <c r="AF147" i="1" s="1"/>
  <c r="AD93" i="1"/>
  <c r="AF93" i="1" s="1"/>
  <c r="AD65" i="1"/>
  <c r="AE65" i="1" s="1"/>
  <c r="AD64" i="1"/>
  <c r="AF64" i="1" s="1"/>
  <c r="AD74" i="1"/>
  <c r="AF74" i="1" s="1"/>
  <c r="AD75" i="1"/>
  <c r="AF75" i="1" s="1"/>
  <c r="AD8" i="1"/>
  <c r="AF8" i="1" s="1"/>
  <c r="AD2" i="1"/>
  <c r="AF2" i="1" s="1"/>
  <c r="AD57" i="1"/>
  <c r="AF57" i="1" s="1"/>
  <c r="AD58" i="1"/>
  <c r="AF58" i="1" s="1"/>
  <c r="AD11" i="1"/>
  <c r="AF11" i="1" s="1"/>
  <c r="AD7" i="1"/>
  <c r="AF7" i="1" s="1"/>
  <c r="AD56" i="1"/>
  <c r="AF56" i="1" s="1"/>
  <c r="AD49" i="1"/>
  <c r="AF49" i="1" s="1"/>
  <c r="AD37" i="1"/>
  <c r="AF37" i="1" s="1"/>
  <c r="AD28" i="1"/>
  <c r="AF28" i="1" s="1"/>
  <c r="AD59" i="1"/>
  <c r="AF59" i="1" s="1"/>
  <c r="AD3" i="1"/>
  <c r="AF3" i="1" s="1"/>
  <c r="Z21" i="2"/>
  <c r="AB6" i="2"/>
  <c r="AC6" i="2"/>
  <c r="V6" i="2"/>
  <c r="Z6" i="2" s="1"/>
  <c r="AB31" i="2"/>
  <c r="AC31" i="2"/>
  <c r="AB20" i="2"/>
  <c r="AC20" i="2"/>
  <c r="V20" i="2"/>
  <c r="Z20" i="2" s="1"/>
  <c r="AB19" i="2"/>
  <c r="AB7" i="2"/>
  <c r="AC7" i="2"/>
  <c r="AC12" i="2"/>
  <c r="AB12" i="2"/>
  <c r="AB11" i="2"/>
  <c r="AB18" i="2"/>
  <c r="AB15" i="2"/>
  <c r="X32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" i="2"/>
  <c r="X4" i="2"/>
  <c r="X5" i="2"/>
  <c r="Z5" i="2"/>
  <c r="Z8" i="2"/>
  <c r="Z11" i="2"/>
  <c r="Z13" i="2"/>
  <c r="Z15" i="2"/>
  <c r="Z16" i="2"/>
  <c r="Z17" i="2"/>
  <c r="Z18" i="2"/>
  <c r="Z22" i="2"/>
  <c r="Z23" i="2"/>
  <c r="Z24" i="2"/>
  <c r="Z25" i="2"/>
  <c r="Z26" i="2"/>
  <c r="Z27" i="2"/>
  <c r="Z28" i="2"/>
  <c r="Z29" i="2"/>
  <c r="V7" i="2"/>
  <c r="Z7" i="2" s="1"/>
  <c r="V12" i="2"/>
  <c r="Z12" i="2" s="1"/>
  <c r="V19" i="2"/>
  <c r="Z19" i="2" s="1"/>
  <c r="V31" i="2"/>
  <c r="Z31" i="2" s="1"/>
  <c r="V4" i="2"/>
  <c r="Z4" i="2" s="1"/>
  <c r="AC30" i="2"/>
  <c r="V30" i="2"/>
  <c r="Z30" i="2" s="1"/>
  <c r="V14" i="2"/>
  <c r="Z14" i="2" s="1"/>
  <c r="AC14" i="2"/>
  <c r="AB9" i="2"/>
  <c r="V9" i="2"/>
  <c r="Z9" i="2" s="1"/>
  <c r="AB32" i="2"/>
  <c r="V32" i="2"/>
  <c r="Z32" i="2" s="1"/>
  <c r="V3" i="2"/>
  <c r="Z3" i="2" s="1"/>
  <c r="AF9" i="1" l="1"/>
  <c r="AF46" i="1"/>
  <c r="AF4" i="1"/>
  <c r="AE13" i="1"/>
  <c r="AE12" i="1"/>
  <c r="AE50" i="1"/>
  <c r="AE5" i="1"/>
  <c r="AE10" i="1"/>
  <c r="AE43" i="1"/>
  <c r="AE6" i="1"/>
  <c r="AF14" i="1"/>
  <c r="AE16" i="1"/>
  <c r="AE147" i="1"/>
  <c r="AE93" i="1"/>
  <c r="AF65" i="1"/>
  <c r="AE64" i="1"/>
  <c r="AE74" i="1"/>
  <c r="AE75" i="1"/>
  <c r="AE8" i="1"/>
  <c r="AE2" i="1"/>
  <c r="AE57" i="1"/>
  <c r="AE58" i="1"/>
  <c r="AE11" i="1"/>
  <c r="AE7" i="1"/>
  <c r="AE56" i="1"/>
  <c r="AE49" i="1"/>
  <c r="AE37" i="1"/>
  <c r="AE28" i="1"/>
  <c r="AE59" i="1"/>
  <c r="AE3" i="1"/>
  <c r="AD72" i="1"/>
  <c r="AD77" i="1"/>
  <c r="AD144" i="1"/>
  <c r="AD31" i="1"/>
  <c r="AD205" i="1"/>
  <c r="AD159" i="1"/>
  <c r="AD44" i="1"/>
  <c r="AD18" i="1"/>
  <c r="AD146" i="1"/>
  <c r="AD142" i="1"/>
  <c r="AD201" i="1"/>
  <c r="AD27" i="1"/>
  <c r="AD82" i="1"/>
  <c r="AD148" i="1"/>
  <c r="AD91" i="1"/>
  <c r="AD119" i="1"/>
  <c r="AD25" i="1"/>
  <c r="AD125" i="1"/>
  <c r="AD217" i="1"/>
  <c r="AD179" i="1"/>
  <c r="AD45" i="1"/>
  <c r="AD103" i="1"/>
  <c r="AD152" i="1"/>
  <c r="AD19" i="1"/>
  <c r="AD133" i="1"/>
  <c r="AD73" i="1"/>
  <c r="AD92" i="1"/>
  <c r="AD68" i="1"/>
  <c r="AD62" i="1"/>
  <c r="AD80" i="1"/>
  <c r="AD165" i="1"/>
  <c r="AD116" i="1"/>
  <c r="AD54" i="1"/>
  <c r="AD32" i="1"/>
  <c r="AD203" i="1"/>
  <c r="AD112" i="1"/>
  <c r="AD29" i="1"/>
  <c r="AD102" i="1"/>
  <c r="AD95" i="1"/>
  <c r="AD160" i="1"/>
  <c r="AD33" i="1"/>
  <c r="AD83" i="1"/>
  <c r="AD121" i="1"/>
  <c r="AD210" i="1"/>
  <c r="AD132" i="1"/>
  <c r="AD111" i="1"/>
  <c r="AD198" i="1"/>
  <c r="AD158" i="1"/>
  <c r="AD193" i="1"/>
  <c r="AD101" i="1"/>
  <c r="AD79" i="1"/>
  <c r="AD134" i="1"/>
  <c r="AD21" i="1"/>
  <c r="AD60" i="1"/>
  <c r="AD84" i="1"/>
  <c r="AD109" i="1"/>
  <c r="AD143" i="1"/>
  <c r="AD100" i="1"/>
  <c r="AD86" i="1"/>
  <c r="AD113" i="1"/>
  <c r="AD138" i="1"/>
  <c r="AD85" i="1"/>
  <c r="AD99" i="1"/>
  <c r="AD34" i="1"/>
  <c r="AD26" i="1"/>
  <c r="AD66" i="1"/>
  <c r="AD61" i="1"/>
  <c r="AD89" i="1"/>
  <c r="AD35" i="1"/>
  <c r="AD22" i="1"/>
  <c r="AD48" i="1"/>
  <c r="AD23" i="1"/>
  <c r="AD63" i="1"/>
  <c r="AD67" i="1"/>
  <c r="AD41" i="1"/>
  <c r="AD137" i="1"/>
  <c r="AD88" i="1"/>
  <c r="AD87" i="1"/>
  <c r="AD47" i="1"/>
  <c r="AD30" i="1"/>
  <c r="AD136" i="1"/>
  <c r="AE34" i="1" l="1"/>
  <c r="AF34" i="1"/>
  <c r="AE41" i="1"/>
  <c r="AF41" i="1"/>
  <c r="AE79" i="1"/>
  <c r="AF79" i="1"/>
  <c r="AE92" i="1"/>
  <c r="AF92" i="1"/>
  <c r="AF85" i="1"/>
  <c r="AE85" i="1"/>
  <c r="AE73" i="1"/>
  <c r="AF73" i="1"/>
  <c r="AE23" i="1"/>
  <c r="AF23" i="1"/>
  <c r="AE113" i="1"/>
  <c r="AF113" i="1"/>
  <c r="AE158" i="1"/>
  <c r="AF158" i="1"/>
  <c r="AE112" i="1"/>
  <c r="AF112" i="1"/>
  <c r="AE19" i="1"/>
  <c r="AF19" i="1"/>
  <c r="AE27" i="1"/>
  <c r="AF27" i="1"/>
  <c r="AE201" i="1"/>
  <c r="AF201" i="1"/>
  <c r="AE142" i="1"/>
  <c r="AF142" i="1"/>
  <c r="AE68" i="1"/>
  <c r="AF68" i="1"/>
  <c r="AE198" i="1"/>
  <c r="AF198" i="1"/>
  <c r="AE203" i="1"/>
  <c r="AF203" i="1"/>
  <c r="AF152" i="1"/>
  <c r="AE152" i="1"/>
  <c r="AE22" i="1"/>
  <c r="AF22" i="1"/>
  <c r="AE100" i="1"/>
  <c r="AF100" i="1"/>
  <c r="AE111" i="1"/>
  <c r="AF111" i="1"/>
  <c r="AE32" i="1"/>
  <c r="AF32" i="1"/>
  <c r="AE103" i="1"/>
  <c r="AF103" i="1"/>
  <c r="AF136" i="1"/>
  <c r="AE136" i="1"/>
  <c r="AF35" i="1"/>
  <c r="AE35" i="1"/>
  <c r="AF143" i="1"/>
  <c r="AE143" i="1"/>
  <c r="AF132" i="1"/>
  <c r="AE132" i="1"/>
  <c r="AF54" i="1"/>
  <c r="AE54" i="1"/>
  <c r="AF45" i="1"/>
  <c r="AE45" i="1"/>
  <c r="AE146" i="1"/>
  <c r="AF146" i="1"/>
  <c r="AF18" i="1"/>
  <c r="AE18" i="1"/>
  <c r="AE160" i="1"/>
  <c r="AF160" i="1"/>
  <c r="AE48" i="1"/>
  <c r="AF48" i="1"/>
  <c r="AE30" i="1"/>
  <c r="AF30" i="1"/>
  <c r="AE89" i="1"/>
  <c r="AF89" i="1"/>
  <c r="AE109" i="1"/>
  <c r="AF109" i="1"/>
  <c r="AE210" i="1"/>
  <c r="AF210" i="1"/>
  <c r="AF116" i="1"/>
  <c r="AE116" i="1"/>
  <c r="AE179" i="1"/>
  <c r="AF179" i="1"/>
  <c r="AE47" i="1"/>
  <c r="AF47" i="1"/>
  <c r="AE61" i="1"/>
  <c r="AF61" i="1"/>
  <c r="AF84" i="1"/>
  <c r="AE84" i="1"/>
  <c r="AF121" i="1"/>
  <c r="AE121" i="1"/>
  <c r="AF165" i="1"/>
  <c r="AE165" i="1"/>
  <c r="AE217" i="1"/>
  <c r="AF217" i="1"/>
  <c r="AF44" i="1"/>
  <c r="AE44" i="1"/>
  <c r="AE159" i="1"/>
  <c r="AF159" i="1"/>
  <c r="AE137" i="1"/>
  <c r="AF137" i="1"/>
  <c r="AE134" i="1"/>
  <c r="AF134" i="1"/>
  <c r="AE86" i="1"/>
  <c r="AF86" i="1"/>
  <c r="AE87" i="1"/>
  <c r="AF87" i="1"/>
  <c r="AE66" i="1"/>
  <c r="AF66" i="1"/>
  <c r="AE60" i="1"/>
  <c r="AF60" i="1"/>
  <c r="AE83" i="1"/>
  <c r="AF83" i="1"/>
  <c r="AE80" i="1"/>
  <c r="AF80" i="1"/>
  <c r="AE125" i="1"/>
  <c r="AF125" i="1"/>
  <c r="AE88" i="1"/>
  <c r="AF88" i="1"/>
  <c r="AE26" i="1"/>
  <c r="AF26" i="1"/>
  <c r="AE21" i="1"/>
  <c r="AF21" i="1"/>
  <c r="AE33" i="1"/>
  <c r="AF33" i="1"/>
  <c r="AF62" i="1"/>
  <c r="AE62" i="1"/>
  <c r="AE25" i="1"/>
  <c r="AF25" i="1"/>
  <c r="AF205" i="1"/>
  <c r="AE205" i="1"/>
  <c r="AE31" i="1"/>
  <c r="AF31" i="1"/>
  <c r="AF144" i="1"/>
  <c r="AE144" i="1"/>
  <c r="AE77" i="1"/>
  <c r="AF77" i="1"/>
  <c r="AE119" i="1"/>
  <c r="AF119" i="1"/>
  <c r="AF99" i="1"/>
  <c r="AE99" i="1"/>
  <c r="AF95" i="1"/>
  <c r="AE95" i="1"/>
  <c r="AF91" i="1"/>
  <c r="AE91" i="1"/>
  <c r="AF67" i="1"/>
  <c r="AE67" i="1"/>
  <c r="AE101" i="1"/>
  <c r="AF101" i="1"/>
  <c r="AE102" i="1"/>
  <c r="AF102" i="1"/>
  <c r="AE148" i="1"/>
  <c r="AF148" i="1"/>
  <c r="AF63" i="1"/>
  <c r="AE63" i="1"/>
  <c r="AF138" i="1"/>
  <c r="AE138" i="1"/>
  <c r="AE193" i="1"/>
  <c r="AF193" i="1"/>
  <c r="AE29" i="1"/>
  <c r="AF29" i="1"/>
  <c r="AE133" i="1"/>
  <c r="AF133" i="1"/>
  <c r="AE82" i="1"/>
  <c r="AF82" i="1"/>
  <c r="AE72" i="1"/>
  <c r="AF72" i="1"/>
  <c r="Z136" i="1"/>
  <c r="Z83" i="1"/>
  <c r="Z77" i="1"/>
  <c r="Z72" i="1"/>
  <c r="Z31" i="1"/>
  <c r="Z44" i="1"/>
  <c r="Z18" i="1"/>
  <c r="Z146" i="1"/>
  <c r="Z142" i="1"/>
  <c r="Z27" i="1"/>
  <c r="Z82" i="1"/>
  <c r="Z148" i="1"/>
  <c r="Z91" i="1"/>
  <c r="Z119" i="1"/>
  <c r="Z25" i="1"/>
  <c r="Z125" i="1"/>
  <c r="Z217" i="1"/>
  <c r="Z45" i="1"/>
  <c r="Z152" i="1"/>
  <c r="Z19" i="1"/>
  <c r="Z133" i="1"/>
  <c r="Z73" i="1"/>
  <c r="Z92" i="1"/>
  <c r="Z165" i="1"/>
  <c r="Z116" i="1"/>
  <c r="Z54" i="1"/>
  <c r="Z203" i="1"/>
  <c r="Z112" i="1"/>
  <c r="Z102" i="1"/>
  <c r="Z160" i="1"/>
  <c r="Z33" i="1"/>
  <c r="Z121" i="1"/>
  <c r="Z210" i="1"/>
  <c r="Z111" i="1"/>
  <c r="Z198" i="1"/>
  <c r="Z158" i="1"/>
  <c r="Z193" i="1"/>
  <c r="Z134" i="1"/>
  <c r="Z21" i="1"/>
  <c r="Z60" i="1"/>
  <c r="Z84" i="1"/>
  <c r="Z143" i="1"/>
  <c r="Z100" i="1"/>
  <c r="Z86" i="1"/>
  <c r="Z113" i="1"/>
  <c r="Z138" i="1"/>
  <c r="Z85" i="1"/>
  <c r="Z99" i="1"/>
  <c r="Z34" i="1"/>
  <c r="Z26" i="1"/>
  <c r="Z66" i="1"/>
  <c r="Z61" i="1"/>
  <c r="Z89" i="1"/>
  <c r="Z35" i="1"/>
  <c r="Z48" i="1"/>
  <c r="Z23" i="1"/>
  <c r="Z63" i="1"/>
  <c r="Z67" i="1"/>
  <c r="Z41" i="1"/>
  <c r="Z137" i="1"/>
  <c r="Z87" i="1"/>
  <c r="Z47" i="1"/>
  <c r="Z30" i="1"/>
  <c r="Z22" i="1"/>
  <c r="X148" i="1" l="1"/>
  <c r="X144" i="1"/>
  <c r="X96" i="1"/>
  <c r="X98" i="1"/>
  <c r="X97" i="1"/>
  <c r="X119" i="1"/>
  <c r="X110" i="1"/>
  <c r="X107" i="1"/>
  <c r="X104" i="1"/>
  <c r="X116" i="1"/>
  <c r="X123" i="1"/>
  <c r="X129" i="1"/>
  <c r="X130" i="1"/>
  <c r="X143" i="1"/>
  <c r="X142" i="1"/>
  <c r="X126" i="1"/>
  <c r="X124" i="1"/>
  <c r="X128" i="1"/>
  <c r="X125" i="1"/>
  <c r="X127" i="1"/>
  <c r="X113" i="1"/>
  <c r="X118" i="1"/>
  <c r="X115" i="1"/>
  <c r="X114" i="1"/>
  <c r="X120" i="1"/>
  <c r="X112" i="1"/>
  <c r="X111" i="1"/>
  <c r="X102" i="1"/>
  <c r="X94" i="1"/>
  <c r="X91" i="1"/>
  <c r="X89" i="1"/>
  <c r="X87" i="1"/>
  <c r="X88" i="1"/>
  <c r="X86" i="1"/>
  <c r="X84" i="1"/>
  <c r="X83" i="1"/>
  <c r="X85" i="1"/>
  <c r="X80" i="1"/>
  <c r="X79" i="1"/>
  <c r="X77" i="1"/>
  <c r="X72" i="1"/>
  <c r="X73" i="1"/>
  <c r="X92" i="1"/>
  <c r="X53" i="1"/>
  <c r="X52" i="1"/>
  <c r="X54" i="1"/>
  <c r="X55" i="1"/>
  <c r="X51" i="1"/>
  <c r="X48" i="1"/>
  <c r="X60" i="1"/>
  <c r="X66" i="1"/>
  <c r="X68" i="1"/>
  <c r="X67" i="1"/>
  <c r="X63" i="1"/>
  <c r="X62" i="1"/>
  <c r="X61" i="1"/>
  <c r="X69" i="1"/>
  <c r="X105" i="1"/>
  <c r="X106" i="1"/>
  <c r="X70" i="1"/>
  <c r="X71" i="1"/>
  <c r="X47" i="1"/>
  <c r="X39" i="1"/>
  <c r="X40" i="1"/>
  <c r="X41" i="1"/>
  <c r="X38" i="1"/>
  <c r="X45" i="1"/>
  <c r="X42" i="1"/>
  <c r="X44" i="1"/>
  <c r="X17" i="1"/>
  <c r="X19" i="1"/>
  <c r="X18" i="1"/>
  <c r="X29" i="1"/>
  <c r="X33" i="1"/>
  <c r="X36" i="1"/>
  <c r="X26" i="1"/>
  <c r="X23" i="1"/>
  <c r="X24" i="1"/>
  <c r="X22" i="1"/>
  <c r="X27" i="1"/>
  <c r="X35" i="1"/>
  <c r="X30" i="1"/>
  <c r="X31" i="1"/>
  <c r="X32" i="1"/>
  <c r="X34" i="1"/>
  <c r="X15" i="1"/>
  <c r="X20" i="1"/>
  <c r="X25" i="1"/>
  <c r="X21" i="1"/>
  <c r="X216" i="1"/>
  <c r="X215" i="1"/>
  <c r="X220" i="1"/>
  <c r="X218" i="1"/>
  <c r="X214" i="1"/>
  <c r="X208" i="1"/>
  <c r="X213" i="1"/>
  <c r="X212" i="1"/>
  <c r="X209" i="1"/>
  <c r="X207" i="1"/>
  <c r="X211" i="1"/>
  <c r="X222" i="1"/>
  <c r="X221" i="1"/>
  <c r="X219" i="1"/>
  <c r="X224" i="1"/>
  <c r="X223" i="1"/>
  <c r="X225" i="1"/>
  <c r="X203" i="1"/>
  <c r="X201" i="1"/>
  <c r="X204" i="1"/>
  <c r="X202" i="1"/>
  <c r="X192" i="1"/>
  <c r="X181" i="1"/>
  <c r="X164" i="1"/>
  <c r="X165" i="1"/>
  <c r="X166" i="1"/>
  <c r="X193" i="1"/>
  <c r="X194" i="1"/>
  <c r="X188" i="1"/>
  <c r="X189" i="1"/>
  <c r="X159" i="1"/>
  <c r="X158" i="1"/>
  <c r="X145" i="1"/>
  <c r="X191" i="1"/>
  <c r="X183" i="1"/>
  <c r="X172" i="1"/>
  <c r="X179" i="1"/>
  <c r="X170" i="1"/>
  <c r="X163" i="1"/>
  <c r="X198" i="1"/>
  <c r="X197" i="1"/>
  <c r="X196" i="1"/>
  <c r="X156" i="1"/>
  <c r="X153" i="1"/>
  <c r="X131" i="1"/>
  <c r="X146" i="1"/>
  <c r="X149" i="1"/>
  <c r="X151" i="1"/>
  <c r="X139" i="1"/>
  <c r="X132" i="1"/>
  <c r="V132" i="1" s="1"/>
  <c r="Z132" i="1" s="1"/>
  <c r="X136" i="1"/>
  <c r="X137" i="1"/>
  <c r="X134" i="1"/>
  <c r="X133" i="1"/>
  <c r="X122" i="1"/>
  <c r="X121" i="1"/>
  <c r="X109" i="1"/>
  <c r="X99" i="1"/>
  <c r="X108" i="1"/>
  <c r="X100" i="1"/>
  <c r="X101" i="1"/>
  <c r="X103" i="1"/>
  <c r="X95" i="1"/>
  <c r="X138" i="1"/>
  <c r="X90" i="1"/>
  <c r="X78" i="1"/>
  <c r="X81" i="1"/>
  <c r="X76" i="1"/>
  <c r="X82" i="1"/>
  <c r="X140" i="1"/>
  <c r="X135" i="1"/>
  <c r="X150" i="1"/>
  <c r="X117" i="1"/>
  <c r="X152" i="1"/>
  <c r="X160" i="1"/>
  <c r="X177" i="1"/>
  <c r="X185" i="1"/>
  <c r="X180" i="1"/>
  <c r="X176" i="1"/>
  <c r="X175" i="1"/>
  <c r="X174" i="1"/>
  <c r="X178" i="1"/>
  <c r="X184" i="1"/>
  <c r="X217" i="1"/>
  <c r="X210" i="1"/>
  <c r="X228" i="1"/>
  <c r="X195" i="1"/>
  <c r="X161" i="1"/>
  <c r="X155" i="1"/>
  <c r="X173" i="1"/>
  <c r="X154" i="1"/>
  <c r="X157" i="1"/>
  <c r="X169" i="1"/>
  <c r="X182" i="1"/>
  <c r="X187" i="1"/>
  <c r="X186" i="1"/>
  <c r="X167" i="1"/>
  <c r="X171" i="1"/>
  <c r="X141" i="1"/>
  <c r="X229" i="1"/>
  <c r="X168" i="1"/>
  <c r="X206" i="1"/>
  <c r="X190" i="1"/>
  <c r="X200" i="1"/>
  <c r="X199" i="1"/>
  <c r="X162" i="1"/>
  <c r="X227" i="1"/>
  <c r="X2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Wehrle Sebastian</author>
  </authors>
  <commentList>
    <comment ref="V224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Wehrle Sebastian:</t>
        </r>
        <r>
          <rPr>
            <sz val="9"/>
            <color indexed="81"/>
            <rFont val="Segoe UI"/>
            <family val="2"/>
          </rPr>
          <t xml:space="preserve">
lt Wasserbuch 220 l/s!</t>
        </r>
      </text>
    </comment>
  </commentList>
</comments>
</file>

<file path=xl/sharedStrings.xml><?xml version="1.0" encoding="utf-8"?>
<sst xmlns="http://schemas.openxmlformats.org/spreadsheetml/2006/main" count="2587" uniqueCount="885">
  <si>
    <t>company</t>
  </si>
  <si>
    <t>name</t>
  </si>
  <si>
    <t>street</t>
  </si>
  <si>
    <t>postcode</t>
  </si>
  <si>
    <t>city</t>
  </si>
  <si>
    <t>country</t>
  </si>
  <si>
    <t>energy_source</t>
  </si>
  <si>
    <t>technology</t>
  </si>
  <si>
    <t>additional_info</t>
  </si>
  <si>
    <t>type</t>
  </si>
  <si>
    <t>chp</t>
  </si>
  <si>
    <t>commissioned</t>
  </si>
  <si>
    <t>comment</t>
  </si>
  <si>
    <t>source</t>
  </si>
  <si>
    <t>eic_code</t>
  </si>
  <si>
    <t>lat</t>
  </si>
  <si>
    <t>lon</t>
  </si>
  <si>
    <t>Fallhöhe [m]</t>
  </si>
  <si>
    <t>AWM [m^3/s]</t>
  </si>
  <si>
    <t>RAV [GWh]</t>
  </si>
  <si>
    <t>Speicher [m^3]</t>
  </si>
  <si>
    <t>Speicher [GWh]</t>
  </si>
  <si>
    <t>Verbund Hydro Power</t>
  </si>
  <si>
    <t>Rottau 12</t>
  </si>
  <si>
    <t>AT</t>
  </si>
  <si>
    <t>Hydro</t>
  </si>
  <si>
    <t>Pumped Storage</t>
  </si>
  <si>
    <t>https://www.verbund.com/de-at/ueber-verbund/kraftwerke/unsere-kraftwerke</t>
  </si>
  <si>
    <t>14W-DMH-KW-----9</t>
  </si>
  <si>
    <t>Vorarlberger Illwerke AG</t>
  </si>
  <si>
    <t>Kopswerk II</t>
  </si>
  <si>
    <t>Gaschurn</t>
  </si>
  <si>
    <t xml:space="preserve">https://www.illwerke.at/kopswerk-2.htm </t>
  </si>
  <si>
    <t>TIWAG</t>
  </si>
  <si>
    <t>Silz</t>
  </si>
  <si>
    <t>Dr.-Meinrad-Praxmarer-Straße 1</t>
  </si>
  <si>
    <t>Reservoir</t>
  </si>
  <si>
    <t>Haupt- und Unterstufe Kraftwerksgruppe Sellrain-Silz;</t>
  </si>
  <si>
    <t>https://www.tiwag.at/ueber-die-tiwag/kraftwerke/bestehende-kraftwerke/kraftwerkspark/#c653</t>
  </si>
  <si>
    <t>Kaprun Limberg II</t>
  </si>
  <si>
    <t>Kaprun</t>
  </si>
  <si>
    <t>Speicher: Moserboden; Margaritze; Unterbecken: Wasserfallboden</t>
  </si>
  <si>
    <t>Kaprun Limberg III</t>
  </si>
  <si>
    <t>in Planung</t>
  </si>
  <si>
    <t>Hattelberg 18</t>
  </si>
  <si>
    <t>Hattelberg</t>
  </si>
  <si>
    <t>Kraftwerksgruppe Reißeck-Kreuzeck; Speicher: Großer Mühldorfer See, Unterbecken: Gößkar; Galgenbichl</t>
  </si>
  <si>
    <t>http://www.vok.at/fileadmin/daten/PDF/vortraege_fachtagung_2013/Vortrag_Giefing.pdf</t>
  </si>
  <si>
    <t>Kaunertal</t>
  </si>
  <si>
    <t>Dorfstraße 59</t>
  </si>
  <si>
    <t>Prutz</t>
  </si>
  <si>
    <t>https://www.tiwag.at/ueber-die-tiwag/kraftwerke/bestehende-kraftwerke/kraftwerkspark/#c652</t>
  </si>
  <si>
    <t>Häusling</t>
  </si>
  <si>
    <t>Mayrhofen</t>
  </si>
  <si>
    <t>14W-TZH-KW-----7</t>
  </si>
  <si>
    <t>Tuxer Straße 795</t>
  </si>
  <si>
    <t>Speicher: Stillup</t>
  </si>
  <si>
    <t>14W-TZMA-KW----N</t>
  </si>
  <si>
    <t>Altenwörth</t>
  </si>
  <si>
    <t>Kirchberg am Wagram</t>
  </si>
  <si>
    <t>Run-of-river</t>
  </si>
  <si>
    <t>14W-BAW-KW-----F</t>
  </si>
  <si>
    <t>Rodundwerk II</t>
  </si>
  <si>
    <t>Vadans</t>
  </si>
  <si>
    <t>https://www.illwerke.at/rodundwerk-ii.htm</t>
  </si>
  <si>
    <t>Greifenstein</t>
  </si>
  <si>
    <t>Greifenstein 232/1</t>
  </si>
  <si>
    <t>Spillern</t>
  </si>
  <si>
    <t>14W-BGS-KW-----Q</t>
  </si>
  <si>
    <t>Kühtai</t>
  </si>
  <si>
    <t>Oberstufe Kraftwerksgruppe Sellrain-Silz; Speicher Finstertal</t>
  </si>
  <si>
    <t>https://www.tiwag.at/ueber-die-tiwag/kraftwerke/bestehende-kraftwerke/kraftwerkspark/#c654</t>
  </si>
  <si>
    <t>Aschach</t>
  </si>
  <si>
    <t>Schopperplatz 16</t>
  </si>
  <si>
    <t>Sommerberg</t>
  </si>
  <si>
    <t>14W-BAS-KW-----I</t>
  </si>
  <si>
    <t>Lünerseewerk</t>
  </si>
  <si>
    <t>Tschagguns</t>
  </si>
  <si>
    <t>Kopswerk I</t>
  </si>
  <si>
    <t>https://www.illwerke.at/kopswerk-i.htm</t>
  </si>
  <si>
    <t>Kaprun Hauptstufe</t>
  </si>
  <si>
    <t>Kesselfallstraße 1</t>
  </si>
  <si>
    <t>Speicher: Wasserfallboden</t>
  </si>
  <si>
    <t>14W-TKH-KW-----O</t>
  </si>
  <si>
    <t>Ybbs-Persenbeug</t>
  </si>
  <si>
    <t>Donaudorfstraße 2</t>
  </si>
  <si>
    <t>Ybbs an der Donau</t>
  </si>
  <si>
    <t>14W-BYP-KW-----6</t>
  </si>
  <si>
    <t>Roßhag</t>
  </si>
  <si>
    <t>Dornauberg 62</t>
  </si>
  <si>
    <t>Finkenberg</t>
  </si>
  <si>
    <t>14W-TZR-KW-----I</t>
  </si>
  <si>
    <t>Wallsee-Mitterkirchen</t>
  </si>
  <si>
    <t>Hutting 45</t>
  </si>
  <si>
    <t>Mitterkirchen im Machland</t>
  </si>
  <si>
    <t>14W-BWM-KW-----L</t>
  </si>
  <si>
    <t>Gerlos</t>
  </si>
  <si>
    <t>Rohr 7-11</t>
  </si>
  <si>
    <t>Rohrberg</t>
  </si>
  <si>
    <t>14W-TZG-KW-----H</t>
  </si>
  <si>
    <t>Rodundwerk I</t>
  </si>
  <si>
    <t>Anton-Amman-Straße 14</t>
  </si>
  <si>
    <t>https://www.illwerke.at/rodundwerk-i.htm</t>
  </si>
  <si>
    <t>Melk</t>
  </si>
  <si>
    <t>Hofstättenweg 2</t>
  </si>
  <si>
    <t>Wieden</t>
  </si>
  <si>
    <t>14W-BME-KW-----Q</t>
  </si>
  <si>
    <t>Ottensheim-Wilhering</t>
  </si>
  <si>
    <t>Wilhering</t>
  </si>
  <si>
    <t>14W-BOW-KW-----9</t>
  </si>
  <si>
    <t>Freudenau</t>
  </si>
  <si>
    <t>Am Praterspitz</t>
  </si>
  <si>
    <t>Wien</t>
  </si>
  <si>
    <t>14W-BFR-KW-----A</t>
  </si>
  <si>
    <t>Abwinden-Asten</t>
  </si>
  <si>
    <t>Abwinden 323</t>
  </si>
  <si>
    <t>Abwinden</t>
  </si>
  <si>
    <t>14W-BAA-KW-----D</t>
  </si>
  <si>
    <t>Vermuntwerk</t>
  </si>
  <si>
    <t>Partenen</t>
  </si>
  <si>
    <t>https://www.illwerke.at/vermuntwerk.htm</t>
  </si>
  <si>
    <t>Kelag</t>
  </si>
  <si>
    <t>Feldsee</t>
  </si>
  <si>
    <t>Flattach</t>
  </si>
  <si>
    <t>Kraftwerksgruppe Fragant; Speicher Feldsee; Speicher Wurten</t>
  </si>
  <si>
    <t>https://online.tugraz.at/tug_online/voe_main2.getVollText?pDocumentNr=68082</t>
  </si>
  <si>
    <t>Jochenstein</t>
  </si>
  <si>
    <t>Am Kraftwerk 1</t>
  </si>
  <si>
    <t>D-94107</t>
  </si>
  <si>
    <t>Untergriesbach</t>
  </si>
  <si>
    <t>AT/DE</t>
  </si>
  <si>
    <t>Grenzkraftwerk</t>
  </si>
  <si>
    <t>Malta Oberstufe</t>
  </si>
  <si>
    <t>Malta</t>
  </si>
  <si>
    <t>14W-DMO-KW-----D</t>
  </si>
  <si>
    <t>Schwarzach</t>
  </si>
  <si>
    <t>Schwarzach im Pongau</t>
  </si>
  <si>
    <t>14W-TKS-KW-----P</t>
  </si>
  <si>
    <t>Kaprun Oberstufe (Limberg I)</t>
  </si>
  <si>
    <t>Limbergstraße 21</t>
  </si>
  <si>
    <t>14W-TKO-KW-----S</t>
  </si>
  <si>
    <t>Innerfragant - Oschenik</t>
  </si>
  <si>
    <t>Innerfragant 39</t>
  </si>
  <si>
    <t>Kraftwerksgruppe Fragant</t>
  </si>
  <si>
    <t>http://archive.is/nkDX5#selection-879.225-879.381</t>
  </si>
  <si>
    <t>Salzburg AG</t>
  </si>
  <si>
    <t>Hintermuhr</t>
  </si>
  <si>
    <t>Hintermuhr 50</t>
  </si>
  <si>
    <t>https://www.salzburg-ag.at/?eID=download&amp;uid=271</t>
  </si>
  <si>
    <t>Braunau-Simbach</t>
  </si>
  <si>
    <t>Kraftwerkstraße 58</t>
  </si>
  <si>
    <t>Ranshofen</t>
  </si>
  <si>
    <t>Außerfragant</t>
  </si>
  <si>
    <t>Flattach 72</t>
  </si>
  <si>
    <t>Schärding-Neuhaus</t>
  </si>
  <si>
    <t>Annabrücke</t>
  </si>
  <si>
    <t>Saager 25</t>
  </si>
  <si>
    <t>Saager</t>
  </si>
  <si>
    <t>Fließ</t>
  </si>
  <si>
    <t>Gemeinschaftskraftwerk Inn</t>
  </si>
  <si>
    <t>Feistritz-Ludmannsdorf</t>
  </si>
  <si>
    <t>Ludmannsdorf</t>
  </si>
  <si>
    <t>Edling</t>
  </si>
  <si>
    <t>Völkermarkt</t>
  </si>
  <si>
    <t>Passau-Ingling</t>
  </si>
  <si>
    <t>Innstraße 121</t>
  </si>
  <si>
    <t>D-94036</t>
  </si>
  <si>
    <t>Passau</t>
  </si>
  <si>
    <t>Walgauwerk</t>
  </si>
  <si>
    <t>Eichholz 1</t>
  </si>
  <si>
    <t>Nenzing</t>
  </si>
  <si>
    <t>https://www.illwerke.at/walgauwerk.htm</t>
  </si>
  <si>
    <t>Egglfing-Obernberg</t>
  </si>
  <si>
    <t>Am Innwerk 14</t>
  </si>
  <si>
    <t>D-94072</t>
  </si>
  <si>
    <t>Köfering</t>
  </si>
  <si>
    <t>Rosegg-St. Jakob</t>
  </si>
  <si>
    <t>St. Jakob im Rosental</t>
  </si>
  <si>
    <t>Achenseekraftwerk</t>
  </si>
  <si>
    <t>Tiwagstraße 18</t>
  </si>
  <si>
    <t>Jenbach</t>
  </si>
  <si>
    <t>Schwabeck</t>
  </si>
  <si>
    <t>Wunderstätten 21</t>
  </si>
  <si>
    <t>Lavamünd</t>
  </si>
  <si>
    <t>Ferlach-Maria Rain</t>
  </si>
  <si>
    <t>Ferlach</t>
  </si>
  <si>
    <t>Vorarlberger Kraftwerke AG</t>
  </si>
  <si>
    <t>Langenegg</t>
  </si>
  <si>
    <t>Speicher Bolgenach</t>
  </si>
  <si>
    <t>https://www.vkw.at/kw-langenegg-unternehmen.htm</t>
  </si>
  <si>
    <t>Ennskraftwerke AG</t>
  </si>
  <si>
    <t>Großraming</t>
  </si>
  <si>
    <t>Eisenstraße 85</t>
  </si>
  <si>
    <t>Reichraming</t>
  </si>
  <si>
    <t>https://www.ennskraft.at/Kraftwerke/Grossraming</t>
  </si>
  <si>
    <t>Ering-Frauenstein</t>
  </si>
  <si>
    <t>Innwerkstraße 36</t>
  </si>
  <si>
    <t>D-94140</t>
  </si>
  <si>
    <t>Ering</t>
  </si>
  <si>
    <t>Reißeck Jahresspeicher</t>
  </si>
  <si>
    <t>Unterkolbnitz 68</t>
  </si>
  <si>
    <t>Unterkolbnitz</t>
  </si>
  <si>
    <t>Innerfragant - Wurten</t>
  </si>
  <si>
    <t>ÖBB Infra</t>
  </si>
  <si>
    <t>Uttendorf II</t>
  </si>
  <si>
    <t>Stubachstraße 199</t>
  </si>
  <si>
    <t>Uttendorf</t>
  </si>
  <si>
    <t>Bahnstrom</t>
  </si>
  <si>
    <t>http://www.oebb.at/infrastruktur/de/_p_3_0_fuer_Kunden_Partner/3_6_Bahnstromversorgung/3_6_1_Energieversorgungsanlagen/Kraft-_und_Umformerwerke/Werksgruppe_Mitte.jsp</t>
  </si>
  <si>
    <t>Hieflau</t>
  </si>
  <si>
    <t>Gries 11</t>
  </si>
  <si>
    <t>Sölk</t>
  </si>
  <si>
    <t>Kohlstattweg 130-138</t>
  </si>
  <si>
    <t>Großsölk</t>
  </si>
  <si>
    <t>Amlach</t>
  </si>
  <si>
    <t>https://www.tiwag.at/ueber-die-tiwag/kraftwerke/bestehende-kraftwerke/kraftwerkspark/#c655</t>
  </si>
  <si>
    <t>Oberaudorf-Ebbs</t>
  </si>
  <si>
    <t>Am Inn 1</t>
  </si>
  <si>
    <t>Ebbs</t>
  </si>
  <si>
    <t>St. Pantaleon</t>
  </si>
  <si>
    <t>Gartenstraße 1</t>
  </si>
  <si>
    <t>St. Pantaleon-Erla</t>
  </si>
  <si>
    <t>https://www.ennskraft.at/Kraftwerke/St_Pantaleon</t>
  </si>
  <si>
    <t>Koralpe (Lavamünd)</t>
  </si>
  <si>
    <t>Pfarrdorf 94</t>
  </si>
  <si>
    <t>Pfarrdorf</t>
  </si>
  <si>
    <t>Speicher Soboth</t>
  </si>
  <si>
    <t>http://www.hidroinstitut.si/files/2015/02/Aufsatz_mBilder.pdf</t>
  </si>
  <si>
    <t>Böckstein</t>
  </si>
  <si>
    <t>Heilstollenstraße 11</t>
  </si>
  <si>
    <t>Bad Gastein</t>
  </si>
  <si>
    <t>Tagesspeicher Naßfeld</t>
  </si>
  <si>
    <t>https://www.salzburg-ag.at/erzeugung/unsere-kraftwerke/kraftwerk-bckstein-2593/</t>
  </si>
  <si>
    <t>Energie AG Oberösterreich</t>
  </si>
  <si>
    <t>Traun-Pucking</t>
  </si>
  <si>
    <t>Pucking</t>
  </si>
  <si>
    <t>https://www.energieag.at/Themen/Energie-fuer-Sie/Kraftwerke/Wasserkraftwerke</t>
  </si>
  <si>
    <t>Kreuzeck Tagesspeicher</t>
  </si>
  <si>
    <t>Staning</t>
  </si>
  <si>
    <t>Ennskraftstraße 15</t>
  </si>
  <si>
    <t>Haidershofen</t>
  </si>
  <si>
    <t>https://www.ennskraft.at/Kraftwerke/Staning</t>
  </si>
  <si>
    <t>Marchtrenk</t>
  </si>
  <si>
    <t>EVN Naturkraft GmbH</t>
  </si>
  <si>
    <t>Ottenstein</t>
  </si>
  <si>
    <t>Peygarten-Ottenstein 70</t>
  </si>
  <si>
    <t>Rastenfeld</t>
  </si>
  <si>
    <t>http://atlas.noe.gv.at/atlas/at.gv.noe.atlas.wasserbuch/default.aspx?http://wdvreports.noel.gv.at:8085/wdvreports/?report=WR_WBA&amp;id=171300</t>
  </si>
  <si>
    <t>Malta Unterstufe</t>
  </si>
  <si>
    <t>Ternberg</t>
  </si>
  <si>
    <t>Trattenbacherstraße 5</t>
  </si>
  <si>
    <t>https://www.ennskraft.at/Kraftwerke/Ternberg</t>
  </si>
  <si>
    <t>Losenstein</t>
  </si>
  <si>
    <t>Bahnhofstraße 1</t>
  </si>
  <si>
    <t>https://www.ennskraft.at/Kraftwerke/Losenstein</t>
  </si>
  <si>
    <t>Weyer</t>
  </si>
  <si>
    <t>Steyrer Straße 33-35</t>
  </si>
  <si>
    <t>Schneiderau</t>
  </si>
  <si>
    <t>Spullersee</t>
  </si>
  <si>
    <t>Arlbergstraße 125</t>
  </si>
  <si>
    <t>Dalaas</t>
  </si>
  <si>
    <t>Speicher Spullersee</t>
  </si>
  <si>
    <t>http://www.oebb.at/infrastruktur/de/_p_3_0_fuer_Kunden_Partner/3_6_Bahnstromversorgung/3_6_1_Energieversorgungsanlagen/Kraft-_und_Umformerwerke/Werksgruppe_West.jsp</t>
  </si>
  <si>
    <t>Garsten</t>
  </si>
  <si>
    <t>Werkstraße 10</t>
  </si>
  <si>
    <t>https://www.ennskraft.at/Kraftwerke/Garsten</t>
  </si>
  <si>
    <t>Rosenau</t>
  </si>
  <si>
    <t>Lahrndorfer Straße 127</t>
  </si>
  <si>
    <t>https://www.ennskraft.at/Kraftwerke/Rosenau</t>
  </si>
  <si>
    <t>Partenstein</t>
  </si>
  <si>
    <t>Zirknitz</t>
  </si>
  <si>
    <t>Langkampfen</t>
  </si>
  <si>
    <t>Kufstein</t>
  </si>
  <si>
    <t>Nassfeld</t>
  </si>
  <si>
    <t>Gasteiner Alpenstraße 2</t>
  </si>
  <si>
    <t>Jahresspeicher Bockhartsee</t>
  </si>
  <si>
    <t>https://www.salzburg-ag.at/?eID=download&amp;uid=1089</t>
  </si>
  <si>
    <t>Remsach</t>
  </si>
  <si>
    <t>Erlengrundstraße 16</t>
  </si>
  <si>
    <t>Unterstufe zu KW Nassfeld und KW Böckstein</t>
  </si>
  <si>
    <t>Arnstein</t>
  </si>
  <si>
    <t>Teigitschstraße 4-36</t>
  </si>
  <si>
    <t>Krottendorf-Gaisfeld</t>
  </si>
  <si>
    <t>Krippau</t>
  </si>
  <si>
    <t>Eßling 30</t>
  </si>
  <si>
    <t>Altenmarkt bei St. Gallen</t>
  </si>
  <si>
    <t>Obervermuntwerk I</t>
  </si>
  <si>
    <t>https://www.illwerke.at/obervermuntwerk-i.htm</t>
  </si>
  <si>
    <t>Alberschwende</t>
  </si>
  <si>
    <t>Weitloch 833</t>
  </si>
  <si>
    <t>https://www.vkw.at/kw-alberschwende-unternehmen.htm</t>
  </si>
  <si>
    <t>Schönau</t>
  </si>
  <si>
    <t>Nach der Enns 90</t>
  </si>
  <si>
    <t>Kleinreifling</t>
  </si>
  <si>
    <t>https://www.ennskraft.at/Kraftwerke/Schoenau</t>
  </si>
  <si>
    <t>IKB</t>
  </si>
  <si>
    <t>Untere Sill</t>
  </si>
  <si>
    <t>Viller Berg 3</t>
  </si>
  <si>
    <t>Innsbruck</t>
  </si>
  <si>
    <t>https://www.ikb.at/unternehmen/kraftwerke/kraftwerk-untere-sill/</t>
  </si>
  <si>
    <t>Wiestal</t>
  </si>
  <si>
    <t>Wimberg 61</t>
  </si>
  <si>
    <t>Wimberg</t>
  </si>
  <si>
    <t>Zweite Stufe Kraftwerkskette Wiestal/Strubklamm</t>
  </si>
  <si>
    <t>https://www.salzburg-ag.at/erzeugung/unsere-kraftwerke/kraftwerk-wiestal-2584/</t>
  </si>
  <si>
    <t>Lavamünder Straße 3-9</t>
  </si>
  <si>
    <t>Uttendorf I</t>
  </si>
  <si>
    <t>Bodendorf-Paal</t>
  </si>
  <si>
    <t>Altenmarkt</t>
  </si>
  <si>
    <t>Altenmarkt 26</t>
  </si>
  <si>
    <t>Bösdornau</t>
  </si>
  <si>
    <t>Funsingau</t>
  </si>
  <si>
    <t>Kellerberg</t>
  </si>
  <si>
    <t>Landl</t>
  </si>
  <si>
    <t>Villach</t>
  </si>
  <si>
    <t>Mühlrading</t>
  </si>
  <si>
    <t>Mühlradinger Straße 24</t>
  </si>
  <si>
    <t>Kronstorf</t>
  </si>
  <si>
    <t>https://www.ennskraft.at/Kraftwerke/Muehlrading</t>
  </si>
  <si>
    <t>Dießbach</t>
  </si>
  <si>
    <t>Hohlwegen 2</t>
  </si>
  <si>
    <t>Saalfelden am Steinernen Meer</t>
  </si>
  <si>
    <t>https://www.salzburg-ag.at/?eID=download&amp;uid=1091</t>
  </si>
  <si>
    <t>Paternion</t>
  </si>
  <si>
    <t>Wald</t>
  </si>
  <si>
    <t>Wald 115</t>
  </si>
  <si>
    <t>Wald im Pinzgau</t>
  </si>
  <si>
    <t>https://www.salzburg-ag.at/erzeugung/unsere-kraftwerke/kraftwerk-wald-2591/</t>
  </si>
  <si>
    <t>Kirchbichl</t>
  </si>
  <si>
    <t>Reißeck Tagesspeicher</t>
  </si>
  <si>
    <t>Urstein</t>
  </si>
  <si>
    <t>Puch bei Hallein</t>
  </si>
  <si>
    <t>https://www.salzburg-ag.at/erzeugung/unsere-kraftwerke/kraftwerk-urstein-2583/</t>
  </si>
  <si>
    <t>Fisching</t>
  </si>
  <si>
    <t>Pernegg</t>
  </si>
  <si>
    <t>Braz</t>
  </si>
  <si>
    <t>Innerbraz</t>
  </si>
  <si>
    <t>Enzingerboden</t>
  </si>
  <si>
    <t>Stubach 104</t>
  </si>
  <si>
    <t>Stubach</t>
  </si>
  <si>
    <t>Speicher: Tauernmoossee</t>
  </si>
  <si>
    <t>Lebring</t>
  </si>
  <si>
    <t>Klaus</t>
  </si>
  <si>
    <t>Am Dorferberg 38</t>
  </si>
  <si>
    <t>https://www.ennskraft.at/Kraftwerke/Klaus</t>
  </si>
  <si>
    <t>Oberstufe Lutz</t>
  </si>
  <si>
    <t>Ludesch</t>
  </si>
  <si>
    <t>Speicher Raggal</t>
  </si>
  <si>
    <t>https://www.vkw.at/kw-oberstufe-lutz.htm ; http://cdn1.vol.at/2008/04/VKW_Kraftwerk_Lutz.pdf ; http://cdn2.vol.at/2008/04/KW_Oberstufe_Lutz.pdf</t>
  </si>
  <si>
    <t>Ranna</t>
  </si>
  <si>
    <t>Gössendorf</t>
  </si>
  <si>
    <t>Kalsdorf</t>
  </si>
  <si>
    <t>Obere Sill</t>
  </si>
  <si>
    <t>Sillwerk 1</t>
  </si>
  <si>
    <t>Schönberg im Stubaital</t>
  </si>
  <si>
    <t>https://www.ikb.at/unternehmen/kraftwerke/kraftwerke-obere-sill/</t>
  </si>
  <si>
    <t>Wölla</t>
  </si>
  <si>
    <t>Laufnitzdorf</t>
  </si>
  <si>
    <t>Elektrizitätswerke Reutte</t>
  </si>
  <si>
    <t>Plansee</t>
  </si>
  <si>
    <t>Speicher Plansee</t>
  </si>
  <si>
    <t>http://www.ewr-energie.com/unternehmen/stromerzeugung/</t>
  </si>
  <si>
    <t>Kreuzbergmaut</t>
  </si>
  <si>
    <t>Ellmauthal 47</t>
  </si>
  <si>
    <t>Ellmauthal</t>
  </si>
  <si>
    <t>https://www.salzburg-ag.at/erzeugung/unsere-kraftwerke/kraftwerk-kreuzbergmaut-2599/</t>
  </si>
  <si>
    <t>Freibach</t>
  </si>
  <si>
    <t>Gallizien</t>
  </si>
  <si>
    <t>Datum d Bewilligungsbescheids</t>
  </si>
  <si>
    <t>https://info.ktn.gv.at/wbonline/wbo_wis_search.aspx</t>
  </si>
  <si>
    <t>https://portal.tirol.gv.at/wisSrvPublic/wis/wbo_ww_search.aspx</t>
  </si>
  <si>
    <t>Krumau</t>
  </si>
  <si>
    <t>Speicher Dobra</t>
  </si>
  <si>
    <t>http://atlas.noe.gv.at/atlas/at.gv.noe.atlas.wasserbuch/default.aspx?http://wdvreports.noel.gv.at:8085/wdvreports/?report=WR_WBA&amp;id=1000120065</t>
  </si>
  <si>
    <t>St. Johann</t>
  </si>
  <si>
    <t>Liechtensteinklammstraße 26</t>
  </si>
  <si>
    <t>Plankenau</t>
  </si>
  <si>
    <t>https://www.salzburg-ag.at/erzeugung/unsere-kraftwerke/kraftwerk-st-johann-2597/</t>
  </si>
  <si>
    <t>Obervellach</t>
  </si>
  <si>
    <t>Bischofshofen</t>
  </si>
  <si>
    <t>Buchberg 126</t>
  </si>
  <si>
    <t>https://www.salzburg-ag.at/erzeugung/unsere-kraftwerke/kraftwerk-bischofshofen-2596/</t>
  </si>
  <si>
    <t>Urreiting</t>
  </si>
  <si>
    <t>Maschl 48</t>
  </si>
  <si>
    <t>St. Johann im Pongau</t>
  </si>
  <si>
    <t>https://www.salzburg-ag.at/erzeugung/unsere-kraftwerke/kraftwerk-urreiting-2598/</t>
  </si>
  <si>
    <t>Werfen-Pfarrwerfen</t>
  </si>
  <si>
    <t>Schlaming 46</t>
  </si>
  <si>
    <t>Schlaming</t>
  </si>
  <si>
    <t>https://www.salzburg-ag.at/erzeugung/unsere-kraftwerke/kraftwerk-werfenpfarrwerfen-2595/</t>
  </si>
  <si>
    <t>Dionysen</t>
  </si>
  <si>
    <t>Graz Puntigam</t>
  </si>
  <si>
    <t>Mellach Laufkraftwerk</t>
  </si>
  <si>
    <t>St. Veit</t>
  </si>
  <si>
    <t>Weinzödl</t>
  </si>
  <si>
    <t>Klösterle</t>
  </si>
  <si>
    <t>Danöfen 115a</t>
  </si>
  <si>
    <t>Speicher Burtscha</t>
  </si>
  <si>
    <t>https://www.vkw.at/kw-kloesterle-unternehmen.htm</t>
  </si>
  <si>
    <t>Andelsbuch</t>
  </si>
  <si>
    <t>Bühel 359</t>
  </si>
  <si>
    <t>https://www.vkw.at/kw-andelsbuch-unternehmen.htm</t>
  </si>
  <si>
    <t>Fulpmes</t>
  </si>
  <si>
    <t>Strubklamm</t>
  </si>
  <si>
    <t>Wimberg 78</t>
  </si>
  <si>
    <t>Adnet</t>
  </si>
  <si>
    <t>Oberstufe Kraftwerkskette Wiestal/Strubklamm</t>
  </si>
  <si>
    <t>https://www.salzburg-ag.at/erzeugung/unsere-kraftwerke/kraftwerk-strubklamm-2582/</t>
  </si>
  <si>
    <t>Gralla</t>
  </si>
  <si>
    <t>Bärenwerk</t>
  </si>
  <si>
    <t>--</t>
  </si>
  <si>
    <t>Fusch an der Großglocknerstraße</t>
  </si>
  <si>
    <t>Schütt 2</t>
  </si>
  <si>
    <t>https://www.meinbezirk.at/hermagor/wirtschaft/gail-wasser-liefert-elektrische-energie-d1790542.html</t>
  </si>
  <si>
    <t>Gabersdorf</t>
  </si>
  <si>
    <t>Rabenstein</t>
  </si>
  <si>
    <t>Lambach</t>
  </si>
  <si>
    <t>An der Traun 2</t>
  </si>
  <si>
    <t>Sohlstufe Lehen</t>
  </si>
  <si>
    <t>Makartkai 45</t>
  </si>
  <si>
    <t>Salzburg</t>
  </si>
  <si>
    <t>https://www.salzburg-ag.at/erzeugung/unsere-kraftwerke/kraftwerk-sohlstufe-lehen-2642/</t>
  </si>
  <si>
    <t>Wasserkraftwerk Stanzertal GmbH</t>
  </si>
  <si>
    <t>Stanzertal</t>
  </si>
  <si>
    <t>Strengen</t>
  </si>
  <si>
    <t>Steeg-Überland</t>
  </si>
  <si>
    <t>Obervogau</t>
  </si>
  <si>
    <t>Peggau</t>
  </si>
  <si>
    <t>Spielfeld</t>
  </si>
  <si>
    <t>Wallnerau Salzachstufe</t>
  </si>
  <si>
    <t>Weißhaus</t>
  </si>
  <si>
    <t>Gmunden</t>
  </si>
  <si>
    <t>An der Marienbrücke 9</t>
  </si>
  <si>
    <t>Friesach</t>
  </si>
  <si>
    <t>Stübing</t>
  </si>
  <si>
    <t>Sohlstufe Hallein</t>
  </si>
  <si>
    <t>Neualmerstraße 27</t>
  </si>
  <si>
    <t>Hallein</t>
  </si>
  <si>
    <t>https://www.salzburg-ag.at/erzeugung/unsere-kraftwerke/kraftwerk-sohlstufe-hallein-2581/</t>
  </si>
  <si>
    <t>Kalserbach</t>
  </si>
  <si>
    <t>Kals am Großglockner</t>
  </si>
  <si>
    <t>Unterstufe Gampadels</t>
  </si>
  <si>
    <t>https://www.vkw.at/kw-unterstufe-gampadels-unternehmen.htm</t>
  </si>
  <si>
    <t>Gratkorn</t>
  </si>
  <si>
    <t>Linz AG</t>
  </si>
  <si>
    <t>Kleinmünchen</t>
  </si>
  <si>
    <t>https://www.energieag.at/KW-Lambach-Broschuere.pdf?:hp=1;2;de</t>
  </si>
  <si>
    <t>Zederhaus</t>
  </si>
  <si>
    <t>Rothenwand 15</t>
  </si>
  <si>
    <t>Rothenwand</t>
  </si>
  <si>
    <t>Leoben</t>
  </si>
  <si>
    <t>St. Martin</t>
  </si>
  <si>
    <t>Triebenbach</t>
  </si>
  <si>
    <t>Dorferbach</t>
  </si>
  <si>
    <t>Prägraten am Großvenediger</t>
  </si>
  <si>
    <t>Traunfall</t>
  </si>
  <si>
    <t>EW Wels AG</t>
  </si>
  <si>
    <t>Traunleiten</t>
  </si>
  <si>
    <t>Traunuferstraße 13</t>
  </si>
  <si>
    <t>Steinhaus bei Wels</t>
  </si>
  <si>
    <t>https://www.eww.at/de/ueber-uns/wels-strom/geschaeftsbereiche/erzeugung/wasserkraftwerke.html</t>
  </si>
  <si>
    <t>Kamering</t>
  </si>
  <si>
    <t>Siedlungsweg</t>
  </si>
  <si>
    <t>Stockenboi</t>
  </si>
  <si>
    <t>http://download.nachhaltigwirtschaften.at/pdf/lect-s-binder.pdf</t>
  </si>
  <si>
    <t>Gries</t>
  </si>
  <si>
    <t>Latschauwerk</t>
  </si>
  <si>
    <t>https://www.illwerke.at/latschauwerk.htm</t>
  </si>
  <si>
    <t>Wien Energie GmbH</t>
  </si>
  <si>
    <t>Opponitz</t>
  </si>
  <si>
    <t>Schwarzenbach 16</t>
  </si>
  <si>
    <t>http://atlas.noe.gv.at/atlas/at.gv.noe.atlas.wasserbuch/default.aspx?http://wdvreports.noel.gv.at:8085/wdvreports/?report=WR_WBA&amp;id=157958</t>
  </si>
  <si>
    <t>Gamp</t>
  </si>
  <si>
    <t>https://www.salzburg-ag.at/erzeugung/unsere-kraftwerke/kraftwerk-gamp-2579/</t>
  </si>
  <si>
    <t>Unterstufe Lutz</t>
  </si>
  <si>
    <t>Bludesch</t>
  </si>
  <si>
    <t>Speicher Gstins</t>
  </si>
  <si>
    <t>https://www.vkw.at/kw-unterstufe-lutz-unternehmen.htm ; http://cdn3.vol.at/2008/04/KW_Unterstufe_Lutz.pdf ; http://cdn1.vol.at/2008/04/VKW_Kraftwerk_Lutz.pdf</t>
  </si>
  <si>
    <t>Heinfels</t>
  </si>
  <si>
    <t>Heiterwang</t>
  </si>
  <si>
    <t>Speicher Rotlech</t>
  </si>
  <si>
    <t>Gössnitz</t>
  </si>
  <si>
    <t>Außerfragant 70</t>
  </si>
  <si>
    <t>Salza</t>
  </si>
  <si>
    <t>Brennerwerk</t>
  </si>
  <si>
    <t>Mühlbachl</t>
  </si>
  <si>
    <t>Tröpolach</t>
  </si>
  <si>
    <t>Bodendorf-Mur</t>
  </si>
  <si>
    <t>Rifawerk</t>
  </si>
  <si>
    <t>https://www.illwerke.at/rifawerk.htm</t>
  </si>
  <si>
    <t>Gosau</t>
  </si>
  <si>
    <t>Großarl</t>
  </si>
  <si>
    <t>Arthurwerk</t>
  </si>
  <si>
    <t>Einöden 62</t>
  </si>
  <si>
    <t>Mandling</t>
  </si>
  <si>
    <t>St. Georgen</t>
  </si>
  <si>
    <t>Hollersbach</t>
  </si>
  <si>
    <t>Hollersbach im Pinzgau</t>
  </si>
  <si>
    <t>Rott</t>
  </si>
  <si>
    <t>https://www.salzburg-ag.at/erzeugung/unsere-kraftwerke/kraftwerk-rott-2578/</t>
  </si>
  <si>
    <t>Trattenbach</t>
  </si>
  <si>
    <t>Kreuzschied 332</t>
  </si>
  <si>
    <t>https://www.salzburg-ag.at/erzeugung/unsere-kraftwerke/kraftwerk-trattenbach-2590/</t>
  </si>
  <si>
    <t>Nußdorf bei Wien</t>
  </si>
  <si>
    <t>Wallnerau Unterwasserstufe</t>
  </si>
  <si>
    <t>Malta Hauptstufe</t>
  </si>
  <si>
    <t>Rottau</t>
  </si>
  <si>
    <t>Kraftwerksgruppe Malta; Kraftstation Rottau; Speicher: Gößkar, Galgenbichl</t>
  </si>
  <si>
    <t>Güfili 198</t>
  </si>
  <si>
    <t>Speicher: Kopssee</t>
  </si>
  <si>
    <t>Zillergrund 55</t>
  </si>
  <si>
    <t>Kraftwerk Altenwörth</t>
  </si>
  <si>
    <t>Anton-Amman-Straße</t>
  </si>
  <si>
    <t>Kühtaistraße</t>
  </si>
  <si>
    <t>Latschaustraße</t>
  </si>
  <si>
    <t>http://cdn2.vol.at/2010/02/Rellswerk_UVP.pdf</t>
  </si>
  <si>
    <t>Ybbs-Persenbeug - Turbinenerneuerung</t>
  </si>
  <si>
    <t>Kopswerk</t>
  </si>
  <si>
    <t>Speicher: Schlegeis</t>
  </si>
  <si>
    <t>Gerlos I + II</t>
  </si>
  <si>
    <t>Speicher: Gmünd</t>
  </si>
  <si>
    <t>Kraftwerk Ottensheim-Wilhering</t>
  </si>
  <si>
    <t>Vermuntbahnstraße 47</t>
  </si>
  <si>
    <t>Richard-Helfer-Weg</t>
  </si>
  <si>
    <t>Tauernmoos</t>
  </si>
  <si>
    <t>Speicher: Weißsee; Unterstufe: Tauernmoossee</t>
  </si>
  <si>
    <t>https://infrastruktur.oebb.at/de/projekte-fuer-oesterreich/bahnstrom/kraftwerke-und-frequenzumformer/kraftwerk-tauernmoos</t>
  </si>
  <si>
    <t>Malta Hochalmstraße</t>
  </si>
  <si>
    <t>Kraftwerksgruppe Malta; Speicher: Kölnbrein</t>
  </si>
  <si>
    <t>Kraftwerkstraße 28</t>
  </si>
  <si>
    <t>Speicher: Ausgleichsbecken Brandstatt</t>
  </si>
  <si>
    <t>Badhöring 16</t>
  </si>
  <si>
    <t>St. Florian am Inn</t>
  </si>
  <si>
    <t>Dorfstraße 68</t>
  </si>
  <si>
    <t>Niedörfl Ödk</t>
  </si>
  <si>
    <t>Edlinger Straße</t>
  </si>
  <si>
    <t>Wasserweg</t>
  </si>
  <si>
    <t>Kraftwerksgruppe Reißeck-Kreuzeck; Krafthaus Kolbnitz; Speicher: Großer Mühldorfer See (7,8 Mio m3), Kleiner Mühldorfer See (2,8 Mio m3), Radlsee (2,5 Mio m3), Kesselesee, Quarzsee, Hochalmsee (4,1 Mio m3)</t>
  </si>
  <si>
    <t>https://www.verbund.com/de-at/ueber-verbund/kraftwerke/unsere-kraftwerke/reisseck-jahresspeicher</t>
  </si>
  <si>
    <t>Speicher: Wag</t>
  </si>
  <si>
    <t>Speicher: Großsölk</t>
  </si>
  <si>
    <t>Kraftwerksgruppe Reißeck-Kreuzeck, Kraftstation Kolbnitz, Tagesspeicher Roßwiese</t>
  </si>
  <si>
    <t>https://www.verbund.com/de-at/ueber-verbund/kraftwerke/unsere-kraftwerke/kreuzeck-tagesspeicher</t>
  </si>
  <si>
    <t>Treppelweg</t>
  </si>
  <si>
    <t>Kohlweg</t>
  </si>
  <si>
    <t>Lurnfeld</t>
  </si>
  <si>
    <t>Kraftwerksgruppe Malta; Krafthaus Mölltalbrücke</t>
  </si>
  <si>
    <t>https://www.verbund.com/de-at/ueber-verbund/kraftwerke/unsere-kraftwerke/malta-unterstufe</t>
  </si>
  <si>
    <t>https://www.tiwag.at/fileadmin/user_upload/wasserkraftausbau/kraftwerksprojekte/kraftwerk_kirchbichl-erweiterung/flyer_projektinformationen_kw_kirchbichl.pdf</t>
  </si>
  <si>
    <t>Obervellach II</t>
  </si>
  <si>
    <t>Räuflach 16</t>
  </si>
  <si>
    <t>Räuflach</t>
  </si>
  <si>
    <t>Ersatz für KW Lassach und Obervellach</t>
  </si>
  <si>
    <t>https://infrastruktur.oebb.at/de/projekte-fuer-oesterreich/bahnstrom/kraftwerke-und-frequenzumformer/kraftwerk-obervellach-II</t>
  </si>
  <si>
    <t>Stubach 131</t>
  </si>
  <si>
    <t>Partenstein 22</t>
  </si>
  <si>
    <t>Neuhaus</t>
  </si>
  <si>
    <t>Speicher Langhalsen</t>
  </si>
  <si>
    <t>https://www.energieag.at/KW-Partenstein-Technikbroschuere.pdf?:hp=1;2;de</t>
  </si>
  <si>
    <t>Kufsteiner Wald 2</t>
  </si>
  <si>
    <t>Großkirchheim</t>
  </si>
  <si>
    <t>Silvretta Hochalpenstraße 85a</t>
  </si>
  <si>
    <t>Kraftwerkstraße</t>
  </si>
  <si>
    <t>Bodendorf</t>
  </si>
  <si>
    <t>Weißenstein</t>
  </si>
  <si>
    <t>Badstubenweg 40</t>
  </si>
  <si>
    <t>Gerlos 350</t>
  </si>
  <si>
    <t>Hochsteg 588</t>
  </si>
  <si>
    <t>Bahnhofstraße</t>
  </si>
  <si>
    <t>Kraftwerksgruppe Reißeck-Kreuzeck, Kraftstation Kolbnitz, Speicher Gondelwiese</t>
  </si>
  <si>
    <t>https://www.verbund.com/de-at/ueber-verbund/kraftwerke/unsere-kraftwerke/reisseck-tagesspeicher</t>
  </si>
  <si>
    <t>Viktor-Kaplan-Straße 10</t>
  </si>
  <si>
    <t>Krafthausweg</t>
  </si>
  <si>
    <t>Weißkirchen in der Steiermark</t>
  </si>
  <si>
    <t>E-Werkstraße 1</t>
  </si>
  <si>
    <t>Pernegg an der Mur</t>
  </si>
  <si>
    <t>Lebring - St. Margarethen</t>
  </si>
  <si>
    <t>Arlbergstraße</t>
  </si>
  <si>
    <t>Raggaler Straße</t>
  </si>
  <si>
    <t>Kramesau 12</t>
  </si>
  <si>
    <t>Wesenufer</t>
  </si>
  <si>
    <t>https://www.energieag.at/KW-Ranna-Technikbroschuere.pdf</t>
  </si>
  <si>
    <t>Mölltal Straße</t>
  </si>
  <si>
    <t>Stall</t>
  </si>
  <si>
    <t>Laufnitzdorf 45a</t>
  </si>
  <si>
    <t>Frohnleiten</t>
  </si>
  <si>
    <t>E-Werk-Straße 6</t>
  </si>
  <si>
    <t>Breitenwang</t>
  </si>
  <si>
    <t>Kienburger Straße</t>
  </si>
  <si>
    <t>Huben</t>
  </si>
  <si>
    <t>Krumau am Kamp 547</t>
  </si>
  <si>
    <t>Krumau am Kamp</t>
  </si>
  <si>
    <t>Wagrain-St. Johann</t>
  </si>
  <si>
    <t>Färbergasse 33</t>
  </si>
  <si>
    <t>Graz</t>
  </si>
  <si>
    <t>in Bau (vsl Ende 2019)</t>
  </si>
  <si>
    <t>Gewerbestraße 8</t>
  </si>
  <si>
    <t>St. Veit im Pongau</t>
  </si>
  <si>
    <t>Weißeneggweg 1</t>
  </si>
  <si>
    <t>Mellach</t>
  </si>
  <si>
    <t>Weinzödl 33</t>
  </si>
  <si>
    <t>Sankt Dionysenstraße 66</t>
  </si>
  <si>
    <t>Bruck an der Mur</t>
  </si>
  <si>
    <t>Obere Murstraße</t>
  </si>
  <si>
    <t>Rabensteiner Weg</t>
  </si>
  <si>
    <t>Kraftwerkweg</t>
  </si>
  <si>
    <t>Wagna</t>
  </si>
  <si>
    <t>Schleusenweg</t>
  </si>
  <si>
    <t>Arnoldstein</t>
  </si>
  <si>
    <t>Tiroler Straße</t>
  </si>
  <si>
    <t>Steeg 36</t>
  </si>
  <si>
    <t>Bad Goisern am Hallstättersee</t>
  </si>
  <si>
    <t>Neue Heimat 55</t>
  </si>
  <si>
    <t>Spielfeld 50</t>
  </si>
  <si>
    <t>Murauenstraße</t>
  </si>
  <si>
    <t>Deutschfeistritz 149</t>
  </si>
  <si>
    <t>Deutschfeistritz</t>
  </si>
  <si>
    <t>Unterpinswang 27a</t>
  </si>
  <si>
    <t>Pinswang</t>
  </si>
  <si>
    <t>Brucker Begleitstraße</t>
  </si>
  <si>
    <t>Unterpeischlach 13a</t>
  </si>
  <si>
    <t>Werkweg 3</t>
  </si>
  <si>
    <t>Niederuntersberg 42</t>
  </si>
  <si>
    <t>http://www.umwelt.steiermark.at/cms/dokumente/11262212_9176022/52e69129/KW%20Gratkorn%20Kurzbeschreibung%20Vorhaben.pdf</t>
  </si>
  <si>
    <t>Magerweg 28</t>
  </si>
  <si>
    <t>Linz</t>
  </si>
  <si>
    <t>Südbahnstraße 10</t>
  </si>
  <si>
    <t>Schoberpass Bundesstraße</t>
  </si>
  <si>
    <t>Trieben</t>
  </si>
  <si>
    <t>Oberer Teigitschklammweg</t>
  </si>
  <si>
    <t>St. Martin am Wöllmißberg</t>
  </si>
  <si>
    <t>Hinterbichl 6a</t>
  </si>
  <si>
    <t>https://portal.tirol.gv.at/wisSrvPublic/wis/wbo_wb_auszug.aspx?ANL_ID=T20915770R3&amp;TYPE=O</t>
  </si>
  <si>
    <t>Traunfall 10</t>
  </si>
  <si>
    <t>Desselbrunn</t>
  </si>
  <si>
    <t>Latschau</t>
  </si>
  <si>
    <t>Bruck an der Großglocknerstraße</t>
  </si>
  <si>
    <t>https://www.verbund.com/de-at/ueber-verbund/kraftwerke/unsere-kraftwerke/gries</t>
  </si>
  <si>
    <t>Kalkofenweg</t>
  </si>
  <si>
    <t>Werkstraße</t>
  </si>
  <si>
    <t>Nassfeld Straße</t>
  </si>
  <si>
    <t>Oselitzen</t>
  </si>
  <si>
    <t>https://www.meinbezirk.at/hermagor/lokales/von-troepolach-fliesst-jetzt-der-oekostrom-d742098.html</t>
  </si>
  <si>
    <t>Panzendorf 56</t>
  </si>
  <si>
    <t>https://portal.tirol.gv.at/wisSrvPublic/wis/wbo_wb_auszug.aspx?ANL_ID=T20609606R3&amp;TYPE=O</t>
  </si>
  <si>
    <t>Reutte</t>
  </si>
  <si>
    <t>http://www.ewr-energie.com/unternehmen/stromerzeugung/#c631</t>
  </si>
  <si>
    <t>Salza 16</t>
  </si>
  <si>
    <t>St. Martin am Grimming</t>
  </si>
  <si>
    <t>Wienerbruck</t>
  </si>
  <si>
    <t>Langseitenrotte 49</t>
  </si>
  <si>
    <t>Langseitenrotte</t>
  </si>
  <si>
    <t>Speicher Wienerbruck, Erlaufklause</t>
  </si>
  <si>
    <t>http://www.evn-naturkraft.at/Oekostrom/Wasser/Speicherkraftwerke.aspx</t>
  </si>
  <si>
    <t>Zieglstadl 1</t>
  </si>
  <si>
    <t>Stadtwerke Feldkirch</t>
  </si>
  <si>
    <t>Illspitz</t>
  </si>
  <si>
    <t>Feldkirch</t>
  </si>
  <si>
    <t>https://www.stadtwerke-feldkirch.at/energie/stromerzeugung/copy_of_kraftwerk-illspitz</t>
  </si>
  <si>
    <t>Außerbofa</t>
  </si>
  <si>
    <t>Gosau-Hintertal</t>
  </si>
  <si>
    <t>Au 50</t>
  </si>
  <si>
    <t>Mandling 145</t>
  </si>
  <si>
    <t>Schladming</t>
  </si>
  <si>
    <t>Ruetz</t>
  </si>
  <si>
    <t>Ruetzwerkstraße 8</t>
  </si>
  <si>
    <t>https://www.ikb.at/unternehmen/kraftwerke/kraftwerk-ruetz/</t>
  </si>
  <si>
    <t>E-Werk Zufahrtsweg</t>
  </si>
  <si>
    <t>St. Georgen am Kreischberg</t>
  </si>
  <si>
    <t>Josef-vonSchemerl-Brücke</t>
  </si>
  <si>
    <t>Saalachstraße</t>
  </si>
  <si>
    <t>ab 2020 18 MW zusätzliche Leistung durch Turbinenerneuerung</t>
  </si>
  <si>
    <t>105*</t>
  </si>
  <si>
    <t>https://www.gemeinschaftskraftwerk-inn.com/krafthaus/</t>
  </si>
  <si>
    <t>im Bau</t>
  </si>
  <si>
    <t>AWM est</t>
  </si>
  <si>
    <t>Kirchbichl 1</t>
  </si>
  <si>
    <t>Kirchbichl 2</t>
  </si>
  <si>
    <t>Kirchbichl Dotierkraftwerk</t>
  </si>
  <si>
    <t>Stauziel: 292 müA</t>
  </si>
  <si>
    <t>AWM aus Wasserbuch: https://wis.stmk.gv.at/wisonlineext/</t>
  </si>
  <si>
    <t>Fallhöhe von http://www.ennstalwiki.at/wiki/index.php/Datei:Kraftwerkmandlit2111127wiki.jpg</t>
  </si>
  <si>
    <t>Fallhöhe, AWM aus Wasserbuch: https://portal.tirol.gv.at/wisSrvPublic/wis/wbo_wb_search.aspx</t>
  </si>
  <si>
    <t>Zwischenkraftwerk, AWM von http://vowis.cnv.at/wasserbuch/?ATTR=N&amp;TREE=N&amp;ANL_ID=V4248837&amp;TYPE=S</t>
  </si>
  <si>
    <t>AWM von http://vowis.cnv.at/wasserbuch/?ATTR=N&amp;TREE=N&amp;ANL_ID=V379164&amp;TYPE=S</t>
  </si>
  <si>
    <t>Fallhöhe, AWM aus: http://vowis.cnv.at/wasserbuch/Dokumente/V18490672_KraftwerkKloesterle_Nr.1.pdf</t>
  </si>
  <si>
    <t>AWM aus http://vowis.cnv.at/wasserbuch/Dokumente/URKV527231438_Illspitz4WBFK3831.pdf</t>
  </si>
  <si>
    <t>Grenzkraftwerk, AWM von http://e-gov.ooe.gv.at/wiswb/WISWBAuszug.jsp?wasserbuch=412/0987,%20412/0995</t>
  </si>
  <si>
    <t>Bahnstrom, Fallhöhe, AWM von http://service.salzburg.gv.at/wisonline/wbo_main.aspx</t>
  </si>
  <si>
    <t>Fallhöhe, AWM von http://vowis.cnv.at/wasserbuch/Dokumente/URKV374232711_VKWWBBR1854.pdf</t>
  </si>
  <si>
    <t>Bahnstrom. Fallhöhe, AWM von http://service.salzburg.gv.at/wisonline/wbo_main.aspx</t>
  </si>
  <si>
    <t>Pumpleistung [m^3]</t>
  </si>
  <si>
    <t>Bahnstrom. Fallhöhe, AWM aus http://vowis.cnv.at/wasserbuch/Dokumente/V20908732_Alfenz10WBBZ1525.pdf</t>
  </si>
  <si>
    <t>AWM von https://www.wienenergie.at/eportal3/ep/contentView.do?pageTypeId=67831&amp;channelId=-53365&amp;programId=74495&amp;contentTypeId=1001&amp;contentId=78137</t>
  </si>
  <si>
    <t>AWM aus https://info.ktn.gv.at/wbonline/</t>
  </si>
  <si>
    <t>WB-ID</t>
  </si>
  <si>
    <t>Bahnstrom. AWM, RAV aus https://info.ktn.gv.at/wbonline/</t>
  </si>
  <si>
    <t>Kraftwerksgruppe Fragant, Speicher Wurtenalm</t>
  </si>
  <si>
    <t>Kraftwerksgruppe Fragant, Speicher Oscheniksee</t>
  </si>
  <si>
    <t>Turbinentyp</t>
  </si>
  <si>
    <t>Kaplan</t>
  </si>
  <si>
    <t>https://iwhw.boku.ac.at/LVA816110/kap7Wasserkraftnutzung.pdf</t>
  </si>
  <si>
    <t>source_2</t>
  </si>
  <si>
    <t>Francis</t>
  </si>
  <si>
    <t>Pelton</t>
  </si>
  <si>
    <t>Francis, Pelton</t>
  </si>
  <si>
    <t>Francis, Pelton, Kaplan</t>
  </si>
  <si>
    <t>https://portal.tirol.gv.at/wisSrvPublic/wis/wbo_wb_search.aspx</t>
  </si>
  <si>
    <t>https://portal.tirol.gv.at/wisSrvPublic/wis/wbo_wb_search.aspx#T20895913R3</t>
  </si>
  <si>
    <t>https://portal.tirol.gv.at/wisSrvPublic/wis/wbo_wb_search.aspx#T20915796R3</t>
  </si>
  <si>
    <t>http://www.vol.at/2008/04/VKW_Kraftwerk_Lutz.pdf</t>
  </si>
  <si>
    <t>http://gis.klima-dl.eu/klimadl/modules/informpoint/getDoc.php?mode=iframe&amp;doc_id=230</t>
  </si>
  <si>
    <t>Prutz-Imst</t>
  </si>
  <si>
    <t>http://arge.ph-noe.ac.at/fileadmin/_migrated/content_uploads/TOP14_Pliessnig_TIWAG_Kraftwerke_und_aktuelle_Projekte.pdf</t>
  </si>
  <si>
    <t>Reißeck II</t>
  </si>
  <si>
    <t>http://worldofporr.porr-group.com/index.php?id=4245#/page/3</t>
  </si>
  <si>
    <t>http://globalenergyobservatory.org/geoid/45204</t>
  </si>
  <si>
    <t>https://infrastruktur.oebb.at/file_source/corporate/infra-site/Dokumente/Projekte%20f%C3%BCr%20%C3%96sterreich/Tauernmoos%20-%20Bescheid%20nach%20dem%20Umweltvertr%C3%A4glichkeitspr%C3%BCfungsgesetz%202000.pdf</t>
  </si>
  <si>
    <t>http://www.wasserkraft-stanzertal.at/index.php/beschreibung-kraftwerksanlage.html</t>
  </si>
  <si>
    <t>https://portal.tirol.gv.at/wisSrvPublic/wis/alg_open_file.aspx?OBJECT=URKUNDEN&amp;ID=EEF26CFFB28E9756AF6C8218F3A08038</t>
  </si>
  <si>
    <t>https://www.energieag.at/KW-Partenstein-Broschuere.pdf?:hp=1;2;de</t>
  </si>
  <si>
    <t>https://www.energieag.at/KW-Gosau-Broschuere.pdf?:hp=1;2;de</t>
  </si>
  <si>
    <t>https://www.kelag.at/files/download/Stoerfall_Wiederschwing_Infoblatt.pdf</t>
  </si>
  <si>
    <t>efficiency</t>
  </si>
  <si>
    <t>cap_turbine</t>
  </si>
  <si>
    <t>cap_pump</t>
  </si>
  <si>
    <t>cap_reservoir</t>
  </si>
  <si>
    <t>efficiency_turbine</t>
  </si>
  <si>
    <t>efficiency_pump</t>
  </si>
  <si>
    <t>Bigge</t>
  </si>
  <si>
    <t>Säckingen</t>
  </si>
  <si>
    <t>Bigge Energie GmbH &amp; Co. KG</t>
  </si>
  <si>
    <t>Schluchseewerk Aktiengesellschaft</t>
  </si>
  <si>
    <t xml:space="preserve">Uniper Kraftwerke GmbH </t>
  </si>
  <si>
    <t>In der Stesse 14</t>
  </si>
  <si>
    <t>57439</t>
  </si>
  <si>
    <t>Attendorn</t>
  </si>
  <si>
    <t>Stollenweg 2</t>
  </si>
  <si>
    <t>79713</t>
  </si>
  <si>
    <t>Bad Säckingen</t>
  </si>
  <si>
    <t>Kraftwerkstraße 10</t>
  </si>
  <si>
    <t>34549</t>
  </si>
  <si>
    <t>Edertal Hemfurth-Edersee</t>
  </si>
  <si>
    <t>DE</t>
  </si>
  <si>
    <t>name_bnetza</t>
  </si>
  <si>
    <t>country_code</t>
  </si>
  <si>
    <t>capacity_net_bnetza</t>
  </si>
  <si>
    <t>fuel</t>
  </si>
  <si>
    <t>Pumped storage</t>
  </si>
  <si>
    <t>Waldeck1/Bringhausen</t>
  </si>
  <si>
    <t>Waldeck 2</t>
  </si>
  <si>
    <t>Hemfurth</t>
  </si>
  <si>
    <t>Ederstraße</t>
  </si>
  <si>
    <t>Pumpspeicherwerk Rönkhausen</t>
  </si>
  <si>
    <t>Mark-E AG</t>
  </si>
  <si>
    <t>57413</t>
  </si>
  <si>
    <t>Finnentrop</t>
  </si>
  <si>
    <t xml:space="preserve">Rudolf-Fettweis-Werk     </t>
  </si>
  <si>
    <t>EnBW Energie Baden-Württemberg AG</t>
  </si>
  <si>
    <t>Werkstraße 5</t>
  </si>
  <si>
    <t>76596</t>
  </si>
  <si>
    <t>Forbach</t>
  </si>
  <si>
    <t>Geesthacht</t>
  </si>
  <si>
    <t>PSW Langenprozelten</t>
  </si>
  <si>
    <t>Goldisthal</t>
  </si>
  <si>
    <t>Vattenfall Wasserkraft GmbH</t>
  </si>
  <si>
    <t>Donau-Wasserkraft AG</t>
  </si>
  <si>
    <t>Elbuferstr. 49</t>
  </si>
  <si>
    <t>Am Rotseifenbach</t>
  </si>
  <si>
    <t>21502</t>
  </si>
  <si>
    <t>97737</t>
  </si>
  <si>
    <t>98746</t>
  </si>
  <si>
    <t>Gemünden</t>
  </si>
  <si>
    <t>Happurg</t>
  </si>
  <si>
    <t>Häusern</t>
  </si>
  <si>
    <t>Haupstraße 26</t>
  </si>
  <si>
    <t>Schwarzabruck 2</t>
  </si>
  <si>
    <t>91230</t>
  </si>
  <si>
    <t>79837</t>
  </si>
  <si>
    <t>Koepchenwerk</t>
  </si>
  <si>
    <t>RWE Power AG</t>
  </si>
  <si>
    <t>58313</t>
  </si>
  <si>
    <t>Herdecke</t>
  </si>
  <si>
    <t>Hohenwarte 1</t>
  </si>
  <si>
    <t>Hohenwarte 2</t>
  </si>
  <si>
    <t>Preßwitzer Str. 25</t>
  </si>
  <si>
    <t>07338</t>
  </si>
  <si>
    <t>Hohenwarte</t>
  </si>
  <si>
    <t>Walchensee</t>
  </si>
  <si>
    <t>Erzhausen</t>
  </si>
  <si>
    <t>Statkraft Markets GmbH</t>
  </si>
  <si>
    <t>Altjoch 21</t>
  </si>
  <si>
    <t>82431</t>
  </si>
  <si>
    <t>37547</t>
  </si>
  <si>
    <t>Kochel am See</t>
  </si>
  <si>
    <t>Kreiensen</t>
  </si>
  <si>
    <t>Markersbach</t>
  </si>
  <si>
    <t>Oberbeckenstr. 8</t>
  </si>
  <si>
    <t>08352</t>
  </si>
  <si>
    <t>Pumpspeicherkraftwerk Glems</t>
  </si>
  <si>
    <t>Unterer Hof 2</t>
  </si>
  <si>
    <t>72555</t>
  </si>
  <si>
    <t>Metzingen-Glems</t>
  </si>
  <si>
    <t>Niederwartha</t>
  </si>
  <si>
    <t>Am Fährhaus 4</t>
  </si>
  <si>
    <t>01462</t>
  </si>
  <si>
    <t>Roßhaupten</t>
  </si>
  <si>
    <t>Forggenseestraße 100</t>
  </si>
  <si>
    <t>87672</t>
  </si>
  <si>
    <t>Bleiloch</t>
  </si>
  <si>
    <t>Gräfenwarth</t>
  </si>
  <si>
    <t>07907</t>
  </si>
  <si>
    <t>Schleiz</t>
  </si>
  <si>
    <t>ENGIE Deutschland AG</t>
  </si>
  <si>
    <t>Seestraße 6</t>
  </si>
  <si>
    <t>92555</t>
  </si>
  <si>
    <t>Trausnitz</t>
  </si>
  <si>
    <t>Leitzach 1</t>
  </si>
  <si>
    <t>Leitzach 2</t>
  </si>
  <si>
    <t>Stadtwerke München GmbH</t>
  </si>
  <si>
    <t>83620</t>
  </si>
  <si>
    <t>Vagen</t>
  </si>
  <si>
    <t>Kraftwerk Waldshut</t>
  </si>
  <si>
    <t>Kraftwerkstraße 13</t>
  </si>
  <si>
    <t>79761</t>
  </si>
  <si>
    <t>Waldshut-Tiengen</t>
  </si>
  <si>
    <t>Wehr</t>
  </si>
  <si>
    <t>Wendefurth</t>
  </si>
  <si>
    <t>Todtmooserstr. 150</t>
  </si>
  <si>
    <t>Hangstraße</t>
  </si>
  <si>
    <t>79664</t>
  </si>
  <si>
    <t>38889</t>
  </si>
  <si>
    <t>Witznau</t>
  </si>
  <si>
    <t>Schwarzatalstr.5</t>
  </si>
  <si>
    <t>79777</t>
  </si>
  <si>
    <t>https://www.llk.de/wasserkraftwerke/bigge/</t>
  </si>
  <si>
    <t>http://www.schluchseewerk.de/images/download/TD-BadS_Schluchseewerk.pdf</t>
  </si>
  <si>
    <t>http://www.schluchseewerk.de/images/download/TD-Witznau_Schluchseewerk.pdf</t>
  </si>
  <si>
    <t>http://www.schluchseewerk.de/images/download/TD-Haeusern_Schluchseewerk1.pdf</t>
  </si>
  <si>
    <t>http://www.schluchseewerk.de/images/download/TD-Waldshut_Schluchseewerk.pdf</t>
  </si>
  <si>
    <t>http://www.schluchseewerk.de/images/download/TD-Wehr_Schluchseewerk.pdf</t>
  </si>
  <si>
    <t>https://powerplants.vattenfall.com/de/niederwartha</t>
  </si>
  <si>
    <t>https://powerplants.vattenfall.com/de/bleiloch</t>
  </si>
  <si>
    <t>https://powerplants.vattenfall.com/de/geesthacht</t>
  </si>
  <si>
    <t>https://powerplants.vattenfall.com/de/wendefurt</t>
  </si>
  <si>
    <t>https://powerplants.vattenfall.com/de/markersbach</t>
  </si>
  <si>
    <t>Francis, Ossberger</t>
  </si>
  <si>
    <t>https://powerplants.vattenfall.com/de/hohenwarte-ii</t>
  </si>
  <si>
    <t>https://powerplants.vattenfall.com/de/goldisthal</t>
  </si>
  <si>
    <t>https://www.statkraft.de/globalassets/old-contains-the-old-folder-structure/documents/de/kraftwerke-in-deutschland/erzhausen_fb_2014_rz3mini.pdf</t>
  </si>
  <si>
    <t>currently undergoing maintenance till 2021</t>
  </si>
  <si>
    <t>https://powerplants.vattenfall.com/de/hohenwarte-i</t>
  </si>
  <si>
    <t>https://de.wikipedia.org/wiki/Koepchenwerk</t>
  </si>
  <si>
    <t>https://www.rwe.com/web/cms/mediablob/de/236158/data/0/3/Pumpspeicherkraftwerk-Herdecke.pdf</t>
  </si>
  <si>
    <t>Kraftwerksgruppe Pfreimd (Reisach)</t>
  </si>
  <si>
    <t>https://de.wikipedia.org/wiki/Pumpspeicherwerk_Reisach</t>
  </si>
  <si>
    <t>Kraftwerksgruppe Pfreimd (Tanzmühle)</t>
  </si>
  <si>
    <t>https://www.engie-deutschland.de/de/kraftwerksgruppe-pfreimd-technik</t>
  </si>
  <si>
    <t>https://www.swm.de/privatkunden/unternehmen/energieerzeugung/wasserkraft.html</t>
  </si>
  <si>
    <t>https://www.frankshalbwissen.de/wp-content/uploads/2012/09/energie-aus-wasserkraft-strom-erzeugen-nach-bed_16502255.pdf</t>
  </si>
  <si>
    <t>https://www.frankshalbwissen.de/wp-content/uploads/2012/09/pumpspeicher-kraftwerk-hohenwarte-ii_16502365.pdf</t>
  </si>
  <si>
    <t>https://de.wikipedia.org/wiki/Pumpspeicherkraftwerk_Langenprozelten</t>
  </si>
  <si>
    <t>https://www.enbw.com/media/konzern/docs/energieerzeugung/enbw-flyer_pumpspeicherwerk_glems.pdf</t>
  </si>
  <si>
    <t>https://de.wikipedia.org/wiki/Pumpspeicherwerk_R%C3%B6nkhausen</t>
  </si>
  <si>
    <t>https://de.wikipedia.org/wiki/Forggensee</t>
  </si>
  <si>
    <t>https://www.enbw.com/media/konzern/docs/energieerzeugung/fachaufsatz-wasserwirtschaft-unterirdisches-speicherbecken-fuer-das-pumpspeicherkraftwerk-forbach.pdf</t>
  </si>
  <si>
    <t>https://www.enbw.com/media/konzern/docs/energieerzeugung/17.-talsperrensymposium-unterirdisches-speicherbecken-fuer-das-pumpspeicherkraftwerk-forbach.pdf</t>
  </si>
  <si>
    <t>http://www.wasserkraft-ja-bitte.com/fileadmin/wasserkraft/user_upload/Redakteure/Dokumente/Uniper/Kraftwerk_Walchensee.pdf</t>
  </si>
  <si>
    <t>https://de.wikipedia.org/wiki/Pumpspeicherkraftwerk_Waldeck#Waldeck_II</t>
  </si>
  <si>
    <t>energy_max</t>
  </si>
  <si>
    <t>power_in</t>
  </si>
  <si>
    <t>power_out</t>
  </si>
  <si>
    <t>efficiency_out</t>
  </si>
  <si>
    <t>efficiency_in</t>
  </si>
  <si>
    <t>Moos 25</t>
  </si>
  <si>
    <t>Speicher Freibach</t>
  </si>
  <si>
    <t>https://www.kelag.at/files/download/Stoerfall_Freibach_Infoblatt.pdf</t>
  </si>
  <si>
    <t>https://www.meinbezirk.at/voelkermarkt/c-wirtschaft/revisionsarbeiten-beim-speicherkraftwerk-freibach_a1613741</t>
  </si>
  <si>
    <t>Rellswerk</t>
  </si>
  <si>
    <t>Illwerke AG</t>
  </si>
  <si>
    <t>https://www.illwerkevkw.at/rellswerk.htm</t>
  </si>
  <si>
    <t>Vandans</t>
  </si>
  <si>
    <t>Obervermuntwerk II</t>
  </si>
  <si>
    <t>https://www.illwerkevkw.at/obervermuntwerk-ii.htm</t>
  </si>
  <si>
    <t>https://de.wikipedia.org/wiki/Obervermuntwerk_II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</si>
</sst>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0" borderId="0" xfId="0" applyFill="1"/>
    <xf numFmtId="0" fontId="0" fillId="0" borderId="0" xfId="0" quotePrefix="1" applyFill="1"/>
    <xf numFmtId="164" fontId="0" fillId="0" borderId="0" xfId="0" applyNumberFormat="1" applyFill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Fill="1"/>
    <xf numFmtId="0" fontId="4" fillId="0" borderId="0" xfId="1"/>
    <xf numFmtId="165" fontId="0" fillId="0" borderId="0" xfId="0" applyNumberFormat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164" fontId="5" fillId="0" borderId="0" xfId="0" applyNumberFormat="1" applyFont="1" applyFill="1"/>
    <xf numFmtId="0" fontId="0" fillId="3" borderId="0" xfId="0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kb.at/unternehmen/kraftwerke/kraftwerk-untere-sill/" TargetMode="External"/><Relationship Id="rId7" Type="http://schemas.openxmlformats.org/officeDocument/2006/relationships/hyperlink" Target="https://de.wikipedia.org/wiki/Obervermuntwerk_II" TargetMode="External"/><Relationship Id="rId2" Type="http://schemas.openxmlformats.org/officeDocument/2006/relationships/hyperlink" Target="http://www.ewr-energie.com/unternehmen/stromerzeugung/" TargetMode="External"/><Relationship Id="rId1" Type="http://schemas.openxmlformats.org/officeDocument/2006/relationships/hyperlink" Target="https://www.vkw.at/kw-kloesterle-unternehmen.htm" TargetMode="External"/><Relationship Id="rId6" Type="http://schemas.openxmlformats.org/officeDocument/2006/relationships/hyperlink" Target="https://www.illwerkevkw.at/obervermuntwerk-ii.htm" TargetMode="External"/><Relationship Id="rId5" Type="http://schemas.openxmlformats.org/officeDocument/2006/relationships/hyperlink" Target="https://www.meinbezirk.at/voelkermarkt/c-wirtschaft/revisionsarbeiten-beim-speicherkraftwerk-freibach_a1613741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kelag.at/files/download/Stoerfall_Freibach_Infoblatt.pdf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owerplants.vattenfall.com/de/goldisthal" TargetMode="External"/><Relationship Id="rId18" Type="http://schemas.openxmlformats.org/officeDocument/2006/relationships/hyperlink" Target="https://www.rwe.com/web/cms/mediablob/de/236158/data/0/3/Pumpspeicherkraftwerk-Herdecke.pdf" TargetMode="External"/><Relationship Id="rId26" Type="http://schemas.openxmlformats.org/officeDocument/2006/relationships/hyperlink" Target="https://www.frankshalbwissen.de/wp-content/uploads/2012/09/pumpspeicher-kraftwerk-hohenwarte-ii_16502365.pdf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engie-deutschland.de/de/kraftwerksgruppe-pfreimd-technik" TargetMode="External"/><Relationship Id="rId34" Type="http://schemas.openxmlformats.org/officeDocument/2006/relationships/hyperlink" Target="https://de.wikipedia.org/wiki/Forggensee" TargetMode="External"/><Relationship Id="rId7" Type="http://schemas.openxmlformats.org/officeDocument/2006/relationships/hyperlink" Target="https://powerplants.vattenfall.com/de/niederwartha" TargetMode="External"/><Relationship Id="rId12" Type="http://schemas.openxmlformats.org/officeDocument/2006/relationships/hyperlink" Target="https://powerplants.vattenfall.com/de/hohenwarte-ii" TargetMode="External"/><Relationship Id="rId17" Type="http://schemas.openxmlformats.org/officeDocument/2006/relationships/hyperlink" Target="https://de.wikipedia.org/wiki/Koepchenwerk" TargetMode="External"/><Relationship Id="rId25" Type="http://schemas.openxmlformats.org/officeDocument/2006/relationships/hyperlink" Target="https://www.frankshalbwissen.de/wp-content/uploads/2012/09/pumpspeicher-kraftwerk-hohenwarte-ii_16502365.pdf" TargetMode="External"/><Relationship Id="rId33" Type="http://schemas.openxmlformats.org/officeDocument/2006/relationships/hyperlink" Target="https://de.wikipedia.org/wiki/Pumpspeicherwerk_R%C3%B6nkhausen" TargetMode="External"/><Relationship Id="rId38" Type="http://schemas.openxmlformats.org/officeDocument/2006/relationships/hyperlink" Target="https://de.wikipedia.org/wiki/Pumpspeicherkraftwerk_Waldeck" TargetMode="External"/><Relationship Id="rId2" Type="http://schemas.openxmlformats.org/officeDocument/2006/relationships/hyperlink" Target="http://www.schluchseewerk.de/images/download/TD-BadS_Schluchseewerk.pdf" TargetMode="External"/><Relationship Id="rId16" Type="http://schemas.openxmlformats.org/officeDocument/2006/relationships/hyperlink" Target="https://powerplants.vattenfall.com/de/hohenwarte-i" TargetMode="External"/><Relationship Id="rId20" Type="http://schemas.openxmlformats.org/officeDocument/2006/relationships/hyperlink" Target="https://www.engie-deutschland.de/de/kraftwerksgruppe-pfreimd-technik" TargetMode="External"/><Relationship Id="rId29" Type="http://schemas.openxmlformats.org/officeDocument/2006/relationships/hyperlink" Target="https://www.frankshalbwissen.de/wp-content/uploads/2012/09/energie-aus-wasserkraft-strom-erzeugen-nach-bed_16502255.pdf" TargetMode="External"/><Relationship Id="rId1" Type="http://schemas.openxmlformats.org/officeDocument/2006/relationships/hyperlink" Target="https://www.llk.de/wasserkraftwerke/bigge/" TargetMode="External"/><Relationship Id="rId6" Type="http://schemas.openxmlformats.org/officeDocument/2006/relationships/hyperlink" Target="http://www.schluchseewerk.de/images/download/TD-Wehr_Schluchseewerk.pdf" TargetMode="External"/><Relationship Id="rId11" Type="http://schemas.openxmlformats.org/officeDocument/2006/relationships/hyperlink" Target="https://powerplants.vattenfall.com/de/markersbach" TargetMode="External"/><Relationship Id="rId24" Type="http://schemas.openxmlformats.org/officeDocument/2006/relationships/hyperlink" Target="https://www.frankshalbwissen.de/wp-content/uploads/2012/09/energie-aus-wasserkraft-strom-erzeugen-nach-bed_16502255.pdf" TargetMode="External"/><Relationship Id="rId32" Type="http://schemas.openxmlformats.org/officeDocument/2006/relationships/hyperlink" Target="https://www.enbw.com/media/konzern/docs/energieerzeugung/enbw-flyer_pumpspeicherwerk_glems.pdf" TargetMode="External"/><Relationship Id="rId37" Type="http://schemas.openxmlformats.org/officeDocument/2006/relationships/hyperlink" Target="http://www.wasserkraft-ja-bitte.com/fileadmin/wasserkraft/user_upload/Redakteure/Dokumente/Uniper/Kraftwerk_Walchensee.pdf" TargetMode="External"/><Relationship Id="rId5" Type="http://schemas.openxmlformats.org/officeDocument/2006/relationships/hyperlink" Target="http://www.schluchseewerk.de/images/download/TD-Waldshut_Schluchseewerk.pdf" TargetMode="External"/><Relationship Id="rId15" Type="http://schemas.openxmlformats.org/officeDocument/2006/relationships/hyperlink" Target="https://www.statkraft.de/globalassets/old-contains-the-old-folder-structure/documents/de/kraftwerke-in-deutschland/erzhausen_fb_2014_rz3mini.pdf" TargetMode="External"/><Relationship Id="rId23" Type="http://schemas.openxmlformats.org/officeDocument/2006/relationships/hyperlink" Target="https://www.swm.de/privatkunden/unternehmen/energieerzeugung/wasserkraft.html" TargetMode="External"/><Relationship Id="rId28" Type="http://schemas.openxmlformats.org/officeDocument/2006/relationships/hyperlink" Target="https://www.frankshalbwissen.de/wp-content/uploads/2012/09/energie-aus-wasserkraft-strom-erzeugen-nach-bed_16502255.pdf" TargetMode="External"/><Relationship Id="rId36" Type="http://schemas.openxmlformats.org/officeDocument/2006/relationships/hyperlink" Target="https://www.enbw.com/media/konzern/docs/energieerzeugung/17.-talsperrensymposium-unterirdisches-speicherbecken-fuer-das-pumpspeicherkraftwerk-forbach.pdf" TargetMode="External"/><Relationship Id="rId10" Type="http://schemas.openxmlformats.org/officeDocument/2006/relationships/hyperlink" Target="https://powerplants.vattenfall.com/de/wendefurt" TargetMode="External"/><Relationship Id="rId19" Type="http://schemas.openxmlformats.org/officeDocument/2006/relationships/hyperlink" Target="https://de.wikipedia.org/wiki/Pumpspeicherwerk_Reisach" TargetMode="External"/><Relationship Id="rId31" Type="http://schemas.openxmlformats.org/officeDocument/2006/relationships/hyperlink" Target="https://de.wikipedia.org/wiki/Pumpspeicherkraftwerk_Langenprozelten" TargetMode="External"/><Relationship Id="rId4" Type="http://schemas.openxmlformats.org/officeDocument/2006/relationships/hyperlink" Target="http://www.schluchseewerk.de/images/download/TD-Haeusern_Schluchseewerk1.pdf" TargetMode="External"/><Relationship Id="rId9" Type="http://schemas.openxmlformats.org/officeDocument/2006/relationships/hyperlink" Target="https://powerplants.vattenfall.com/de/geesthacht" TargetMode="External"/><Relationship Id="rId14" Type="http://schemas.openxmlformats.org/officeDocument/2006/relationships/hyperlink" Target="https://www.frankshalbwissen.de/wp-content/uploads/2012/09/energie-aus-wasserkraft-strom-erzeugen-nach-bed_16502255.pdf" TargetMode="External"/><Relationship Id="rId22" Type="http://schemas.openxmlformats.org/officeDocument/2006/relationships/hyperlink" Target="https://www.swm.de/privatkunden/unternehmen/energieerzeugung/wasserkraft.html" TargetMode="External"/><Relationship Id="rId27" Type="http://schemas.openxmlformats.org/officeDocument/2006/relationships/hyperlink" Target="https://www.frankshalbwissen.de/wp-content/uploads/2012/09/energie-aus-wasserkraft-strom-erzeugen-nach-bed_16502255.pdf" TargetMode="External"/><Relationship Id="rId30" Type="http://schemas.openxmlformats.org/officeDocument/2006/relationships/hyperlink" Target="https://www.frankshalbwissen.de/wp-content/uploads/2012/09/energie-aus-wasserkraft-strom-erzeugen-nach-bed_16502255.pdf" TargetMode="External"/><Relationship Id="rId35" Type="http://schemas.openxmlformats.org/officeDocument/2006/relationships/hyperlink" Target="https://www.enbw.com/media/konzern/docs/energieerzeugung/fachaufsatz-wasserwirtschaft-unterirdisches-speicherbecken-fuer-das-pumpspeicherkraftwerk-forbach.pdf" TargetMode="External"/><Relationship Id="rId8" Type="http://schemas.openxmlformats.org/officeDocument/2006/relationships/hyperlink" Target="https://powerplants.vattenfall.com/de/bleiloch" TargetMode="External"/><Relationship Id="rId3" Type="http://schemas.openxmlformats.org/officeDocument/2006/relationships/hyperlink" Target="http://www.schluchseewerk.de/images/download/TD-Witznau_Schluchseewer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32"/>
  <sheetViews>
    <sheetView tabSelected="1" zoomScale="85" zoomScaleNormal="85" workbookViewId="0">
      <pane ySplit="1" topLeftCell="A211" activePane="bottomLeft" state="frozen"/>
      <selection pane="bottomLeft" activeCell="M233" sqref="M233"/>
    </sheetView>
  </sheetViews>
  <sheetFormatPr baseColWidth="10" defaultRowHeight="15" x14ac:dyDescent="0.25"/>
  <cols>
    <col min="1" max="1" width="26.28515625" customWidth="1"/>
    <col min="2" max="2" width="27.85546875" customWidth="1"/>
    <col min="3" max="5" width="11.42578125" customWidth="1"/>
    <col min="6" max="6" width="10.85546875" customWidth="1"/>
    <col min="7" max="8" width="11.42578125" customWidth="1"/>
    <col min="9" max="9" width="16" bestFit="1" customWidth="1"/>
    <col min="10" max="20" width="11.42578125" customWidth="1"/>
    <col min="25" max="26" width="11.42578125" style="7"/>
  </cols>
  <sheetData>
    <row r="1" spans="1:37" s="1" customFormat="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871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702</v>
      </c>
      <c r="Q1" s="2" t="s">
        <v>14</v>
      </c>
      <c r="R1" s="2" t="s">
        <v>15</v>
      </c>
      <c r="S1" s="2" t="s">
        <v>16</v>
      </c>
      <c r="T1" s="2" t="s">
        <v>699</v>
      </c>
      <c r="U1" t="s">
        <v>17</v>
      </c>
      <c r="V1" t="s">
        <v>18</v>
      </c>
      <c r="W1" t="s">
        <v>19</v>
      </c>
      <c r="X1" t="s">
        <v>675</v>
      </c>
      <c r="Y1" s="7" t="s">
        <v>20</v>
      </c>
      <c r="Z1" s="7" t="s">
        <v>869</v>
      </c>
      <c r="AA1" t="s">
        <v>21</v>
      </c>
      <c r="AB1" t="s">
        <v>870</v>
      </c>
      <c r="AC1" t="s">
        <v>691</v>
      </c>
      <c r="AD1" t="s">
        <v>723</v>
      </c>
      <c r="AE1" t="s">
        <v>872</v>
      </c>
      <c r="AF1" t="s">
        <v>873</v>
      </c>
      <c r="AG1" t="s">
        <v>695</v>
      </c>
      <c r="AH1"/>
      <c r="AI1"/>
      <c r="AJ1"/>
      <c r="AK1"/>
    </row>
    <row r="2" spans="1:37" x14ac:dyDescent="0.25">
      <c r="A2" t="s">
        <v>780</v>
      </c>
      <c r="B2" t="s">
        <v>779</v>
      </c>
      <c r="D2" t="s">
        <v>781</v>
      </c>
      <c r="E2" t="s">
        <v>782</v>
      </c>
      <c r="F2" t="s">
        <v>743</v>
      </c>
      <c r="G2">
        <v>165</v>
      </c>
      <c r="H2" t="s">
        <v>25</v>
      </c>
      <c r="I2" t="s">
        <v>26</v>
      </c>
      <c r="M2">
        <v>1989</v>
      </c>
      <c r="O2" t="s">
        <v>853</v>
      </c>
      <c r="P2" t="s">
        <v>852</v>
      </c>
      <c r="R2">
        <v>51.41048</v>
      </c>
      <c r="S2">
        <v>7.4531399999999994</v>
      </c>
      <c r="U2">
        <v>155.35</v>
      </c>
      <c r="V2">
        <v>110</v>
      </c>
      <c r="X2">
        <v>132.76472481493403</v>
      </c>
      <c r="Y2" s="7">
        <v>1533000</v>
      </c>
      <c r="Z2" s="7">
        <v>0.63875000000000004</v>
      </c>
      <c r="AA2">
        <v>0.59</v>
      </c>
      <c r="AB2">
        <v>154</v>
      </c>
      <c r="AC2">
        <v>102</v>
      </c>
      <c r="AD2">
        <f>ROUND(0.95*IF($T2="Pelton",0.875,IF($T2="Kaplan",0.9,0.925))*IF($I2="Pumped Storage",0.875,1),2)</f>
        <v>0.77</v>
      </c>
      <c r="AE2">
        <f>ROUND(SQRT($AD2),3)*0.975</f>
        <v>0.85507500000000003</v>
      </c>
      <c r="AF2">
        <f>ROUND(SQRT($AD2),3)*1.025</f>
        <v>0.89892499999999997</v>
      </c>
    </row>
    <row r="3" spans="1:37" x14ac:dyDescent="0.25">
      <c r="A3" t="s">
        <v>731</v>
      </c>
      <c r="B3" s="4" t="s">
        <v>729</v>
      </c>
      <c r="C3" t="s">
        <v>734</v>
      </c>
      <c r="D3" t="s">
        <v>735</v>
      </c>
      <c r="E3" t="s">
        <v>736</v>
      </c>
      <c r="F3" t="s">
        <v>743</v>
      </c>
      <c r="G3">
        <v>15</v>
      </c>
      <c r="H3" t="s">
        <v>25</v>
      </c>
      <c r="I3" t="s">
        <v>36</v>
      </c>
      <c r="M3">
        <v>1965</v>
      </c>
      <c r="O3" t="s">
        <v>835</v>
      </c>
      <c r="R3">
        <v>51.093173</v>
      </c>
      <c r="S3">
        <v>7.8627199999999986</v>
      </c>
      <c r="T3" t="s">
        <v>703</v>
      </c>
      <c r="U3">
        <v>53</v>
      </c>
      <c r="V3">
        <v>33</v>
      </c>
      <c r="W3">
        <v>22</v>
      </c>
      <c r="X3">
        <v>35.377358490566039</v>
      </c>
      <c r="Y3" s="7">
        <v>171700000</v>
      </c>
      <c r="Z3" s="7">
        <v>21.679292929292931</v>
      </c>
      <c r="AD3">
        <f>ROUND(0.95*IF($T3="Pelton",0.875,IF($T3="Kaplan",0.9,0.925))*IF($I3="Pumped Storage",0.875,1),2)</f>
        <v>0.88</v>
      </c>
      <c r="AE3">
        <f>ROUND(SQRT($AD3),3)*0.975</f>
        <v>0.91454999999999997</v>
      </c>
      <c r="AF3">
        <f>ROUND(SQRT($AD3),3)*1.025</f>
        <v>0.9614499999999998</v>
      </c>
    </row>
    <row r="4" spans="1:37" x14ac:dyDescent="0.25">
      <c r="A4" t="s">
        <v>732</v>
      </c>
      <c r="B4" t="s">
        <v>826</v>
      </c>
      <c r="C4" t="s">
        <v>828</v>
      </c>
      <c r="D4" t="s">
        <v>830</v>
      </c>
      <c r="E4" t="s">
        <v>826</v>
      </c>
      <c r="F4" t="s">
        <v>743</v>
      </c>
      <c r="G4">
        <v>910</v>
      </c>
      <c r="H4" t="s">
        <v>25</v>
      </c>
      <c r="I4" t="s">
        <v>26</v>
      </c>
      <c r="M4">
        <v>1975</v>
      </c>
      <c r="O4" t="s">
        <v>840</v>
      </c>
      <c r="R4">
        <v>47.64529898</v>
      </c>
      <c r="S4">
        <v>7.9181994500000004</v>
      </c>
      <c r="T4" t="s">
        <v>703</v>
      </c>
      <c r="U4">
        <v>625</v>
      </c>
      <c r="V4">
        <v>180</v>
      </c>
      <c r="X4">
        <v>182</v>
      </c>
      <c r="Y4" s="7">
        <v>4400000</v>
      </c>
      <c r="Z4" s="7">
        <v>6.1790123456790136</v>
      </c>
      <c r="AA4">
        <v>6.0730000000000004</v>
      </c>
      <c r="AB4">
        <v>980</v>
      </c>
      <c r="AC4">
        <v>144</v>
      </c>
      <c r="AD4">
        <f>ROUND(0.95*IF($T4="Pelton",0.875,IF($T4="Kaplan",0.9,0.925))*IF($I4="Pumped Storage",0.875,1),2)</f>
        <v>0.77</v>
      </c>
      <c r="AE4">
        <f>ROUND(SQRT($AD4),3)*0.975</f>
        <v>0.85507500000000003</v>
      </c>
      <c r="AF4">
        <f>ROUND(SQRT($AD4),3)*1.025</f>
        <v>0.89892499999999997</v>
      </c>
    </row>
    <row r="5" spans="1:37" x14ac:dyDescent="0.25">
      <c r="A5" t="s">
        <v>732</v>
      </c>
      <c r="B5" t="s">
        <v>730</v>
      </c>
      <c r="C5" t="s">
        <v>737</v>
      </c>
      <c r="D5" t="s">
        <v>738</v>
      </c>
      <c r="E5" t="s">
        <v>739</v>
      </c>
      <c r="F5" t="s">
        <v>743</v>
      </c>
      <c r="G5">
        <v>360</v>
      </c>
      <c r="H5" t="s">
        <v>25</v>
      </c>
      <c r="I5" t="s">
        <v>26</v>
      </c>
      <c r="M5">
        <v>1966</v>
      </c>
      <c r="O5" t="s">
        <v>836</v>
      </c>
      <c r="R5">
        <v>47.565415999999999</v>
      </c>
      <c r="S5">
        <v>7.9540350000000002</v>
      </c>
      <c r="T5" t="s">
        <v>703</v>
      </c>
      <c r="U5">
        <v>400</v>
      </c>
      <c r="V5">
        <v>96</v>
      </c>
      <c r="W5">
        <v>400</v>
      </c>
      <c r="X5">
        <v>112.5</v>
      </c>
      <c r="Y5" s="7">
        <v>2100000</v>
      </c>
      <c r="Z5" s="7">
        <v>2.1875</v>
      </c>
      <c r="AA5">
        <v>2.0640000000000001</v>
      </c>
      <c r="AB5">
        <v>296</v>
      </c>
      <c r="AC5">
        <v>67</v>
      </c>
      <c r="AD5">
        <f>ROUND(0.95*IF($T5="Pelton",0.875,IF($T5="Kaplan",0.9,0.925))*IF($I5="Pumped Storage",0.875,1),2)</f>
        <v>0.77</v>
      </c>
      <c r="AE5">
        <f>ROUND(SQRT($AD5),3)*0.975</f>
        <v>0.85507500000000003</v>
      </c>
      <c r="AF5">
        <f>ROUND(SQRT($AD5),3)*1.025</f>
        <v>0.89892499999999997</v>
      </c>
    </row>
    <row r="6" spans="1:37" x14ac:dyDescent="0.25">
      <c r="A6" t="s">
        <v>754</v>
      </c>
      <c r="B6" t="s">
        <v>753</v>
      </c>
      <c r="D6" t="s">
        <v>755</v>
      </c>
      <c r="E6" t="s">
        <v>756</v>
      </c>
      <c r="F6" t="s">
        <v>743</v>
      </c>
      <c r="G6">
        <v>138</v>
      </c>
      <c r="H6" t="s">
        <v>25</v>
      </c>
      <c r="I6" t="s">
        <v>26</v>
      </c>
      <c r="M6">
        <v>1969</v>
      </c>
      <c r="O6" t="s">
        <v>863</v>
      </c>
      <c r="R6">
        <v>51.22475</v>
      </c>
      <c r="S6">
        <v>7.9928100000000004</v>
      </c>
      <c r="T6" t="s">
        <v>703</v>
      </c>
      <c r="U6">
        <v>270</v>
      </c>
      <c r="V6">
        <v>55</v>
      </c>
      <c r="X6">
        <v>63.888888888888886</v>
      </c>
      <c r="Y6" s="7">
        <v>1000000</v>
      </c>
      <c r="Z6" s="7">
        <v>0.69696969696969691</v>
      </c>
      <c r="AA6">
        <v>0.69</v>
      </c>
      <c r="AB6">
        <v>140</v>
      </c>
      <c r="AD6">
        <f>ROUND(0.95*IF($T6="Pelton",0.875,IF($T6="Kaplan",0.9,0.925))*IF($I6="Pumped Storage",0.875,1),2)</f>
        <v>0.77</v>
      </c>
      <c r="AE6">
        <f>ROUND(SQRT($AD6),3)*0.975</f>
        <v>0.85507500000000003</v>
      </c>
      <c r="AF6">
        <f>ROUND(SQRT($AD6),3)*1.025</f>
        <v>0.89892499999999997</v>
      </c>
    </row>
    <row r="7" spans="1:37" x14ac:dyDescent="0.25">
      <c r="A7" t="s">
        <v>732</v>
      </c>
      <c r="B7" t="s">
        <v>774</v>
      </c>
      <c r="C7" t="s">
        <v>776</v>
      </c>
      <c r="D7" t="s">
        <v>778</v>
      </c>
      <c r="E7" t="s">
        <v>774</v>
      </c>
      <c r="F7" t="s">
        <v>743</v>
      </c>
      <c r="G7">
        <v>100</v>
      </c>
      <c r="H7" t="s">
        <v>25</v>
      </c>
      <c r="I7" t="s">
        <v>26</v>
      </c>
      <c r="M7">
        <v>1931</v>
      </c>
      <c r="O7" t="s">
        <v>838</v>
      </c>
      <c r="R7">
        <v>47.75459</v>
      </c>
      <c r="S7">
        <v>8.1878700000000002</v>
      </c>
      <c r="T7" t="s">
        <v>703</v>
      </c>
      <c r="U7">
        <v>200</v>
      </c>
      <c r="V7">
        <v>86</v>
      </c>
      <c r="X7">
        <v>62.5</v>
      </c>
      <c r="Y7" s="7">
        <v>108000000</v>
      </c>
      <c r="Z7" s="7">
        <v>34.883720930232556</v>
      </c>
      <c r="AA7">
        <v>0.46300000000000002</v>
      </c>
      <c r="AB7">
        <v>100</v>
      </c>
      <c r="AC7">
        <v>40</v>
      </c>
      <c r="AD7">
        <f>ROUND(0.95*IF($T7="Pelton",0.875,IF($T7="Kaplan",0.9,0.925))*IF($I7="Pumped Storage",0.875,1),2)</f>
        <v>0.77</v>
      </c>
      <c r="AE7">
        <f>ROUND(SQRT($AD7),3)*0.975</f>
        <v>0.85507500000000003</v>
      </c>
      <c r="AF7">
        <f>ROUND(SQRT($AD7),3)*1.025</f>
        <v>0.89892499999999997</v>
      </c>
    </row>
    <row r="8" spans="1:37" x14ac:dyDescent="0.25">
      <c r="A8" t="s">
        <v>732</v>
      </c>
      <c r="B8" t="s">
        <v>822</v>
      </c>
      <c r="C8" t="s">
        <v>823</v>
      </c>
      <c r="D8" t="s">
        <v>824</v>
      </c>
      <c r="E8" t="s">
        <v>825</v>
      </c>
      <c r="F8" t="s">
        <v>743</v>
      </c>
      <c r="G8">
        <v>150</v>
      </c>
      <c r="H8" t="s">
        <v>25</v>
      </c>
      <c r="I8" t="s">
        <v>26</v>
      </c>
      <c r="M8">
        <v>1951</v>
      </c>
      <c r="O8" t="s">
        <v>839</v>
      </c>
      <c r="R8">
        <v>47.61777</v>
      </c>
      <c r="S8">
        <v>8.1926000000000005</v>
      </c>
      <c r="T8" t="s">
        <v>703</v>
      </c>
      <c r="U8">
        <v>160</v>
      </c>
      <c r="V8">
        <v>140</v>
      </c>
      <c r="W8">
        <v>170</v>
      </c>
      <c r="X8">
        <v>117.1875</v>
      </c>
      <c r="Y8" s="7">
        <v>3520000</v>
      </c>
      <c r="Z8" s="7">
        <v>1.0476190476190477</v>
      </c>
      <c r="AA8">
        <v>0.40200000000000002</v>
      </c>
      <c r="AB8">
        <v>80</v>
      </c>
      <c r="AC8">
        <v>40</v>
      </c>
      <c r="AD8">
        <f>ROUND(0.95*IF($T8="Pelton",0.875,IF($T8="Kaplan",0.9,0.925))*IF($I8="Pumped Storage",0.875,1),2)</f>
        <v>0.77</v>
      </c>
      <c r="AE8">
        <f>ROUND(SQRT($AD8),3)*0.975</f>
        <v>0.85507500000000003</v>
      </c>
      <c r="AF8">
        <f>ROUND(SQRT($AD8),3)*1.025</f>
        <v>0.89892499999999997</v>
      </c>
    </row>
    <row r="9" spans="1:37" x14ac:dyDescent="0.25">
      <c r="A9" t="s">
        <v>732</v>
      </c>
      <c r="B9" t="s">
        <v>832</v>
      </c>
      <c r="C9" t="s">
        <v>833</v>
      </c>
      <c r="D9" t="s">
        <v>834</v>
      </c>
      <c r="E9" t="s">
        <v>832</v>
      </c>
      <c r="F9" t="s">
        <v>743</v>
      </c>
      <c r="G9">
        <v>220</v>
      </c>
      <c r="H9" t="s">
        <v>25</v>
      </c>
      <c r="I9" t="s">
        <v>26</v>
      </c>
      <c r="M9">
        <v>1943</v>
      </c>
      <c r="O9" t="s">
        <v>837</v>
      </c>
      <c r="R9">
        <v>47.687910000000002</v>
      </c>
      <c r="S9">
        <v>8.2515900000000002</v>
      </c>
      <c r="T9" t="s">
        <v>703</v>
      </c>
      <c r="U9">
        <v>250</v>
      </c>
      <c r="V9">
        <v>133</v>
      </c>
      <c r="W9">
        <v>230</v>
      </c>
      <c r="X9">
        <v>110</v>
      </c>
      <c r="Y9" s="7">
        <v>1290000</v>
      </c>
      <c r="Z9" s="7">
        <v>0.59273182957393489</v>
      </c>
      <c r="AA9">
        <v>0.626</v>
      </c>
      <c r="AB9">
        <v>128</v>
      </c>
      <c r="AC9">
        <v>40</v>
      </c>
      <c r="AD9">
        <f>ROUND(0.95*IF($T9="Pelton",0.875,IF($T9="Kaplan",0.9,0.925))*IF($I9="Pumped Storage",0.875,1),2)</f>
        <v>0.77</v>
      </c>
      <c r="AE9">
        <f>ROUND(SQRT($AD9),3)*0.975</f>
        <v>0.85507500000000003</v>
      </c>
      <c r="AF9">
        <f>ROUND(SQRT($AD9),3)*1.025</f>
        <v>0.89892499999999997</v>
      </c>
    </row>
    <row r="10" spans="1:37" x14ac:dyDescent="0.25">
      <c r="A10" t="s">
        <v>758</v>
      </c>
      <c r="B10" t="s">
        <v>757</v>
      </c>
      <c r="C10" t="s">
        <v>759</v>
      </c>
      <c r="D10" t="s">
        <v>760</v>
      </c>
      <c r="E10" t="s">
        <v>761</v>
      </c>
      <c r="F10" t="s">
        <v>743</v>
      </c>
      <c r="G10">
        <v>43</v>
      </c>
      <c r="H10" t="s">
        <v>25</v>
      </c>
      <c r="I10" t="s">
        <v>26</v>
      </c>
      <c r="M10">
        <v>1926</v>
      </c>
      <c r="O10" t="s">
        <v>865</v>
      </c>
      <c r="P10" t="s">
        <v>866</v>
      </c>
      <c r="R10">
        <v>48.669383500000002</v>
      </c>
      <c r="S10">
        <v>8.3530476169999996</v>
      </c>
      <c r="T10" t="s">
        <v>704</v>
      </c>
      <c r="U10">
        <v>357</v>
      </c>
      <c r="V10">
        <v>15</v>
      </c>
      <c r="X10">
        <v>15.056022408963585</v>
      </c>
      <c r="Y10" s="7">
        <v>14000000</v>
      </c>
      <c r="Z10" s="7">
        <v>11.148148148148149</v>
      </c>
      <c r="AB10">
        <v>22</v>
      </c>
      <c r="AD10">
        <f>ROUND(0.95*IF($T10="Pelton",0.875,IF($T10="Kaplan",0.9,0.925))*IF($I10="Pumped Storage",0.875,1),2)</f>
        <v>0.73</v>
      </c>
      <c r="AE10">
        <f>ROUND(SQRT($AD10),3)*0.975</f>
        <v>0.83265</v>
      </c>
      <c r="AF10">
        <f>ROUND(SQRT($AD10),3)*1.025</f>
        <v>0.87534999999999985</v>
      </c>
    </row>
    <row r="11" spans="1:37" x14ac:dyDescent="0.25">
      <c r="A11" t="s">
        <v>733</v>
      </c>
      <c r="B11" t="s">
        <v>751</v>
      </c>
      <c r="C11" t="s">
        <v>752</v>
      </c>
      <c r="D11" t="s">
        <v>741</v>
      </c>
      <c r="E11" t="s">
        <v>742</v>
      </c>
      <c r="F11" t="s">
        <v>743</v>
      </c>
      <c r="G11">
        <v>20</v>
      </c>
      <c r="H11" t="s">
        <v>25</v>
      </c>
      <c r="I11" t="s">
        <v>36</v>
      </c>
      <c r="M11">
        <v>1915</v>
      </c>
      <c r="R11">
        <v>51.167138999999999</v>
      </c>
      <c r="S11">
        <v>9.0468320000000002</v>
      </c>
      <c r="X11" t="e">
        <v>#DIV/0!</v>
      </c>
      <c r="AD11">
        <f>ROUND(0.95*IF($T11="Pelton",0.875,IF($T11="Kaplan",0.9,0.925))*IF($I11="Pumped Storage",0.875,1),2)</f>
        <v>0.88</v>
      </c>
      <c r="AE11">
        <f>ROUND(SQRT($AD11),3)*0.975</f>
        <v>0.91454999999999997</v>
      </c>
      <c r="AF11">
        <f>ROUND(SQRT($AD11),3)*1.025</f>
        <v>0.9614499999999998</v>
      </c>
    </row>
    <row r="12" spans="1:37" x14ac:dyDescent="0.25">
      <c r="A12" t="s">
        <v>733</v>
      </c>
      <c r="B12" t="s">
        <v>750</v>
      </c>
      <c r="C12" t="s">
        <v>740</v>
      </c>
      <c r="D12" t="s">
        <v>741</v>
      </c>
      <c r="E12" t="s">
        <v>742</v>
      </c>
      <c r="F12" t="s">
        <v>743</v>
      </c>
      <c r="G12">
        <v>480</v>
      </c>
      <c r="H12" t="s">
        <v>25</v>
      </c>
      <c r="I12" t="s">
        <v>26</v>
      </c>
      <c r="M12">
        <v>1974</v>
      </c>
      <c r="O12" t="s">
        <v>868</v>
      </c>
      <c r="R12">
        <v>51.167138999999999</v>
      </c>
      <c r="S12">
        <v>9.0468320000000002</v>
      </c>
      <c r="U12">
        <v>360</v>
      </c>
      <c r="V12">
        <v>167</v>
      </c>
      <c r="X12">
        <v>166.66666666666666</v>
      </c>
      <c r="Y12" s="7">
        <v>4400000</v>
      </c>
      <c r="Z12" s="7">
        <v>3.5129740518962076</v>
      </c>
      <c r="AA12">
        <v>3.4279999999999999</v>
      </c>
      <c r="AB12">
        <v>480</v>
      </c>
      <c r="AD12">
        <f>ROUND(0.95*IF($T12="Pelton",0.875,IF($T12="Kaplan",0.9,0.925))*IF($I12="Pumped Storage",0.875,1),2)</f>
        <v>0.77</v>
      </c>
      <c r="AE12">
        <f>ROUND(SQRT($AD12),3)*0.975</f>
        <v>0.85507500000000003</v>
      </c>
      <c r="AF12">
        <f>ROUND(SQRT($AD12),3)*1.025</f>
        <v>0.89892499999999997</v>
      </c>
    </row>
    <row r="13" spans="1:37" x14ac:dyDescent="0.25">
      <c r="A13" t="s">
        <v>733</v>
      </c>
      <c r="B13" t="s">
        <v>749</v>
      </c>
      <c r="C13" t="s">
        <v>740</v>
      </c>
      <c r="D13" t="s">
        <v>741</v>
      </c>
      <c r="E13" t="s">
        <v>742</v>
      </c>
      <c r="F13" t="s">
        <v>743</v>
      </c>
      <c r="G13">
        <v>145</v>
      </c>
      <c r="H13" t="s">
        <v>25</v>
      </c>
      <c r="I13" t="s">
        <v>26</v>
      </c>
      <c r="M13">
        <v>1931</v>
      </c>
      <c r="R13">
        <v>51.167138999999999</v>
      </c>
      <c r="S13">
        <v>9.0468320000000002</v>
      </c>
      <c r="T13" t="s">
        <v>703</v>
      </c>
      <c r="U13">
        <v>302</v>
      </c>
      <c r="V13">
        <v>15</v>
      </c>
      <c r="X13">
        <v>60.016556291390728</v>
      </c>
      <c r="Y13" s="7">
        <v>690000</v>
      </c>
      <c r="Z13" s="7">
        <v>1.8527777777777776</v>
      </c>
      <c r="AA13">
        <v>0.47799999999999998</v>
      </c>
      <c r="AB13">
        <v>140</v>
      </c>
      <c r="AD13">
        <f>ROUND(0.95*IF($T13="Pelton",0.875,IF($T13="Kaplan",0.9,0.925))*IF($I13="Pumped Storage",0.875,1),2)</f>
        <v>0.77</v>
      </c>
      <c r="AE13">
        <f>ROUND(SQRT($AD13),3)*0.975</f>
        <v>0.85507500000000003</v>
      </c>
      <c r="AF13">
        <f>ROUND(SQRT($AD13),3)*1.025</f>
        <v>0.89892499999999997</v>
      </c>
    </row>
    <row r="14" spans="1:37" x14ac:dyDescent="0.25">
      <c r="A14" t="s">
        <v>758</v>
      </c>
      <c r="B14" t="s">
        <v>799</v>
      </c>
      <c r="C14" t="s">
        <v>800</v>
      </c>
      <c r="D14" t="s">
        <v>801</v>
      </c>
      <c r="E14" t="s">
        <v>802</v>
      </c>
      <c r="F14" t="s">
        <v>743</v>
      </c>
      <c r="G14">
        <v>90</v>
      </c>
      <c r="H14" t="s">
        <v>25</v>
      </c>
      <c r="I14" t="s">
        <v>26</v>
      </c>
      <c r="M14">
        <v>1964</v>
      </c>
      <c r="O14" t="s">
        <v>862</v>
      </c>
      <c r="R14">
        <v>48.504989999999999</v>
      </c>
      <c r="S14">
        <v>9.2869200000000003</v>
      </c>
      <c r="T14" t="s">
        <v>703</v>
      </c>
      <c r="U14">
        <v>283</v>
      </c>
      <c r="V14">
        <v>36</v>
      </c>
      <c r="X14">
        <v>39.752650176678443</v>
      </c>
      <c r="Y14" s="7">
        <v>900000</v>
      </c>
      <c r="Z14" s="7">
        <v>0.625</v>
      </c>
      <c r="AA14">
        <v>0.56000000000000005</v>
      </c>
      <c r="AB14">
        <v>68</v>
      </c>
      <c r="AC14">
        <v>20</v>
      </c>
      <c r="AD14">
        <f>ROUND(0.95*IF($T14="Pelton",0.875,IF($T14="Kaplan",0.9,0.925))*IF($I14="Pumped Storage",0.875,1),2)</f>
        <v>0.77</v>
      </c>
      <c r="AE14">
        <f>ROUND(SQRT($AD14),3)*0.975</f>
        <v>0.85507500000000003</v>
      </c>
      <c r="AF14">
        <f>ROUND(SQRT($AD14),3)*1.025</f>
        <v>0.89892499999999997</v>
      </c>
    </row>
    <row r="15" spans="1:37" x14ac:dyDescent="0.25">
      <c r="A15" s="4" t="s">
        <v>655</v>
      </c>
      <c r="B15" s="4" t="s">
        <v>656</v>
      </c>
      <c r="C15" s="4"/>
      <c r="D15" s="4">
        <v>6800</v>
      </c>
      <c r="E15" s="4" t="s">
        <v>657</v>
      </c>
      <c r="F15" s="4" t="s">
        <v>24</v>
      </c>
      <c r="G15" s="4">
        <v>7.2</v>
      </c>
      <c r="H15" s="4" t="s">
        <v>25</v>
      </c>
      <c r="I15" s="4" t="s">
        <v>60</v>
      </c>
      <c r="J15" s="4"/>
      <c r="K15" s="4"/>
      <c r="L15" s="4">
        <v>0</v>
      </c>
      <c r="M15" s="4">
        <v>2015</v>
      </c>
      <c r="N15" s="4" t="s">
        <v>686</v>
      </c>
      <c r="O15" s="4" t="s">
        <v>658</v>
      </c>
      <c r="P15" s="4"/>
      <c r="Q15" s="4"/>
      <c r="R15" s="4">
        <v>47.296377</v>
      </c>
      <c r="S15" s="4">
        <v>9.5572569999999999</v>
      </c>
      <c r="T15" s="4"/>
      <c r="U15" s="4">
        <v>8</v>
      </c>
      <c r="V15" s="4">
        <v>120</v>
      </c>
      <c r="W15" s="4">
        <v>28.5</v>
      </c>
      <c r="X15" s="6">
        <f>125/$U15*$G15</f>
        <v>112.5</v>
      </c>
      <c r="Y15" s="9"/>
      <c r="Z15" s="9"/>
      <c r="AA15" s="4"/>
      <c r="AB15" s="4"/>
      <c r="AC15" s="4"/>
      <c r="AD15" s="4"/>
      <c r="AG15" s="4"/>
      <c r="AH15" s="4"/>
      <c r="AI15" s="4"/>
      <c r="AJ15" s="4"/>
      <c r="AK15" s="4"/>
    </row>
    <row r="16" spans="1:37" x14ac:dyDescent="0.25">
      <c r="A16" t="s">
        <v>766</v>
      </c>
      <c r="B16" t="s">
        <v>763</v>
      </c>
      <c r="D16" t="s">
        <v>770</v>
      </c>
      <c r="E16" t="s">
        <v>772</v>
      </c>
      <c r="F16" t="s">
        <v>743</v>
      </c>
      <c r="G16">
        <v>164</v>
      </c>
      <c r="H16" t="s">
        <v>25</v>
      </c>
      <c r="I16" t="s">
        <v>26</v>
      </c>
      <c r="M16">
        <v>1974</v>
      </c>
      <c r="P16" t="s">
        <v>861</v>
      </c>
      <c r="R16">
        <v>50.053130000000003</v>
      </c>
      <c r="S16">
        <v>9.5813699999999997</v>
      </c>
      <c r="U16">
        <v>320</v>
      </c>
      <c r="V16">
        <v>64</v>
      </c>
      <c r="X16">
        <v>64.0625</v>
      </c>
      <c r="Y16" s="7">
        <v>1675000</v>
      </c>
      <c r="Z16" s="7">
        <v>1.1922743055555554</v>
      </c>
      <c r="AA16">
        <v>0.95</v>
      </c>
      <c r="AB16">
        <v>154</v>
      </c>
      <c r="AD16">
        <f>ROUND(0.95*IF($T16="Pelton",0.875,IF($T16="Kaplan",0.9,0.925))*IF($I16="Pumped Storage",0.875,1),2)</f>
        <v>0.77</v>
      </c>
      <c r="AE16">
        <f>ROUND(SQRT($AD16),3)*0.975</f>
        <v>0.85507500000000003</v>
      </c>
      <c r="AF16">
        <f>ROUND(SQRT($AD16),3)*1.025</f>
        <v>0.89892499999999997</v>
      </c>
    </row>
    <row r="17" spans="1:32" x14ac:dyDescent="0.25">
      <c r="A17" t="s">
        <v>29</v>
      </c>
      <c r="B17" t="s">
        <v>168</v>
      </c>
      <c r="C17" t="s">
        <v>169</v>
      </c>
      <c r="D17">
        <v>6710</v>
      </c>
      <c r="E17" t="s">
        <v>170</v>
      </c>
      <c r="F17" t="s">
        <v>24</v>
      </c>
      <c r="G17">
        <v>86</v>
      </c>
      <c r="H17" t="s">
        <v>25</v>
      </c>
      <c r="I17" t="s">
        <v>60</v>
      </c>
      <c r="L17">
        <v>0</v>
      </c>
      <c r="M17">
        <v>1984</v>
      </c>
      <c r="O17" t="s">
        <v>171</v>
      </c>
      <c r="R17">
        <v>47.198853</v>
      </c>
      <c r="S17">
        <v>9.6697290000000002</v>
      </c>
      <c r="T17" t="s">
        <v>703</v>
      </c>
      <c r="U17">
        <v>162</v>
      </c>
      <c r="V17">
        <v>68</v>
      </c>
      <c r="W17">
        <v>356</v>
      </c>
      <c r="X17" s="6">
        <f>125/$U17*$G17</f>
        <v>66.358024691358025</v>
      </c>
    </row>
    <row r="18" spans="1:32" x14ac:dyDescent="0.25">
      <c r="A18" s="4" t="s">
        <v>186</v>
      </c>
      <c r="B18" s="4" t="s">
        <v>474</v>
      </c>
      <c r="C18" t="s">
        <v>639</v>
      </c>
      <c r="D18">
        <v>6719</v>
      </c>
      <c r="E18" t="s">
        <v>475</v>
      </c>
      <c r="F18" t="s">
        <v>24</v>
      </c>
      <c r="G18">
        <v>8.6</v>
      </c>
      <c r="H18" t="s">
        <v>25</v>
      </c>
      <c r="I18" t="s">
        <v>36</v>
      </c>
      <c r="J18" t="s">
        <v>476</v>
      </c>
      <c r="L18">
        <v>0</v>
      </c>
      <c r="M18">
        <v>1959</v>
      </c>
      <c r="O18" t="s">
        <v>477</v>
      </c>
      <c r="P18" t="s">
        <v>710</v>
      </c>
      <c r="R18">
        <v>47.182608000000002</v>
      </c>
      <c r="S18">
        <v>9.7374860000000005</v>
      </c>
      <c r="T18" t="s">
        <v>703</v>
      </c>
      <c r="U18">
        <v>72</v>
      </c>
      <c r="V18">
        <v>15</v>
      </c>
      <c r="W18" s="4">
        <v>38.200000000000003</v>
      </c>
      <c r="X18" s="6">
        <f>125/$U18*$G18</f>
        <v>14.930555555555555</v>
      </c>
      <c r="Y18" s="7">
        <v>50000</v>
      </c>
      <c r="Z18" s="11">
        <f>Y18/V18/60/60*G18/1000</f>
        <v>7.9629629629629634E-3</v>
      </c>
      <c r="AB18">
        <v>0</v>
      </c>
      <c r="AD18">
        <f>ROUND(0.95*IF($T18="Pelton",0.875,IF($T18="Kaplan",0.9,0.925))*IF($I18="Pumped Storage",0.875,1),2)</f>
        <v>0.88</v>
      </c>
      <c r="AE18">
        <f>ROUND(SQRT($AD18),3)*0.975</f>
        <v>0.91454999999999997</v>
      </c>
      <c r="AF18">
        <f>ROUND(SQRT($AD18),3)*1.025</f>
        <v>0.9614499999999998</v>
      </c>
    </row>
    <row r="19" spans="1:32" x14ac:dyDescent="0.25">
      <c r="A19" s="4" t="s">
        <v>186</v>
      </c>
      <c r="B19" s="4" t="s">
        <v>345</v>
      </c>
      <c r="C19" t="s">
        <v>578</v>
      </c>
      <c r="D19">
        <v>6713</v>
      </c>
      <c r="E19" t="s">
        <v>346</v>
      </c>
      <c r="F19" t="s">
        <v>24</v>
      </c>
      <c r="G19">
        <v>19.3</v>
      </c>
      <c r="H19" t="s">
        <v>25</v>
      </c>
      <c r="I19" t="s">
        <v>36</v>
      </c>
      <c r="J19" t="s">
        <v>347</v>
      </c>
      <c r="L19">
        <v>0</v>
      </c>
      <c r="M19">
        <v>1967</v>
      </c>
      <c r="O19" t="s">
        <v>348</v>
      </c>
      <c r="P19" t="s">
        <v>710</v>
      </c>
      <c r="R19">
        <v>47.204864000000001</v>
      </c>
      <c r="S19">
        <v>9.7880839999999996</v>
      </c>
      <c r="T19" t="s">
        <v>703</v>
      </c>
      <c r="U19">
        <v>130</v>
      </c>
      <c r="V19">
        <v>20</v>
      </c>
      <c r="W19" s="4">
        <v>73.599999999999994</v>
      </c>
      <c r="X19" s="6">
        <f>125/$U19*$G19</f>
        <v>18.55769230769231</v>
      </c>
      <c r="Y19" s="7">
        <v>2000000</v>
      </c>
      <c r="Z19" s="11">
        <f>Y19/V19/60/60*G19/1000</f>
        <v>0.5361111111111112</v>
      </c>
      <c r="AB19">
        <v>0</v>
      </c>
      <c r="AD19">
        <f>ROUND(0.95*IF($T19="Pelton",0.875,IF($T19="Kaplan",0.9,0.925))*IF($I19="Pumped Storage",0.875,1),2)</f>
        <v>0.88</v>
      </c>
      <c r="AE19">
        <f>ROUND(SQRT($AD19),3)*0.975</f>
        <v>0.91454999999999997</v>
      </c>
      <c r="AF19">
        <f>ROUND(SQRT($AD19),3)*1.025</f>
        <v>0.9614499999999998</v>
      </c>
    </row>
    <row r="20" spans="1:32" x14ac:dyDescent="0.25">
      <c r="A20" s="4" t="s">
        <v>186</v>
      </c>
      <c r="B20" s="4" t="s">
        <v>288</v>
      </c>
      <c r="C20" t="s">
        <v>289</v>
      </c>
      <c r="D20">
        <v>6861</v>
      </c>
      <c r="E20" t="s">
        <v>288</v>
      </c>
      <c r="F20" s="4" t="s">
        <v>24</v>
      </c>
      <c r="G20" s="4">
        <v>30</v>
      </c>
      <c r="H20" s="4" t="s">
        <v>25</v>
      </c>
      <c r="I20" s="4" t="s">
        <v>60</v>
      </c>
      <c r="L20">
        <v>0</v>
      </c>
      <c r="M20" s="4">
        <v>1992</v>
      </c>
      <c r="N20" s="4" t="s">
        <v>684</v>
      </c>
      <c r="O20" s="4" t="s">
        <v>290</v>
      </c>
      <c r="P20" s="4"/>
      <c r="Q20" s="4"/>
      <c r="R20" s="4">
        <v>47.470478999999997</v>
      </c>
      <c r="S20" s="4">
        <v>9.8620730000000005</v>
      </c>
      <c r="T20" s="4" t="s">
        <v>703</v>
      </c>
      <c r="U20" s="4">
        <v>96</v>
      </c>
      <c r="V20" s="4">
        <v>38</v>
      </c>
      <c r="W20" s="4">
        <v>96.4</v>
      </c>
      <c r="X20" s="6">
        <f>125/$U20*$G20</f>
        <v>39.0625</v>
      </c>
    </row>
    <row r="21" spans="1:32" x14ac:dyDescent="0.25">
      <c r="A21" s="4" t="s">
        <v>186</v>
      </c>
      <c r="B21" s="4" t="s">
        <v>187</v>
      </c>
      <c r="C21" t="s">
        <v>410</v>
      </c>
      <c r="D21">
        <v>6941</v>
      </c>
      <c r="E21" t="s">
        <v>187</v>
      </c>
      <c r="F21" t="s">
        <v>24</v>
      </c>
      <c r="G21">
        <v>74</v>
      </c>
      <c r="H21" t="s">
        <v>25</v>
      </c>
      <c r="I21" t="s">
        <v>36</v>
      </c>
      <c r="J21" t="s">
        <v>188</v>
      </c>
      <c r="L21">
        <v>0</v>
      </c>
      <c r="M21">
        <v>1979</v>
      </c>
      <c r="N21" t="s">
        <v>689</v>
      </c>
      <c r="O21" t="s">
        <v>189</v>
      </c>
      <c r="R21">
        <v>47.470171000000001</v>
      </c>
      <c r="S21">
        <v>9.864115</v>
      </c>
      <c r="T21" t="s">
        <v>703</v>
      </c>
      <c r="U21">
        <v>280</v>
      </c>
      <c r="V21" s="4">
        <v>32</v>
      </c>
      <c r="W21">
        <v>227</v>
      </c>
      <c r="X21" s="6">
        <f>125/$U21*$G21</f>
        <v>33.035714285714285</v>
      </c>
      <c r="Y21" s="7">
        <v>6500000</v>
      </c>
      <c r="Z21" s="11">
        <f>Y21/V21/60/60*G21/1000</f>
        <v>4.1753472222222214</v>
      </c>
      <c r="AB21">
        <v>0</v>
      </c>
      <c r="AD21">
        <f>ROUND(0.95*IF($T21="Pelton",0.875,IF($T21="Kaplan",0.9,0.925))*IF($I21="Pumped Storage",0.875,1),2)</f>
        <v>0.88</v>
      </c>
      <c r="AE21">
        <f>ROUND(SQRT($AD21),3)*0.975</f>
        <v>0.91454999999999997</v>
      </c>
      <c r="AF21">
        <f>ROUND(SQRT($AD21),3)*1.025</f>
        <v>0.9614499999999998</v>
      </c>
    </row>
    <row r="22" spans="1:32" x14ac:dyDescent="0.25">
      <c r="A22" t="s">
        <v>29</v>
      </c>
      <c r="B22" t="s">
        <v>76</v>
      </c>
      <c r="C22" t="s">
        <v>514</v>
      </c>
      <c r="D22">
        <v>6774</v>
      </c>
      <c r="E22" t="s">
        <v>77</v>
      </c>
      <c r="F22" t="s">
        <v>24</v>
      </c>
      <c r="G22">
        <v>280</v>
      </c>
      <c r="H22" t="s">
        <v>25</v>
      </c>
      <c r="I22" t="s">
        <v>26</v>
      </c>
      <c r="L22">
        <v>0</v>
      </c>
      <c r="M22">
        <v>1958</v>
      </c>
      <c r="O22" t="s">
        <v>515</v>
      </c>
      <c r="R22">
        <v>47.074001000000003</v>
      </c>
      <c r="S22">
        <v>9.8743069999999999</v>
      </c>
      <c r="T22" t="s">
        <v>704</v>
      </c>
      <c r="U22">
        <v>974</v>
      </c>
      <c r="V22">
        <v>30.2</v>
      </c>
      <c r="W22">
        <v>389</v>
      </c>
      <c r="X22" s="6">
        <f>125/$U22*$G22</f>
        <v>35.934291581108823</v>
      </c>
      <c r="Y22" s="7">
        <v>78300000</v>
      </c>
      <c r="Z22" s="11">
        <f>Y22/V22/60/60*G22/1000</f>
        <v>201.65562913907289</v>
      </c>
      <c r="AA22">
        <v>262.16000000000003</v>
      </c>
      <c r="AB22">
        <v>224</v>
      </c>
      <c r="AD22">
        <f>ROUND(0.95*IF($T22="Pelton",0.875,IF($T22="Kaplan",0.9,0.925))*IF($I22="Pumped Storage",0.875,1),2)</f>
        <v>0.73</v>
      </c>
      <c r="AE22">
        <f>ROUND(SQRT($AD22),3)*0.975</f>
        <v>0.83265</v>
      </c>
      <c r="AF22">
        <f>ROUND(SQRT($AD22),3)*1.025</f>
        <v>0.87534999999999985</v>
      </c>
    </row>
    <row r="23" spans="1:32" x14ac:dyDescent="0.25">
      <c r="A23" t="s">
        <v>29</v>
      </c>
      <c r="B23" t="s">
        <v>62</v>
      </c>
      <c r="C23" t="s">
        <v>512</v>
      </c>
      <c r="D23">
        <v>6773</v>
      </c>
      <c r="E23" t="s">
        <v>63</v>
      </c>
      <c r="F23" t="s">
        <v>24</v>
      </c>
      <c r="G23">
        <v>295</v>
      </c>
      <c r="H23" t="s">
        <v>25</v>
      </c>
      <c r="I23" t="s">
        <v>26</v>
      </c>
      <c r="L23">
        <v>0</v>
      </c>
      <c r="M23">
        <v>1976</v>
      </c>
      <c r="O23" t="s">
        <v>64</v>
      </c>
      <c r="R23">
        <v>47.084577000000003</v>
      </c>
      <c r="S23">
        <v>9.8745820000000002</v>
      </c>
      <c r="T23" t="s">
        <v>703</v>
      </c>
      <c r="U23">
        <v>354</v>
      </c>
      <c r="V23">
        <v>87</v>
      </c>
      <c r="W23">
        <v>486</v>
      </c>
      <c r="X23" s="6">
        <f>125/$U23*$G23</f>
        <v>104.16666666666667</v>
      </c>
      <c r="Y23" s="7">
        <v>4340000</v>
      </c>
      <c r="Z23" s="11">
        <f>Y23/V23/60/60*G23/1000</f>
        <v>4.0878033205619415</v>
      </c>
      <c r="AB23">
        <v>286</v>
      </c>
      <c r="AD23">
        <f>ROUND(0.95*IF($T23="Pelton",0.875,IF($T23="Kaplan",0.9,0.925))*IF($I23="Pumped Storage",0.875,1),2)</f>
        <v>0.77</v>
      </c>
      <c r="AE23">
        <f>ROUND(SQRT($AD23),3)*0.975</f>
        <v>0.85507500000000003</v>
      </c>
      <c r="AF23">
        <f>ROUND(SQRT($AD23),3)*1.025</f>
        <v>0.89892499999999997</v>
      </c>
    </row>
    <row r="24" spans="1:32" x14ac:dyDescent="0.25">
      <c r="A24" s="3" t="s">
        <v>29</v>
      </c>
      <c r="B24" s="3" t="s">
        <v>466</v>
      </c>
      <c r="C24" t="s">
        <v>635</v>
      </c>
      <c r="D24">
        <v>6774</v>
      </c>
      <c r="E24" t="s">
        <v>77</v>
      </c>
      <c r="F24" t="s">
        <v>24</v>
      </c>
      <c r="G24">
        <v>9</v>
      </c>
      <c r="H24" t="s">
        <v>25</v>
      </c>
      <c r="I24" t="s">
        <v>60</v>
      </c>
      <c r="L24">
        <v>0</v>
      </c>
      <c r="M24">
        <v>1950</v>
      </c>
      <c r="N24" t="s">
        <v>683</v>
      </c>
      <c r="O24" t="s">
        <v>467</v>
      </c>
      <c r="R24">
        <v>47.074894</v>
      </c>
      <c r="S24">
        <v>9.875197</v>
      </c>
      <c r="T24" t="s">
        <v>700</v>
      </c>
      <c r="U24">
        <v>18.100000000000001</v>
      </c>
      <c r="V24" s="4">
        <v>60</v>
      </c>
      <c r="W24" s="3"/>
      <c r="X24" s="6">
        <f>125/$U24*$G24</f>
        <v>62.154696132596676</v>
      </c>
    </row>
    <row r="25" spans="1:32" x14ac:dyDescent="0.25">
      <c r="A25" s="4" t="s">
        <v>186</v>
      </c>
      <c r="B25" s="4" t="s">
        <v>399</v>
      </c>
      <c r="C25" t="s">
        <v>400</v>
      </c>
      <c r="D25">
        <v>6866</v>
      </c>
      <c r="E25" t="s">
        <v>399</v>
      </c>
      <c r="F25" t="s">
        <v>24</v>
      </c>
      <c r="G25">
        <v>15.1</v>
      </c>
      <c r="H25" t="s">
        <v>25</v>
      </c>
      <c r="I25" t="s">
        <v>36</v>
      </c>
      <c r="L25">
        <v>0</v>
      </c>
      <c r="M25">
        <v>1908</v>
      </c>
      <c r="O25" t="s">
        <v>401</v>
      </c>
      <c r="R25">
        <v>47.403160999999997</v>
      </c>
      <c r="S25">
        <v>9.8769299999999998</v>
      </c>
      <c r="T25" t="s">
        <v>703</v>
      </c>
      <c r="U25">
        <v>62</v>
      </c>
      <c r="V25" s="3">
        <v>30</v>
      </c>
      <c r="W25" s="3">
        <v>50.5</v>
      </c>
      <c r="X25" s="6">
        <f>125/$U25*$G25</f>
        <v>30.443548387096772</v>
      </c>
      <c r="Y25" s="7">
        <v>120000</v>
      </c>
      <c r="Z25" s="11">
        <f>Y25/V25/60/60*G25/1000</f>
        <v>1.6777777777777777E-2</v>
      </c>
      <c r="AB25">
        <v>0</v>
      </c>
      <c r="AD25">
        <f>ROUND(0.95*IF($T25="Pelton",0.875,IF($T25="Kaplan",0.9,0.925))*IF($I25="Pumped Storage",0.875,1),2)</f>
        <v>0.88</v>
      </c>
      <c r="AE25">
        <f>ROUND(SQRT($AD25),3)*0.975</f>
        <v>0.91454999999999997</v>
      </c>
      <c r="AF25">
        <f>ROUND(SQRT($AD25),3)*1.025</f>
        <v>0.9614499999999998</v>
      </c>
    </row>
    <row r="26" spans="1:32" x14ac:dyDescent="0.25">
      <c r="A26" t="s">
        <v>29</v>
      </c>
      <c r="B26" t="s">
        <v>100</v>
      </c>
      <c r="C26" t="s">
        <v>101</v>
      </c>
      <c r="D26">
        <v>6773</v>
      </c>
      <c r="E26" t="s">
        <v>63</v>
      </c>
      <c r="F26" t="s">
        <v>24</v>
      </c>
      <c r="G26">
        <v>198</v>
      </c>
      <c r="H26" t="s">
        <v>25</v>
      </c>
      <c r="I26" t="s">
        <v>26</v>
      </c>
      <c r="L26">
        <v>0</v>
      </c>
      <c r="M26">
        <v>1943</v>
      </c>
      <c r="O26" t="s">
        <v>102</v>
      </c>
      <c r="R26">
        <v>47.084943000000003</v>
      </c>
      <c r="S26">
        <v>9.8812770000000008</v>
      </c>
      <c r="T26" t="s">
        <v>703</v>
      </c>
      <c r="U26">
        <v>354</v>
      </c>
      <c r="V26">
        <v>63</v>
      </c>
      <c r="W26">
        <v>332</v>
      </c>
      <c r="X26" s="6">
        <f>125/$U26*$G26</f>
        <v>69.915254237288138</v>
      </c>
      <c r="Y26" s="7">
        <v>4340000</v>
      </c>
      <c r="Z26" s="11">
        <f>Y26/V26/60/60*G26/1000</f>
        <v>3.7888888888888892</v>
      </c>
      <c r="AB26">
        <v>41</v>
      </c>
      <c r="AD26">
        <f>ROUND(0.95*IF($T26="Pelton",0.875,IF($T26="Kaplan",0.9,0.925))*IF($I26="Pumped Storage",0.875,1),2)</f>
        <v>0.77</v>
      </c>
      <c r="AE26">
        <f>ROUND(SQRT($AD26),3)*0.975</f>
        <v>0.85507500000000003</v>
      </c>
      <c r="AF26">
        <f>ROUND(SQRT($AD26),3)*1.025</f>
        <v>0.89892499999999997</v>
      </c>
    </row>
    <row r="27" spans="1:32" x14ac:dyDescent="0.25">
      <c r="A27" s="3" t="s">
        <v>186</v>
      </c>
      <c r="B27" s="3" t="s">
        <v>441</v>
      </c>
      <c r="C27" t="s">
        <v>621</v>
      </c>
      <c r="D27">
        <v>6774</v>
      </c>
      <c r="E27" t="s">
        <v>77</v>
      </c>
      <c r="F27" t="s">
        <v>24</v>
      </c>
      <c r="G27">
        <v>11.6</v>
      </c>
      <c r="H27" t="s">
        <v>25</v>
      </c>
      <c r="I27" t="s">
        <v>36</v>
      </c>
      <c r="L27">
        <v>0</v>
      </c>
      <c r="M27">
        <v>1925</v>
      </c>
      <c r="O27" t="s">
        <v>442</v>
      </c>
      <c r="R27">
        <v>47.066749999999999</v>
      </c>
      <c r="S27">
        <v>9.9153140000000004</v>
      </c>
      <c r="T27" t="s">
        <v>704</v>
      </c>
      <c r="U27">
        <v>392</v>
      </c>
      <c r="V27" s="3">
        <v>4</v>
      </c>
      <c r="W27" s="3"/>
      <c r="X27" s="6">
        <f>125/$U27*$G27</f>
        <v>3.6989795918367343</v>
      </c>
      <c r="Y27" s="7">
        <v>32000</v>
      </c>
      <c r="Z27" s="11">
        <f>Y27/V27/60/60*G27/1000</f>
        <v>2.5777777777777778E-2</v>
      </c>
      <c r="AB27">
        <v>0</v>
      </c>
      <c r="AD27">
        <f>ROUND(0.95*IF($T27="Pelton",0.875,IF($T27="Kaplan",0.9,0.925))*IF($I27="Pumped Storage",0.875,1),2)</f>
        <v>0.83</v>
      </c>
      <c r="AE27">
        <f>ROUND(SQRT($AD27),3)*0.975</f>
        <v>0.88822500000000004</v>
      </c>
      <c r="AF27">
        <f>ROUND(SQRT($AD27),3)*1.025</f>
        <v>0.93377499999999991</v>
      </c>
    </row>
    <row r="28" spans="1:32" x14ac:dyDescent="0.25">
      <c r="A28" t="s">
        <v>790</v>
      </c>
      <c r="B28" s="4" t="s">
        <v>789</v>
      </c>
      <c r="D28" t="s">
        <v>793</v>
      </c>
      <c r="E28" t="s">
        <v>795</v>
      </c>
      <c r="F28" t="s">
        <v>743</v>
      </c>
      <c r="G28">
        <v>220</v>
      </c>
      <c r="H28" t="s">
        <v>25</v>
      </c>
      <c r="I28" t="s">
        <v>26</v>
      </c>
      <c r="M28">
        <v>1964</v>
      </c>
      <c r="O28" t="s">
        <v>849</v>
      </c>
      <c r="R28">
        <v>51.899120000000003</v>
      </c>
      <c r="S28">
        <v>9.9245199999999993</v>
      </c>
      <c r="T28" t="s">
        <v>703</v>
      </c>
      <c r="U28">
        <v>286.7</v>
      </c>
      <c r="V28">
        <v>96</v>
      </c>
      <c r="X28">
        <v>95.919079176839901</v>
      </c>
      <c r="Y28" s="7">
        <v>1618000</v>
      </c>
      <c r="Z28" s="7">
        <v>1.0299768518518517</v>
      </c>
      <c r="AA28">
        <v>1.032</v>
      </c>
      <c r="AB28">
        <v>200</v>
      </c>
      <c r="AD28">
        <f>ROUND(0.95*IF($T28="Pelton",0.875,IF($T28="Kaplan",0.9,0.925))*IF($I28="Pumped Storage",0.875,1),2)</f>
        <v>0.77</v>
      </c>
      <c r="AE28">
        <f>ROUND(SQRT($AD28),3)*0.975</f>
        <v>0.85507500000000003</v>
      </c>
      <c r="AF28">
        <f>ROUND(SQRT($AD28),3)*1.025</f>
        <v>0.89892499999999997</v>
      </c>
    </row>
    <row r="29" spans="1:32" x14ac:dyDescent="0.25">
      <c r="A29" s="3" t="s">
        <v>203</v>
      </c>
      <c r="B29" s="3" t="s">
        <v>335</v>
      </c>
      <c r="C29" t="s">
        <v>577</v>
      </c>
      <c r="D29">
        <v>6751</v>
      </c>
      <c r="E29" t="s">
        <v>336</v>
      </c>
      <c r="F29" t="s">
        <v>24</v>
      </c>
      <c r="G29">
        <v>31</v>
      </c>
      <c r="H29" t="s">
        <v>25</v>
      </c>
      <c r="I29" t="s">
        <v>36</v>
      </c>
      <c r="L29">
        <v>0</v>
      </c>
      <c r="M29">
        <v>1954</v>
      </c>
      <c r="N29" t="s">
        <v>692</v>
      </c>
      <c r="O29" t="s">
        <v>262</v>
      </c>
      <c r="R29">
        <v>47.132807</v>
      </c>
      <c r="S29">
        <v>9.9454949999999993</v>
      </c>
      <c r="U29" s="4">
        <v>304</v>
      </c>
      <c r="V29" s="4">
        <v>12</v>
      </c>
      <c r="W29" s="3">
        <v>8.8000000000000007</v>
      </c>
      <c r="X29" s="6">
        <f>125/$U29*$G29</f>
        <v>12.746710526315789</v>
      </c>
      <c r="Z29" s="11"/>
      <c r="AB29">
        <v>0</v>
      </c>
      <c r="AD29">
        <f>ROUND(0.95*IF($T29="Pelton",0.875,IF($T29="Kaplan",0.9,0.925))*IF($I29="Pumped Storage",0.875,1),2)</f>
        <v>0.88</v>
      </c>
      <c r="AE29">
        <f>ROUND(SQRT($AD29),3)*0.975</f>
        <v>0.91454999999999997</v>
      </c>
      <c r="AF29">
        <f>ROUND(SQRT($AD29),3)*1.025</f>
        <v>0.9614499999999998</v>
      </c>
    </row>
    <row r="30" spans="1:32" x14ac:dyDescent="0.25">
      <c r="A30" t="s">
        <v>29</v>
      </c>
      <c r="B30" t="s">
        <v>30</v>
      </c>
      <c r="C30" t="s">
        <v>508</v>
      </c>
      <c r="D30">
        <v>6793</v>
      </c>
      <c r="E30" t="s">
        <v>31</v>
      </c>
      <c r="F30" t="s">
        <v>24</v>
      </c>
      <c r="G30">
        <v>525</v>
      </c>
      <c r="H30" t="s">
        <v>25</v>
      </c>
      <c r="I30" t="s">
        <v>26</v>
      </c>
      <c r="J30" t="s">
        <v>509</v>
      </c>
      <c r="L30">
        <v>0</v>
      </c>
      <c r="M30">
        <v>2008</v>
      </c>
      <c r="O30" t="s">
        <v>32</v>
      </c>
      <c r="R30">
        <v>46.975549000000001</v>
      </c>
      <c r="S30">
        <v>10.043006</v>
      </c>
      <c r="T30" t="s">
        <v>704</v>
      </c>
      <c r="U30">
        <v>818</v>
      </c>
      <c r="V30">
        <v>76</v>
      </c>
      <c r="W30">
        <v>614</v>
      </c>
      <c r="X30" s="6">
        <f>125/$U30*$G30</f>
        <v>80.226161369193164</v>
      </c>
      <c r="Y30" s="7">
        <v>42900000</v>
      </c>
      <c r="Z30" s="11">
        <f>Y30/V30/60/60*G30/1000</f>
        <v>82.319078947368425</v>
      </c>
      <c r="AB30">
        <v>450</v>
      </c>
      <c r="AD30">
        <f>ROUND(0.95*IF($T30="Pelton",0.875,IF($T30="Kaplan",0.9,0.925))*IF($I30="Pumped Storage",0.875,1),2)</f>
        <v>0.73</v>
      </c>
      <c r="AE30">
        <f>ROUND(SQRT($AD30),3)*0.975</f>
        <v>0.83265</v>
      </c>
      <c r="AF30">
        <f>ROUND(SQRT($AD30),3)*1.025</f>
        <v>0.87534999999999985</v>
      </c>
    </row>
    <row r="31" spans="1:32" x14ac:dyDescent="0.25">
      <c r="A31" s="3" t="s">
        <v>29</v>
      </c>
      <c r="B31" s="3" t="s">
        <v>488</v>
      </c>
      <c r="C31" t="s">
        <v>659</v>
      </c>
      <c r="D31">
        <v>6793</v>
      </c>
      <c r="E31" t="s">
        <v>31</v>
      </c>
      <c r="F31" t="s">
        <v>24</v>
      </c>
      <c r="G31">
        <v>7</v>
      </c>
      <c r="H31" t="s">
        <v>25</v>
      </c>
      <c r="I31" t="s">
        <v>26</v>
      </c>
      <c r="L31">
        <v>0</v>
      </c>
      <c r="M31">
        <v>1969</v>
      </c>
      <c r="O31" t="s">
        <v>489</v>
      </c>
      <c r="R31">
        <v>46.974299999999999</v>
      </c>
      <c r="S31">
        <v>10.043200000000001</v>
      </c>
      <c r="T31" t="s">
        <v>703</v>
      </c>
      <c r="U31">
        <v>34</v>
      </c>
      <c r="V31" s="3">
        <v>26</v>
      </c>
      <c r="W31" s="3"/>
      <c r="X31" s="6">
        <f>125/$U31*$G31</f>
        <v>25.735294117647058</v>
      </c>
      <c r="Y31" s="7">
        <v>1270000</v>
      </c>
      <c r="Z31" s="11">
        <f>Y31/V31/60/60*G31/1000</f>
        <v>9.4978632478632474E-2</v>
      </c>
      <c r="AB31">
        <v>8</v>
      </c>
      <c r="AD31">
        <f>ROUND(0.95*IF($T31="Pelton",0.875,IF($T31="Kaplan",0.9,0.925))*IF($I31="Pumped Storage",0.875,1),2)</f>
        <v>0.77</v>
      </c>
      <c r="AE31">
        <f>ROUND(SQRT($AD31),3)*0.975</f>
        <v>0.85507500000000003</v>
      </c>
      <c r="AF31">
        <f>ROUND(SQRT($AD31),3)*1.025</f>
        <v>0.89892499999999997</v>
      </c>
    </row>
    <row r="32" spans="1:32" x14ac:dyDescent="0.25">
      <c r="A32" t="s">
        <v>29</v>
      </c>
      <c r="B32" t="s">
        <v>286</v>
      </c>
      <c r="C32" t="s">
        <v>561</v>
      </c>
      <c r="D32">
        <v>6794</v>
      </c>
      <c r="E32" t="s">
        <v>31</v>
      </c>
      <c r="F32" t="s">
        <v>24</v>
      </c>
      <c r="G32">
        <v>30</v>
      </c>
      <c r="H32" t="s">
        <v>25</v>
      </c>
      <c r="I32" t="s">
        <v>36</v>
      </c>
      <c r="L32">
        <v>0</v>
      </c>
      <c r="M32">
        <v>1943</v>
      </c>
      <c r="O32" t="s">
        <v>287</v>
      </c>
      <c r="R32">
        <v>46.927098999999998</v>
      </c>
      <c r="S32">
        <v>10.053618</v>
      </c>
      <c r="T32" t="s">
        <v>703</v>
      </c>
      <c r="U32">
        <v>291</v>
      </c>
      <c r="V32">
        <v>14</v>
      </c>
      <c r="W32">
        <v>45</v>
      </c>
      <c r="X32" s="6">
        <f>125/$U32*$G32</f>
        <v>12.886597938144329</v>
      </c>
      <c r="Z32" s="11"/>
      <c r="AB32">
        <v>0</v>
      </c>
      <c r="AD32">
        <f>ROUND(0.95*IF($T32="Pelton",0.875,IF($T32="Kaplan",0.9,0.925))*IF($I32="Pumped Storage",0.875,1),2)</f>
        <v>0.88</v>
      </c>
      <c r="AE32">
        <f>ROUND(SQRT($AD32),3)*0.975</f>
        <v>0.91454999999999997</v>
      </c>
      <c r="AF32">
        <f>ROUND(SQRT($AD32),3)*1.025</f>
        <v>0.9614499999999998</v>
      </c>
    </row>
    <row r="33" spans="1:37" s="4" customFormat="1" x14ac:dyDescent="0.25">
      <c r="A33" s="3" t="s">
        <v>203</v>
      </c>
      <c r="B33" s="3" t="s">
        <v>258</v>
      </c>
      <c r="C33" t="s">
        <v>259</v>
      </c>
      <c r="D33">
        <v>6752</v>
      </c>
      <c r="E33" t="s">
        <v>260</v>
      </c>
      <c r="F33" t="s">
        <v>24</v>
      </c>
      <c r="G33">
        <v>36</v>
      </c>
      <c r="H33" t="s">
        <v>25</v>
      </c>
      <c r="I33" t="s">
        <v>36</v>
      </c>
      <c r="J33" t="s">
        <v>261</v>
      </c>
      <c r="K33"/>
      <c r="L33">
        <v>0</v>
      </c>
      <c r="M33">
        <v>1925</v>
      </c>
      <c r="N33" t="s">
        <v>207</v>
      </c>
      <c r="O33" t="s">
        <v>262</v>
      </c>
      <c r="P33"/>
      <c r="Q33"/>
      <c r="R33">
        <v>47.134262999999997</v>
      </c>
      <c r="S33">
        <v>10.055099999999999</v>
      </c>
      <c r="T33"/>
      <c r="U33">
        <v>811</v>
      </c>
      <c r="V33">
        <v>6</v>
      </c>
      <c r="W33" s="3">
        <v>23</v>
      </c>
      <c r="X33" s="6">
        <f>125/$U33*$G33</f>
        <v>5.5487053020961774</v>
      </c>
      <c r="Y33" s="7">
        <v>15700000</v>
      </c>
      <c r="Z33" s="11">
        <f>Y33/V33/60/60*G33/1000</f>
        <v>26.166666666666668</v>
      </c>
      <c r="AA33"/>
      <c r="AB33">
        <v>0</v>
      </c>
      <c r="AC33"/>
      <c r="AD33">
        <f>ROUND(0.95*IF($T33="Pelton",0.875,IF($T33="Kaplan",0.9,0.925))*IF($I33="Pumped Storage",0.875,1),2)</f>
        <v>0.88</v>
      </c>
      <c r="AE33">
        <f>ROUND(SQRT($AD33),3)*0.975</f>
        <v>0.91454999999999997</v>
      </c>
      <c r="AF33">
        <f>ROUND(SQRT($AD33),3)*1.025</f>
        <v>0.9614499999999998</v>
      </c>
      <c r="AG33"/>
      <c r="AH33"/>
      <c r="AI33"/>
      <c r="AJ33"/>
      <c r="AK33"/>
    </row>
    <row r="34" spans="1:37" x14ac:dyDescent="0.25">
      <c r="A34" t="s">
        <v>29</v>
      </c>
      <c r="B34" t="s">
        <v>118</v>
      </c>
      <c r="C34" t="s">
        <v>522</v>
      </c>
      <c r="D34">
        <v>6794</v>
      </c>
      <c r="E34" t="s">
        <v>119</v>
      </c>
      <c r="F34" t="s">
        <v>24</v>
      </c>
      <c r="G34">
        <v>157</v>
      </c>
      <c r="H34" t="s">
        <v>25</v>
      </c>
      <c r="I34" t="s">
        <v>36</v>
      </c>
      <c r="L34">
        <v>0</v>
      </c>
      <c r="M34">
        <v>1930</v>
      </c>
      <c r="O34" t="s">
        <v>120</v>
      </c>
      <c r="R34">
        <v>46.969186999999998</v>
      </c>
      <c r="S34">
        <v>10.056024000000001</v>
      </c>
      <c r="T34" t="s">
        <v>704</v>
      </c>
      <c r="U34">
        <v>714</v>
      </c>
      <c r="V34">
        <v>26</v>
      </c>
      <c r="W34">
        <v>26</v>
      </c>
      <c r="X34" s="6">
        <f>125/$U34*$G34</f>
        <v>27.4859943977591</v>
      </c>
      <c r="Y34" s="7">
        <v>5300000</v>
      </c>
      <c r="Z34" s="11">
        <f>Y34/V34/60/60*G34/1000</f>
        <v>8.8899572649572658</v>
      </c>
      <c r="AB34">
        <v>0</v>
      </c>
      <c r="AD34">
        <f>ROUND(0.95*IF($T34="Pelton",0.875,IF($T34="Kaplan",0.9,0.925))*IF($I34="Pumped Storage",0.875,1),2)</f>
        <v>0.83</v>
      </c>
      <c r="AE34">
        <f>ROUND(SQRT($AD34),3)*0.975</f>
        <v>0.88822500000000004</v>
      </c>
      <c r="AF34">
        <f>ROUND(SQRT($AD34),3)*1.025</f>
        <v>0.93377499999999991</v>
      </c>
    </row>
    <row r="35" spans="1:37" s="4" customFormat="1" x14ac:dyDescent="0.25">
      <c r="A35" t="s">
        <v>29</v>
      </c>
      <c r="B35" t="s">
        <v>78</v>
      </c>
      <c r="C35" t="s">
        <v>517</v>
      </c>
      <c r="D35">
        <v>6793</v>
      </c>
      <c r="E35" t="s">
        <v>31</v>
      </c>
      <c r="F35" t="s">
        <v>24</v>
      </c>
      <c r="G35">
        <v>245</v>
      </c>
      <c r="H35" t="s">
        <v>25</v>
      </c>
      <c r="I35" t="s">
        <v>36</v>
      </c>
      <c r="J35" t="s">
        <v>509</v>
      </c>
      <c r="K35"/>
      <c r="L35">
        <v>0</v>
      </c>
      <c r="M35">
        <v>1969</v>
      </c>
      <c r="N35"/>
      <c r="O35" t="s">
        <v>79</v>
      </c>
      <c r="P35"/>
      <c r="Q35"/>
      <c r="R35">
        <v>46.970520999999998</v>
      </c>
      <c r="S35">
        <v>10.056939</v>
      </c>
      <c r="T35" t="s">
        <v>704</v>
      </c>
      <c r="U35">
        <v>780</v>
      </c>
      <c r="V35">
        <v>36</v>
      </c>
      <c r="W35">
        <v>434</v>
      </c>
      <c r="X35" s="6">
        <f>125/$U35*$G35</f>
        <v>39.262820512820518</v>
      </c>
      <c r="Y35" s="7">
        <v>42900000</v>
      </c>
      <c r="Z35" s="11">
        <f>Y35/V35/60/60*G35/1000</f>
        <v>81.099537037037038</v>
      </c>
      <c r="AA35"/>
      <c r="AB35">
        <v>0</v>
      </c>
      <c r="AC35"/>
      <c r="AD35">
        <f>ROUND(0.95*IF($T35="Pelton",0.875,IF($T35="Kaplan",0.9,0.925))*IF($I35="Pumped Storage",0.875,1),2)</f>
        <v>0.83</v>
      </c>
      <c r="AE35">
        <f>ROUND(SQRT($AD35),3)*0.975</f>
        <v>0.88822500000000004</v>
      </c>
      <c r="AF35">
        <f>ROUND(SQRT($AD35),3)*1.025</f>
        <v>0.93377499999999991</v>
      </c>
      <c r="AG35"/>
      <c r="AH35"/>
      <c r="AI35"/>
      <c r="AJ35"/>
      <c r="AK35"/>
    </row>
    <row r="36" spans="1:37" x14ac:dyDescent="0.25">
      <c r="A36" s="4" t="s">
        <v>186</v>
      </c>
      <c r="B36" s="4" t="s">
        <v>395</v>
      </c>
      <c r="C36" t="s">
        <v>396</v>
      </c>
      <c r="D36">
        <v>6754</v>
      </c>
      <c r="E36" t="s">
        <v>395</v>
      </c>
      <c r="F36" t="s">
        <v>24</v>
      </c>
      <c r="G36">
        <v>16.5</v>
      </c>
      <c r="H36" t="s">
        <v>25</v>
      </c>
      <c r="I36" t="s">
        <v>60</v>
      </c>
      <c r="J36" t="s">
        <v>397</v>
      </c>
      <c r="L36">
        <v>0</v>
      </c>
      <c r="M36">
        <v>1997</v>
      </c>
      <c r="N36" t="s">
        <v>685</v>
      </c>
      <c r="O36" t="s">
        <v>398</v>
      </c>
      <c r="R36">
        <v>47.128782000000001</v>
      </c>
      <c r="S36">
        <v>10.061629</v>
      </c>
      <c r="T36" t="s">
        <v>703</v>
      </c>
      <c r="U36">
        <v>314.89999999999998</v>
      </c>
      <c r="V36" s="4">
        <v>6</v>
      </c>
      <c r="W36" s="4">
        <v>55</v>
      </c>
      <c r="X36" s="6">
        <f>125/$U36*$G36</f>
        <v>6.5496983169260083</v>
      </c>
      <c r="Y36" s="7">
        <v>6900</v>
      </c>
    </row>
    <row r="37" spans="1:37" x14ac:dyDescent="0.25">
      <c r="A37" t="s">
        <v>765</v>
      </c>
      <c r="B37" t="s">
        <v>762</v>
      </c>
      <c r="C37" t="s">
        <v>767</v>
      </c>
      <c r="D37" t="s">
        <v>769</v>
      </c>
      <c r="E37" t="s">
        <v>762</v>
      </c>
      <c r="F37" t="s">
        <v>743</v>
      </c>
      <c r="G37">
        <v>119.1</v>
      </c>
      <c r="H37" t="s">
        <v>25</v>
      </c>
      <c r="I37" t="s">
        <v>26</v>
      </c>
      <c r="M37">
        <v>1958</v>
      </c>
      <c r="O37" t="s">
        <v>843</v>
      </c>
      <c r="P37" t="s">
        <v>859</v>
      </c>
      <c r="R37">
        <v>53.426049999999996</v>
      </c>
      <c r="S37">
        <v>10.335900000000001</v>
      </c>
      <c r="T37" t="s">
        <v>703</v>
      </c>
      <c r="U37">
        <v>80</v>
      </c>
      <c r="V37">
        <v>198.89999999999998</v>
      </c>
      <c r="X37">
        <v>186.09375</v>
      </c>
      <c r="Y37" s="7">
        <v>3000000</v>
      </c>
      <c r="Z37" s="7">
        <v>0.49899446958270494</v>
      </c>
      <c r="AA37">
        <v>0.6</v>
      </c>
      <c r="AB37">
        <v>96</v>
      </c>
      <c r="AC37">
        <v>99</v>
      </c>
      <c r="AD37">
        <f>ROUND(0.95*IF($T37="Pelton",0.875,IF($T37="Kaplan",0.9,0.925))*IF($I37="Pumped Storage",0.875,1),2)</f>
        <v>0.77</v>
      </c>
      <c r="AE37">
        <f>ROUND(SQRT($AD37),3)*0.975</f>
        <v>0.85507500000000003</v>
      </c>
      <c r="AF37">
        <f>ROUND(SQRT($AD37),3)*1.025</f>
        <v>0.89892499999999997</v>
      </c>
    </row>
    <row r="38" spans="1:37" x14ac:dyDescent="0.25">
      <c r="A38" t="s">
        <v>422</v>
      </c>
      <c r="B38" t="s">
        <v>423</v>
      </c>
      <c r="C38" t="s">
        <v>609</v>
      </c>
      <c r="D38">
        <v>6571</v>
      </c>
      <c r="E38" t="s">
        <v>424</v>
      </c>
      <c r="F38" t="s">
        <v>24</v>
      </c>
      <c r="G38">
        <v>13.5</v>
      </c>
      <c r="H38" t="s">
        <v>25</v>
      </c>
      <c r="I38" t="s">
        <v>60</v>
      </c>
      <c r="L38">
        <v>0</v>
      </c>
      <c r="M38">
        <v>2014</v>
      </c>
      <c r="O38" t="s">
        <v>718</v>
      </c>
      <c r="R38">
        <v>47.120936</v>
      </c>
      <c r="S38">
        <v>10.473176</v>
      </c>
      <c r="T38" t="s">
        <v>704</v>
      </c>
      <c r="U38">
        <v>135</v>
      </c>
      <c r="V38">
        <v>12</v>
      </c>
      <c r="W38">
        <v>52.2</v>
      </c>
      <c r="X38" s="6">
        <f>125/$U38*$G38</f>
        <v>12.5</v>
      </c>
    </row>
    <row r="39" spans="1:37" x14ac:dyDescent="0.25">
      <c r="A39" t="s">
        <v>33</v>
      </c>
      <c r="B39" t="s">
        <v>712</v>
      </c>
      <c r="C39" t="s">
        <v>410</v>
      </c>
      <c r="D39">
        <v>6521</v>
      </c>
      <c r="E39" t="s">
        <v>158</v>
      </c>
      <c r="F39" t="s">
        <v>24</v>
      </c>
      <c r="G39">
        <v>89</v>
      </c>
      <c r="H39" t="s">
        <v>25</v>
      </c>
      <c r="I39" t="s">
        <v>60</v>
      </c>
      <c r="L39">
        <v>0</v>
      </c>
      <c r="M39">
        <v>1956</v>
      </c>
      <c r="O39" t="s">
        <v>51</v>
      </c>
      <c r="P39" t="s">
        <v>713</v>
      </c>
      <c r="R39">
        <v>47.113019999999999</v>
      </c>
      <c r="S39">
        <v>10.652148</v>
      </c>
      <c r="T39" t="s">
        <v>703</v>
      </c>
      <c r="U39">
        <v>143.5</v>
      </c>
      <c r="V39">
        <v>85</v>
      </c>
      <c r="W39" s="4">
        <v>550</v>
      </c>
      <c r="X39" s="6">
        <f>125/$U39*$G39</f>
        <v>77.526132404181183</v>
      </c>
      <c r="Y39" s="7">
        <v>800000</v>
      </c>
      <c r="AA39" s="4">
        <v>0.24</v>
      </c>
    </row>
    <row r="40" spans="1:37" x14ac:dyDescent="0.25">
      <c r="A40" s="4" t="s">
        <v>22</v>
      </c>
      <c r="B40" s="4" t="s">
        <v>159</v>
      </c>
      <c r="C40" t="s">
        <v>533</v>
      </c>
      <c r="D40">
        <v>6522</v>
      </c>
      <c r="E40" t="s">
        <v>50</v>
      </c>
      <c r="F40" s="4" t="s">
        <v>24</v>
      </c>
      <c r="G40" s="4">
        <v>89</v>
      </c>
      <c r="H40" s="4" t="s">
        <v>25</v>
      </c>
      <c r="I40" s="4" t="s">
        <v>60</v>
      </c>
      <c r="L40">
        <v>0</v>
      </c>
      <c r="M40" s="4">
        <v>2020</v>
      </c>
      <c r="N40" s="4" t="s">
        <v>674</v>
      </c>
      <c r="O40" s="4" t="s">
        <v>673</v>
      </c>
      <c r="P40" s="4"/>
      <c r="Q40" s="4"/>
      <c r="R40" s="4">
        <v>47.062953999999998</v>
      </c>
      <c r="S40" s="4">
        <v>10.662868</v>
      </c>
      <c r="T40" s="4" t="s">
        <v>703</v>
      </c>
      <c r="U40" s="4">
        <v>160.69999999999999</v>
      </c>
      <c r="V40" s="4">
        <v>75</v>
      </c>
      <c r="W40" s="4">
        <v>414.3</v>
      </c>
      <c r="X40" s="6">
        <f>125/$U40*$G40</f>
        <v>69.228375855631612</v>
      </c>
    </row>
    <row r="41" spans="1:37" x14ac:dyDescent="0.25">
      <c r="A41" t="s">
        <v>33</v>
      </c>
      <c r="B41" t="s">
        <v>48</v>
      </c>
      <c r="C41" t="s">
        <v>49</v>
      </c>
      <c r="D41">
        <v>6522</v>
      </c>
      <c r="E41" t="s">
        <v>50</v>
      </c>
      <c r="F41" t="s">
        <v>24</v>
      </c>
      <c r="G41">
        <v>392</v>
      </c>
      <c r="H41" t="s">
        <v>25</v>
      </c>
      <c r="I41" t="s">
        <v>36</v>
      </c>
      <c r="L41">
        <v>0</v>
      </c>
      <c r="M41">
        <v>1964</v>
      </c>
      <c r="O41" t="s">
        <v>51</v>
      </c>
      <c r="R41">
        <v>47.067729999999997</v>
      </c>
      <c r="S41">
        <v>10.665153999999999</v>
      </c>
      <c r="T41" t="s">
        <v>703</v>
      </c>
      <c r="U41">
        <v>895</v>
      </c>
      <c r="V41">
        <v>54</v>
      </c>
      <c r="W41">
        <v>661</v>
      </c>
      <c r="X41" s="6">
        <f>125/$U41*$G41</f>
        <v>54.748603351955303</v>
      </c>
      <c r="Y41" s="7">
        <v>139000000</v>
      </c>
      <c r="Z41" s="11">
        <f>Y41/V41/60/60*G41/1000</f>
        <v>280.28806584362138</v>
      </c>
      <c r="AB41">
        <v>0</v>
      </c>
      <c r="AD41">
        <f>ROUND(0.95*IF($T41="Pelton",0.875,IF($T41="Kaplan",0.9,0.925))*IF($I41="Pumped Storage",0.875,1),2)</f>
        <v>0.88</v>
      </c>
      <c r="AE41">
        <f>ROUND(SQRT($AD41),3)*0.975</f>
        <v>0.91454999999999997</v>
      </c>
      <c r="AF41">
        <f>ROUND(SQRT($AD41),3)*1.025</f>
        <v>0.9614499999999998</v>
      </c>
    </row>
    <row r="42" spans="1:37" x14ac:dyDescent="0.25">
      <c r="A42" s="4" t="s">
        <v>358</v>
      </c>
      <c r="B42" s="4" t="s">
        <v>430</v>
      </c>
      <c r="C42" t="s">
        <v>617</v>
      </c>
      <c r="D42">
        <v>6600</v>
      </c>
      <c r="E42" t="s">
        <v>618</v>
      </c>
      <c r="F42" t="s">
        <v>24</v>
      </c>
      <c r="G42">
        <v>12.3</v>
      </c>
      <c r="H42" t="s">
        <v>25</v>
      </c>
      <c r="I42" t="s">
        <v>60</v>
      </c>
      <c r="L42">
        <v>0</v>
      </c>
      <c r="M42">
        <v>1968</v>
      </c>
      <c r="N42" t="s">
        <v>682</v>
      </c>
      <c r="O42" s="10" t="s">
        <v>361</v>
      </c>
      <c r="R42">
        <v>47.553252999999998</v>
      </c>
      <c r="S42">
        <v>10.680923</v>
      </c>
      <c r="T42" t="s">
        <v>700</v>
      </c>
      <c r="U42" s="4">
        <v>28.55</v>
      </c>
      <c r="V42" s="4">
        <v>50</v>
      </c>
      <c r="W42">
        <v>72</v>
      </c>
      <c r="X42" s="6">
        <f>125/$U42*$G42</f>
        <v>53.852889667250437</v>
      </c>
    </row>
    <row r="43" spans="1:37" x14ac:dyDescent="0.25">
      <c r="A43" t="s">
        <v>733</v>
      </c>
      <c r="B43" t="s">
        <v>806</v>
      </c>
      <c r="C43" t="s">
        <v>807</v>
      </c>
      <c r="D43" t="s">
        <v>808</v>
      </c>
      <c r="E43" t="s">
        <v>806</v>
      </c>
      <c r="F43" t="s">
        <v>743</v>
      </c>
      <c r="G43">
        <v>45.5</v>
      </c>
      <c r="H43" t="s">
        <v>25</v>
      </c>
      <c r="I43" t="s">
        <v>36</v>
      </c>
      <c r="M43">
        <v>1954</v>
      </c>
      <c r="P43" t="s">
        <v>864</v>
      </c>
      <c r="R43">
        <v>47.651451000000002</v>
      </c>
      <c r="S43">
        <v>10.735525000000001</v>
      </c>
      <c r="T43" t="s">
        <v>700</v>
      </c>
      <c r="U43">
        <v>35.4</v>
      </c>
      <c r="V43">
        <v>150</v>
      </c>
      <c r="W43">
        <v>152.6</v>
      </c>
      <c r="X43">
        <v>160.66384180790962</v>
      </c>
      <c r="Y43" s="7">
        <v>168000000</v>
      </c>
      <c r="Z43" s="7">
        <v>14.155555555555557</v>
      </c>
      <c r="AB43">
        <v>0</v>
      </c>
      <c r="AC43">
        <v>0</v>
      </c>
      <c r="AD43">
        <f>ROUND(0.95*IF($T43="Pelton",0.875,IF($T43="Kaplan",0.9,0.925))*IF($I43="Pumped Storage",0.875,1),2)</f>
        <v>0.86</v>
      </c>
      <c r="AE43">
        <f>ROUND(SQRT($AD43),3)*0.975</f>
        <v>0.90382499999999999</v>
      </c>
      <c r="AF43">
        <f>ROUND(SQRT($AD43),3)*1.025</f>
        <v>0.95017499999999999</v>
      </c>
    </row>
    <row r="44" spans="1:37" s="4" customFormat="1" x14ac:dyDescent="0.25">
      <c r="A44" s="4" t="s">
        <v>358</v>
      </c>
      <c r="B44" s="4" t="s">
        <v>479</v>
      </c>
      <c r="C44" t="s">
        <v>479</v>
      </c>
      <c r="D44">
        <v>6611</v>
      </c>
      <c r="E44" t="s">
        <v>645</v>
      </c>
      <c r="F44" t="s">
        <v>24</v>
      </c>
      <c r="G44">
        <v>8.1999999999999993</v>
      </c>
      <c r="H44" t="s">
        <v>25</v>
      </c>
      <c r="I44" t="s">
        <v>26</v>
      </c>
      <c r="J44" t="s">
        <v>480</v>
      </c>
      <c r="K44"/>
      <c r="L44">
        <v>0</v>
      </c>
      <c r="M44">
        <v>2009</v>
      </c>
      <c r="N44"/>
      <c r="O44" t="s">
        <v>646</v>
      </c>
      <c r="P44" t="s">
        <v>719</v>
      </c>
      <c r="Q44"/>
      <c r="R44">
        <v>47.450313999999999</v>
      </c>
      <c r="S44">
        <v>10.744899999999999</v>
      </c>
      <c r="T44" t="s">
        <v>703</v>
      </c>
      <c r="U44" s="4">
        <v>100.5</v>
      </c>
      <c r="V44" s="4">
        <v>12</v>
      </c>
      <c r="W44">
        <v>15</v>
      </c>
      <c r="X44" s="6">
        <f>125/$U44*$G44</f>
        <v>10.199004975124376</v>
      </c>
      <c r="Y44" s="7">
        <v>1100000</v>
      </c>
      <c r="Z44" s="11">
        <f>Y44/V44/60/60*G44/1000</f>
        <v>0.20879629629629631</v>
      </c>
      <c r="AA44"/>
      <c r="AB44">
        <v>3.9</v>
      </c>
      <c r="AC44">
        <v>3</v>
      </c>
      <c r="AD44">
        <f>ROUND(0.95*IF($T44="Pelton",0.875,IF($T44="Kaplan",0.9,0.925))*IF($I44="Pumped Storage",0.875,1),2)</f>
        <v>0.77</v>
      </c>
      <c r="AE44">
        <f>ROUND(SQRT($AD44),3)*0.975</f>
        <v>0.85507500000000003</v>
      </c>
      <c r="AF44">
        <f>ROUND(SQRT($AD44),3)*1.025</f>
        <v>0.89892499999999997</v>
      </c>
      <c r="AG44"/>
      <c r="AH44"/>
      <c r="AI44"/>
      <c r="AJ44"/>
      <c r="AK44"/>
    </row>
    <row r="45" spans="1:37" x14ac:dyDescent="0.25">
      <c r="A45" s="4" t="s">
        <v>358</v>
      </c>
      <c r="B45" s="4" t="s">
        <v>359</v>
      </c>
      <c r="C45" t="s">
        <v>586</v>
      </c>
      <c r="D45">
        <v>6600</v>
      </c>
      <c r="E45" t="s">
        <v>587</v>
      </c>
      <c r="F45" t="s">
        <v>24</v>
      </c>
      <c r="G45">
        <v>17.8</v>
      </c>
      <c r="H45" t="s">
        <v>25</v>
      </c>
      <c r="I45" t="s">
        <v>36</v>
      </c>
      <c r="J45" t="s">
        <v>360</v>
      </c>
      <c r="L45">
        <v>0</v>
      </c>
      <c r="M45">
        <v>1903</v>
      </c>
      <c r="O45" t="s">
        <v>361</v>
      </c>
      <c r="P45" t="s">
        <v>707</v>
      </c>
      <c r="R45">
        <v>47.493868999999997</v>
      </c>
      <c r="S45">
        <v>10.750598</v>
      </c>
      <c r="T45" t="s">
        <v>703</v>
      </c>
      <c r="U45" s="4">
        <v>96.06</v>
      </c>
      <c r="V45" s="4">
        <v>19.5</v>
      </c>
      <c r="W45">
        <v>52</v>
      </c>
      <c r="X45" s="6">
        <f>125/$U45*$G45</f>
        <v>23.162606704143244</v>
      </c>
      <c r="Y45" s="7">
        <v>22000000</v>
      </c>
      <c r="Z45" s="11">
        <f>Y45/V45/60/60*G45/1000</f>
        <v>5.5783475783475787</v>
      </c>
      <c r="AB45">
        <v>0</v>
      </c>
      <c r="AD45">
        <f>ROUND(0.95*IF($T45="Pelton",0.875,IF($T45="Kaplan",0.9,0.925))*IF($I45="Pumped Storage",0.875,1),2)</f>
        <v>0.88</v>
      </c>
      <c r="AE45">
        <f>ROUND(SQRT($AD45),3)*0.975</f>
        <v>0.91454999999999997</v>
      </c>
      <c r="AF45">
        <f>ROUND(SQRT($AD45),3)*1.025</f>
        <v>0.9614499999999998</v>
      </c>
    </row>
    <row r="46" spans="1:37" x14ac:dyDescent="0.25">
      <c r="A46" t="s">
        <v>765</v>
      </c>
      <c r="B46" t="s">
        <v>827</v>
      </c>
      <c r="C46" t="s">
        <v>829</v>
      </c>
      <c r="D46" t="s">
        <v>831</v>
      </c>
      <c r="E46" t="s">
        <v>827</v>
      </c>
      <c r="F46" t="s">
        <v>743</v>
      </c>
      <c r="G46">
        <v>79.7</v>
      </c>
      <c r="H46" t="s">
        <v>25</v>
      </c>
      <c r="I46" t="s">
        <v>26</v>
      </c>
      <c r="M46">
        <v>1967</v>
      </c>
      <c r="O46" t="s">
        <v>844</v>
      </c>
      <c r="P46" t="s">
        <v>859</v>
      </c>
      <c r="R46">
        <v>51.742229999999999</v>
      </c>
      <c r="S46">
        <v>10.91879</v>
      </c>
      <c r="T46" t="s">
        <v>703</v>
      </c>
      <c r="U46">
        <v>126</v>
      </c>
      <c r="V46">
        <v>78</v>
      </c>
      <c r="X46">
        <v>79.067460317460316</v>
      </c>
      <c r="Y46" s="7">
        <v>1800000</v>
      </c>
      <c r="Z46" s="7">
        <v>0.51089743589743597</v>
      </c>
      <c r="AA46">
        <v>0.52300000000000002</v>
      </c>
      <c r="AB46">
        <v>72</v>
      </c>
      <c r="AC46">
        <v>52</v>
      </c>
      <c r="AD46">
        <f>ROUND(0.95*IF($T46="Pelton",0.875,IF($T46="Kaplan",0.9,0.925))*IF($I46="Pumped Storage",0.875,1),2)</f>
        <v>0.77</v>
      </c>
      <c r="AE46">
        <f>ROUND(SQRT($AD46),3)*0.975</f>
        <v>0.85507500000000003</v>
      </c>
      <c r="AF46">
        <f>ROUND(SQRT($AD46),3)*1.025</f>
        <v>0.89892499999999997</v>
      </c>
    </row>
    <row r="47" spans="1:37" x14ac:dyDescent="0.25">
      <c r="A47" t="s">
        <v>33</v>
      </c>
      <c r="B47" t="s">
        <v>34</v>
      </c>
      <c r="C47" t="s">
        <v>35</v>
      </c>
      <c r="D47">
        <v>6424</v>
      </c>
      <c r="E47" t="s">
        <v>34</v>
      </c>
      <c r="F47" t="s">
        <v>24</v>
      </c>
      <c r="G47">
        <v>500</v>
      </c>
      <c r="H47" t="s">
        <v>25</v>
      </c>
      <c r="I47" t="s">
        <v>36</v>
      </c>
      <c r="J47" t="s">
        <v>37</v>
      </c>
      <c r="L47">
        <v>0</v>
      </c>
      <c r="M47">
        <v>1981</v>
      </c>
      <c r="O47" t="s">
        <v>38</v>
      </c>
      <c r="R47">
        <v>47.269444</v>
      </c>
      <c r="S47">
        <v>10.967499999999999</v>
      </c>
      <c r="T47" t="s">
        <v>704</v>
      </c>
      <c r="U47">
        <v>1257</v>
      </c>
      <c r="V47">
        <v>48</v>
      </c>
      <c r="W47">
        <v>718.6</v>
      </c>
      <c r="X47" s="6">
        <f>125/$U47*$G47</f>
        <v>49.721559268098645</v>
      </c>
      <c r="Y47" s="7">
        <v>3000000</v>
      </c>
      <c r="Z47" s="11">
        <f>Y47/V47/60/60*G47/1000</f>
        <v>8.6805555555555554</v>
      </c>
      <c r="AB47">
        <v>0</v>
      </c>
      <c r="AD47">
        <f>ROUND(0.95*IF($T47="Pelton",0.875,IF($T47="Kaplan",0.9,0.925))*IF($I47="Pumped Storage",0.875,1),2)</f>
        <v>0.83</v>
      </c>
      <c r="AE47">
        <f>ROUND(SQRT($AD47),3)*0.975</f>
        <v>0.88822500000000004</v>
      </c>
      <c r="AF47">
        <f>ROUND(SQRT($AD47),3)*1.025</f>
        <v>0.93377499999999991</v>
      </c>
    </row>
    <row r="48" spans="1:37" x14ac:dyDescent="0.25">
      <c r="A48" t="s">
        <v>33</v>
      </c>
      <c r="B48" t="s">
        <v>69</v>
      </c>
      <c r="C48" t="s">
        <v>513</v>
      </c>
      <c r="D48">
        <v>6183</v>
      </c>
      <c r="E48" t="s">
        <v>34</v>
      </c>
      <c r="F48" t="s">
        <v>24</v>
      </c>
      <c r="G48">
        <v>289</v>
      </c>
      <c r="H48" t="s">
        <v>25</v>
      </c>
      <c r="I48" t="s">
        <v>26</v>
      </c>
      <c r="J48" t="s">
        <v>70</v>
      </c>
      <c r="L48">
        <v>0</v>
      </c>
      <c r="M48">
        <v>1981</v>
      </c>
      <c r="O48" t="s">
        <v>71</v>
      </c>
      <c r="R48">
        <v>47.207704</v>
      </c>
      <c r="S48">
        <v>11.005660000000001</v>
      </c>
      <c r="T48" t="s">
        <v>704</v>
      </c>
      <c r="U48">
        <v>440</v>
      </c>
      <c r="V48">
        <v>80</v>
      </c>
      <c r="W48">
        <v>55.5</v>
      </c>
      <c r="X48" s="6">
        <f>125/$U48*$G48</f>
        <v>82.102272727272734</v>
      </c>
      <c r="Y48" s="7">
        <v>94000000</v>
      </c>
      <c r="Z48" s="11">
        <f>Y48/V48/60/60*G48/1000</f>
        <v>94.326388888888872</v>
      </c>
      <c r="AB48">
        <v>242</v>
      </c>
      <c r="AD48">
        <f>ROUND(0.95*IF($T48="Pelton",0.875,IF($T48="Kaplan",0.9,0.925))*IF($I48="Pumped Storage",0.875,1),2)</f>
        <v>0.73</v>
      </c>
      <c r="AE48">
        <f>ROUND(SQRT($AD48),3)*0.975</f>
        <v>0.83265</v>
      </c>
      <c r="AF48">
        <f>ROUND(SQRT($AD48),3)*1.025</f>
        <v>0.87534999999999985</v>
      </c>
    </row>
    <row r="49" spans="1:37" x14ac:dyDescent="0.25">
      <c r="A49" t="s">
        <v>765</v>
      </c>
      <c r="B49" t="s">
        <v>764</v>
      </c>
      <c r="C49" t="s">
        <v>768</v>
      </c>
      <c r="D49" t="s">
        <v>771</v>
      </c>
      <c r="E49" t="s">
        <v>764</v>
      </c>
      <c r="F49" t="s">
        <v>743</v>
      </c>
      <c r="G49">
        <v>1052</v>
      </c>
      <c r="H49" t="s">
        <v>25</v>
      </c>
      <c r="I49" t="s">
        <v>26</v>
      </c>
      <c r="M49">
        <v>2004</v>
      </c>
      <c r="O49" t="s">
        <v>848</v>
      </c>
      <c r="P49" t="s">
        <v>860</v>
      </c>
      <c r="R49">
        <v>50.509758640000001</v>
      </c>
      <c r="S49">
        <v>11.02087498</v>
      </c>
      <c r="T49" t="s">
        <v>846</v>
      </c>
      <c r="U49">
        <v>302</v>
      </c>
      <c r="V49">
        <v>413.2</v>
      </c>
      <c r="X49">
        <v>435.43046357615896</v>
      </c>
      <c r="Y49" s="7">
        <v>12000000</v>
      </c>
      <c r="Z49" s="7">
        <v>8.4866085834140055</v>
      </c>
      <c r="AA49">
        <v>8.48</v>
      </c>
      <c r="AB49">
        <v>1060</v>
      </c>
      <c r="AC49">
        <v>320</v>
      </c>
      <c r="AD49">
        <f>ROUND(0.95*IF($T49="Pelton",0.875,IF($T49="Kaplan",0.9,0.925))*IF($I49="Pumped Storage",0.875,1),2)</f>
        <v>0.77</v>
      </c>
      <c r="AE49">
        <f>ROUND(SQRT($AD49),3)*0.975</f>
        <v>0.85507500000000003</v>
      </c>
      <c r="AF49">
        <f>ROUND(SQRT($AD49),3)*1.025</f>
        <v>0.89892499999999997</v>
      </c>
    </row>
    <row r="50" spans="1:37" x14ac:dyDescent="0.25">
      <c r="A50" t="s">
        <v>733</v>
      </c>
      <c r="B50" t="s">
        <v>788</v>
      </c>
      <c r="C50" t="s">
        <v>791</v>
      </c>
      <c r="D50" t="s">
        <v>792</v>
      </c>
      <c r="E50" t="s">
        <v>794</v>
      </c>
      <c r="F50" t="s">
        <v>743</v>
      </c>
      <c r="G50">
        <v>124</v>
      </c>
      <c r="H50" t="s">
        <v>25</v>
      </c>
      <c r="I50" t="s">
        <v>36</v>
      </c>
      <c r="M50">
        <v>1924</v>
      </c>
      <c r="O50" t="s">
        <v>867</v>
      </c>
      <c r="R50">
        <v>47.631353999999988</v>
      </c>
      <c r="S50">
        <v>11.337054</v>
      </c>
      <c r="T50" t="s">
        <v>705</v>
      </c>
      <c r="U50">
        <v>200</v>
      </c>
      <c r="V50">
        <v>84</v>
      </c>
      <c r="W50">
        <v>300</v>
      </c>
      <c r="X50">
        <v>77.5</v>
      </c>
      <c r="Y50" s="7">
        <v>110000000</v>
      </c>
      <c r="Z50" s="7">
        <v>45.105820105820101</v>
      </c>
      <c r="AB50">
        <v>0</v>
      </c>
      <c r="AC50">
        <v>0</v>
      </c>
      <c r="AD50">
        <f>ROUND(0.95*IF($T50="Pelton",0.875,IF($T50="Kaplan",0.9,0.925))*IF($I50="Pumped Storage",0.875,1),2)</f>
        <v>0.88</v>
      </c>
      <c r="AE50">
        <f>ROUND(SQRT($AD50),3)*0.975</f>
        <v>0.91454999999999997</v>
      </c>
      <c r="AF50">
        <f>ROUND(SQRT($AD50),3)*1.025</f>
        <v>0.9614499999999998</v>
      </c>
    </row>
    <row r="51" spans="1:37" x14ac:dyDescent="0.25">
      <c r="A51" t="s">
        <v>203</v>
      </c>
      <c r="B51" t="s">
        <v>402</v>
      </c>
      <c r="C51" t="s">
        <v>410</v>
      </c>
      <c r="D51">
        <v>6166</v>
      </c>
      <c r="E51" t="s">
        <v>402</v>
      </c>
      <c r="F51" t="s">
        <v>24</v>
      </c>
      <c r="G51">
        <v>15</v>
      </c>
      <c r="H51" t="s">
        <v>25</v>
      </c>
      <c r="I51" t="s">
        <v>60</v>
      </c>
      <c r="L51">
        <v>0</v>
      </c>
      <c r="M51">
        <v>1983</v>
      </c>
      <c r="N51" t="s">
        <v>682</v>
      </c>
      <c r="O51" t="s">
        <v>262</v>
      </c>
      <c r="P51" t="s">
        <v>707</v>
      </c>
      <c r="R51">
        <v>47.158560000000001</v>
      </c>
      <c r="S51">
        <v>11.358499</v>
      </c>
      <c r="T51" t="s">
        <v>703</v>
      </c>
      <c r="U51" s="4">
        <v>182</v>
      </c>
      <c r="V51" s="4">
        <v>10</v>
      </c>
      <c r="W51" s="4">
        <v>74</v>
      </c>
      <c r="X51" s="6">
        <f>125/$U51*$G51</f>
        <v>10.302197802197803</v>
      </c>
    </row>
    <row r="52" spans="1:37" x14ac:dyDescent="0.25">
      <c r="A52" s="4" t="s">
        <v>295</v>
      </c>
      <c r="B52" s="4" t="s">
        <v>664</v>
      </c>
      <c r="C52" s="4" t="s">
        <v>665</v>
      </c>
      <c r="D52" s="4">
        <v>6020</v>
      </c>
      <c r="E52" s="4" t="s">
        <v>354</v>
      </c>
      <c r="F52" s="4" t="s">
        <v>24</v>
      </c>
      <c r="G52" s="4">
        <v>6</v>
      </c>
      <c r="H52" s="4" t="s">
        <v>25</v>
      </c>
      <c r="I52" s="4" t="s">
        <v>60</v>
      </c>
      <c r="L52">
        <v>0</v>
      </c>
      <c r="M52" s="4">
        <v>1997</v>
      </c>
      <c r="N52" s="4"/>
      <c r="O52" s="4" t="s">
        <v>666</v>
      </c>
      <c r="P52" s="4"/>
      <c r="Q52" s="4"/>
      <c r="R52" s="4">
        <v>47.199931999999997</v>
      </c>
      <c r="S52" s="4">
        <v>11.391564000000001</v>
      </c>
      <c r="T52" s="4"/>
      <c r="U52" s="4">
        <v>175</v>
      </c>
      <c r="V52" s="4">
        <v>4.3600000000000003</v>
      </c>
      <c r="W52" s="4">
        <v>32</v>
      </c>
      <c r="X52" s="6">
        <f>125/$U52*$G52</f>
        <v>4.2857142857142856</v>
      </c>
      <c r="Y52" s="9"/>
      <c r="Z52" s="9"/>
      <c r="AA52" s="4"/>
      <c r="AB52" s="4"/>
      <c r="AC52" s="4"/>
      <c r="AD52" s="4"/>
      <c r="AG52" s="4"/>
      <c r="AH52" s="4"/>
      <c r="AI52" s="4"/>
      <c r="AJ52" s="4"/>
      <c r="AK52" s="4"/>
    </row>
    <row r="53" spans="1:37" x14ac:dyDescent="0.25">
      <c r="A53" s="4" t="s">
        <v>295</v>
      </c>
      <c r="B53" s="4" t="s">
        <v>352</v>
      </c>
      <c r="C53" t="s">
        <v>353</v>
      </c>
      <c r="D53">
        <v>6020</v>
      </c>
      <c r="E53" t="s">
        <v>354</v>
      </c>
      <c r="F53" s="4" t="s">
        <v>24</v>
      </c>
      <c r="G53" s="4">
        <v>20.9</v>
      </c>
      <c r="H53" s="4" t="s">
        <v>25</v>
      </c>
      <c r="I53" s="4" t="s">
        <v>60</v>
      </c>
      <c r="L53">
        <v>0</v>
      </c>
      <c r="M53" s="4">
        <v>1903</v>
      </c>
      <c r="N53" s="4"/>
      <c r="O53" t="s">
        <v>355</v>
      </c>
      <c r="Q53" s="4"/>
      <c r="R53" s="4">
        <v>47.202204000000002</v>
      </c>
      <c r="S53" s="4">
        <v>11.399552999999999</v>
      </c>
      <c r="T53" s="4" t="s">
        <v>704</v>
      </c>
      <c r="U53" s="4">
        <v>185</v>
      </c>
      <c r="V53" s="4">
        <v>12</v>
      </c>
      <c r="W53" s="4">
        <v>102.9</v>
      </c>
      <c r="X53" s="6">
        <f>125/$U53*$G53</f>
        <v>14.121621621621621</v>
      </c>
    </row>
    <row r="54" spans="1:37" x14ac:dyDescent="0.25">
      <c r="A54" t="s">
        <v>295</v>
      </c>
      <c r="B54" t="s">
        <v>296</v>
      </c>
      <c r="C54" t="s">
        <v>297</v>
      </c>
      <c r="D54">
        <v>6020</v>
      </c>
      <c r="E54" t="s">
        <v>298</v>
      </c>
      <c r="F54" t="s">
        <v>24</v>
      </c>
      <c r="G54">
        <v>28</v>
      </c>
      <c r="H54" t="s">
        <v>25</v>
      </c>
      <c r="I54" t="s">
        <v>36</v>
      </c>
      <c r="L54">
        <v>0</v>
      </c>
      <c r="M54">
        <v>1966</v>
      </c>
      <c r="O54" s="10" t="s">
        <v>299</v>
      </c>
      <c r="R54">
        <v>47.250999999999998</v>
      </c>
      <c r="S54">
        <v>11.405791000000001</v>
      </c>
      <c r="T54" t="s">
        <v>703</v>
      </c>
      <c r="U54">
        <v>11.8</v>
      </c>
      <c r="V54">
        <v>32.4</v>
      </c>
      <c r="W54">
        <v>132</v>
      </c>
      <c r="X54" s="6">
        <f>125/$U54*$G54</f>
        <v>296.61016949152543</v>
      </c>
      <c r="Y54" s="7">
        <v>36260</v>
      </c>
      <c r="Z54" s="11">
        <f>Y54/V54/60/60*G54/1000</f>
        <v>8.7043895747599444E-3</v>
      </c>
      <c r="AB54">
        <v>0</v>
      </c>
      <c r="AD54">
        <f>ROUND(0.95*IF($T54="Pelton",0.875,IF($T54="Kaplan",0.9,0.925))*IF($I54="Pumped Storage",0.875,1),2)</f>
        <v>0.88</v>
      </c>
      <c r="AE54">
        <f>ROUND(SQRT($AD54),3)*0.975</f>
        <v>0.91454999999999997</v>
      </c>
      <c r="AF54">
        <f>ROUND(SQRT($AD54),3)*1.025</f>
        <v>0.9614499999999998</v>
      </c>
    </row>
    <row r="55" spans="1:37" x14ac:dyDescent="0.25">
      <c r="A55" s="4" t="s">
        <v>33</v>
      </c>
      <c r="B55" s="4" t="s">
        <v>484</v>
      </c>
      <c r="C55" s="4" t="s">
        <v>654</v>
      </c>
      <c r="D55" s="4">
        <v>6143</v>
      </c>
      <c r="E55" s="4" t="s">
        <v>485</v>
      </c>
      <c r="F55" s="4" t="s">
        <v>24</v>
      </c>
      <c r="G55" s="4">
        <v>7.7</v>
      </c>
      <c r="H55" s="4" t="s">
        <v>25</v>
      </c>
      <c r="I55" s="4" t="s">
        <v>60</v>
      </c>
      <c r="L55">
        <v>0</v>
      </c>
      <c r="M55" s="4">
        <v>1898</v>
      </c>
      <c r="N55" s="4" t="s">
        <v>368</v>
      </c>
      <c r="O55" s="4" t="s">
        <v>370</v>
      </c>
      <c r="P55" s="4"/>
      <c r="Q55" s="4"/>
      <c r="R55" s="4">
        <v>47.145671999999998</v>
      </c>
      <c r="S55" s="4">
        <v>11.449206</v>
      </c>
      <c r="T55" s="4" t="s">
        <v>703</v>
      </c>
      <c r="U55" s="4">
        <v>82</v>
      </c>
      <c r="V55" s="4">
        <v>12</v>
      </c>
      <c r="W55" s="4">
        <v>49</v>
      </c>
      <c r="X55" s="6">
        <f>125/$U55*$G55</f>
        <v>11.737804878048781</v>
      </c>
      <c r="Y55" s="9"/>
      <c r="Z55" s="9"/>
      <c r="AA55" s="4"/>
      <c r="AB55" s="4"/>
      <c r="AC55" s="4"/>
      <c r="AD55" s="4"/>
      <c r="AG55" s="4"/>
      <c r="AH55" s="4"/>
      <c r="AI55" s="4"/>
      <c r="AJ55" s="4"/>
      <c r="AK55" s="4"/>
    </row>
    <row r="56" spans="1:37" x14ac:dyDescent="0.25">
      <c r="A56" t="s">
        <v>733</v>
      </c>
      <c r="B56" t="s">
        <v>773</v>
      </c>
      <c r="C56" t="s">
        <v>775</v>
      </c>
      <c r="D56" t="s">
        <v>777</v>
      </c>
      <c r="E56" t="s">
        <v>773</v>
      </c>
      <c r="F56" t="s">
        <v>743</v>
      </c>
      <c r="G56">
        <v>160</v>
      </c>
      <c r="H56" t="s">
        <v>25</v>
      </c>
      <c r="I56" t="s">
        <v>26</v>
      </c>
      <c r="M56">
        <v>1958</v>
      </c>
      <c r="N56" t="s">
        <v>850</v>
      </c>
      <c r="R56">
        <v>49.487119999999997</v>
      </c>
      <c r="S56">
        <v>11.47479</v>
      </c>
      <c r="T56" t="s">
        <v>703</v>
      </c>
      <c r="U56">
        <v>209</v>
      </c>
      <c r="V56">
        <v>96</v>
      </c>
      <c r="X56">
        <v>95.693779904306226</v>
      </c>
      <c r="Y56" s="7">
        <v>1800000</v>
      </c>
      <c r="Z56" s="7">
        <v>0.83333333333333326</v>
      </c>
      <c r="AA56">
        <v>0.9</v>
      </c>
      <c r="AD56">
        <f>ROUND(0.95*IF($T56="Pelton",0.875,IF($T56="Kaplan",0.9,0.925))*IF($I56="Pumped Storage",0.875,1),2)</f>
        <v>0.77</v>
      </c>
      <c r="AE56">
        <f>ROUND(SQRT($AD56),3)*0.975</f>
        <v>0.85507500000000003</v>
      </c>
      <c r="AF56">
        <f>ROUND(SQRT($AD56),3)*1.025</f>
        <v>0.89892499999999997</v>
      </c>
    </row>
    <row r="57" spans="1:37" x14ac:dyDescent="0.25">
      <c r="A57" t="s">
        <v>765</v>
      </c>
      <c r="B57" t="s">
        <v>784</v>
      </c>
      <c r="C57" t="s">
        <v>785</v>
      </c>
      <c r="D57" t="s">
        <v>786</v>
      </c>
      <c r="E57" t="s">
        <v>787</v>
      </c>
      <c r="F57" t="s">
        <v>743</v>
      </c>
      <c r="G57">
        <v>317.8</v>
      </c>
      <c r="H57" t="s">
        <v>25</v>
      </c>
      <c r="I57" t="s">
        <v>26</v>
      </c>
      <c r="M57">
        <v>1965</v>
      </c>
      <c r="O57" t="s">
        <v>847</v>
      </c>
      <c r="P57" t="s">
        <v>860</v>
      </c>
      <c r="R57">
        <v>50.603848980000002</v>
      </c>
      <c r="S57">
        <v>11.475176810000001</v>
      </c>
      <c r="T57" t="s">
        <v>703</v>
      </c>
      <c r="U57">
        <v>302</v>
      </c>
      <c r="V57">
        <v>128.80000000000001</v>
      </c>
      <c r="X57">
        <v>131.53973509933775</v>
      </c>
      <c r="Y57" s="7">
        <v>3280000</v>
      </c>
      <c r="Z57" s="7">
        <v>2.2480676328502414</v>
      </c>
      <c r="AA57">
        <v>2.0870000000000002</v>
      </c>
      <c r="AB57">
        <v>336</v>
      </c>
      <c r="AC57">
        <v>88.8</v>
      </c>
      <c r="AD57">
        <f>ROUND(0.95*IF($T57="Pelton",0.875,IF($T57="Kaplan",0.9,0.925))*IF($I57="Pumped Storage",0.875,1),2)</f>
        <v>0.77</v>
      </c>
      <c r="AE57">
        <f>ROUND(SQRT($AD57),3)*0.975</f>
        <v>0.85507500000000003</v>
      </c>
      <c r="AF57">
        <f>ROUND(SQRT($AD57),3)*1.025</f>
        <v>0.89892499999999997</v>
      </c>
    </row>
    <row r="58" spans="1:37" x14ac:dyDescent="0.25">
      <c r="A58" t="s">
        <v>765</v>
      </c>
      <c r="B58" t="s">
        <v>783</v>
      </c>
      <c r="C58" t="s">
        <v>785</v>
      </c>
      <c r="D58" t="s">
        <v>786</v>
      </c>
      <c r="E58" t="s">
        <v>787</v>
      </c>
      <c r="F58" t="s">
        <v>743</v>
      </c>
      <c r="G58">
        <v>62.75</v>
      </c>
      <c r="H58" t="s">
        <v>25</v>
      </c>
      <c r="I58" t="s">
        <v>26</v>
      </c>
      <c r="M58">
        <v>1959</v>
      </c>
      <c r="O58" t="s">
        <v>851</v>
      </c>
      <c r="P58" t="s">
        <v>859</v>
      </c>
      <c r="R58">
        <v>50.614334229999997</v>
      </c>
      <c r="S58">
        <v>11.49212837</v>
      </c>
      <c r="U58">
        <v>56</v>
      </c>
      <c r="V58">
        <v>120</v>
      </c>
      <c r="X58">
        <v>140.06696428571428</v>
      </c>
      <c r="Y58" s="7">
        <v>181000000</v>
      </c>
      <c r="Z58" s="7">
        <v>26.291087962962962</v>
      </c>
      <c r="AA58">
        <v>0.79500000000000004</v>
      </c>
      <c r="AB58">
        <v>36</v>
      </c>
      <c r="AC58">
        <v>26</v>
      </c>
      <c r="AD58">
        <f>ROUND(0.95*IF($T58="Pelton",0.875,IF($T58="Kaplan",0.9,0.925))*IF($I58="Pumped Storage",0.875,1),2)</f>
        <v>0.77</v>
      </c>
      <c r="AE58">
        <f>ROUND(SQRT($AD58),3)*0.975</f>
        <v>0.85507500000000003</v>
      </c>
      <c r="AF58">
        <f>ROUND(SQRT($AD58),3)*1.025</f>
        <v>0.89892499999999997</v>
      </c>
    </row>
    <row r="59" spans="1:37" x14ac:dyDescent="0.25">
      <c r="A59" t="s">
        <v>765</v>
      </c>
      <c r="B59" s="4" t="s">
        <v>809</v>
      </c>
      <c r="C59" t="s">
        <v>810</v>
      </c>
      <c r="D59" t="s">
        <v>811</v>
      </c>
      <c r="E59" t="s">
        <v>812</v>
      </c>
      <c r="F59" t="s">
        <v>743</v>
      </c>
      <c r="G59">
        <v>79.8</v>
      </c>
      <c r="H59" t="s">
        <v>25</v>
      </c>
      <c r="I59" t="s">
        <v>26</v>
      </c>
      <c r="M59">
        <v>1932</v>
      </c>
      <c r="O59" t="s">
        <v>842</v>
      </c>
      <c r="P59" t="s">
        <v>859</v>
      </c>
      <c r="R59">
        <v>50.524384820000002</v>
      </c>
      <c r="S59">
        <v>11.714386940000001</v>
      </c>
      <c r="T59" t="s">
        <v>703</v>
      </c>
      <c r="U59">
        <v>49</v>
      </c>
      <c r="V59">
        <v>180</v>
      </c>
      <c r="W59">
        <v>40</v>
      </c>
      <c r="X59">
        <v>203.57142857142856</v>
      </c>
      <c r="Y59" s="7">
        <v>213000000</v>
      </c>
      <c r="Z59" s="7">
        <v>26.230555555555554</v>
      </c>
      <c r="AA59">
        <v>0.753</v>
      </c>
      <c r="AB59">
        <v>15</v>
      </c>
      <c r="AC59">
        <v>25</v>
      </c>
      <c r="AD59">
        <f>ROUND(0.95*IF($T59="Pelton",0.875,IF($T59="Kaplan",0.9,0.925))*IF($I59="Pumped Storage",0.875,1),2)</f>
        <v>0.77</v>
      </c>
      <c r="AE59">
        <f>ROUND(SQRT($AD59),3)*0.975</f>
        <v>0.85507500000000003</v>
      </c>
      <c r="AF59">
        <f>ROUND(SQRT($AD59),3)*1.025</f>
        <v>0.89892499999999997</v>
      </c>
    </row>
    <row r="60" spans="1:37" x14ac:dyDescent="0.25">
      <c r="A60" t="s">
        <v>33</v>
      </c>
      <c r="B60" t="s">
        <v>178</v>
      </c>
      <c r="C60" t="s">
        <v>179</v>
      </c>
      <c r="D60">
        <v>6200</v>
      </c>
      <c r="E60" t="s">
        <v>180</v>
      </c>
      <c r="F60" t="s">
        <v>24</v>
      </c>
      <c r="G60">
        <v>79</v>
      </c>
      <c r="H60" t="s">
        <v>25</v>
      </c>
      <c r="I60" t="s">
        <v>36</v>
      </c>
      <c r="L60">
        <v>0</v>
      </c>
      <c r="M60">
        <v>1927</v>
      </c>
      <c r="O60" t="s">
        <v>71</v>
      </c>
      <c r="R60">
        <v>47.389448999999999</v>
      </c>
      <c r="S60">
        <v>11.756055</v>
      </c>
      <c r="T60" t="s">
        <v>704</v>
      </c>
      <c r="U60">
        <v>390</v>
      </c>
      <c r="V60">
        <v>28</v>
      </c>
      <c r="W60">
        <v>219.5</v>
      </c>
      <c r="X60" s="6">
        <f>125/$U60*$G60</f>
        <v>25.320512820512821</v>
      </c>
      <c r="Y60" s="7">
        <v>66000000</v>
      </c>
      <c r="Z60" s="11">
        <f>Y60/V60/60/60*G60/1000</f>
        <v>51.726190476190482</v>
      </c>
      <c r="AB60">
        <v>0</v>
      </c>
      <c r="AD60">
        <f>ROUND(0.95*IF($T60="Pelton",0.875,IF($T60="Kaplan",0.9,0.925))*IF($I60="Pumped Storage",0.875,1),2)</f>
        <v>0.83</v>
      </c>
      <c r="AE60">
        <f>ROUND(SQRT($AD60),3)*0.975</f>
        <v>0.88822500000000004</v>
      </c>
      <c r="AF60">
        <f>ROUND(SQRT($AD60),3)*1.025</f>
        <v>0.93377499999999991</v>
      </c>
    </row>
    <row r="61" spans="1:37" x14ac:dyDescent="0.25">
      <c r="A61" t="s">
        <v>22</v>
      </c>
      <c r="B61" t="s">
        <v>88</v>
      </c>
      <c r="C61" t="s">
        <v>89</v>
      </c>
      <c r="D61">
        <v>6295</v>
      </c>
      <c r="E61" t="s">
        <v>90</v>
      </c>
      <c r="F61" t="s">
        <v>24</v>
      </c>
      <c r="G61">
        <v>231</v>
      </c>
      <c r="H61" t="s">
        <v>25</v>
      </c>
      <c r="I61" t="s">
        <v>26</v>
      </c>
      <c r="J61" t="s">
        <v>518</v>
      </c>
      <c r="L61">
        <v>0</v>
      </c>
      <c r="M61">
        <v>1972</v>
      </c>
      <c r="O61" t="s">
        <v>27</v>
      </c>
      <c r="Q61" t="s">
        <v>91</v>
      </c>
      <c r="R61">
        <v>47.086875999999997</v>
      </c>
      <c r="S61">
        <v>11.774061</v>
      </c>
      <c r="T61" t="s">
        <v>703</v>
      </c>
      <c r="U61">
        <v>630</v>
      </c>
      <c r="V61">
        <v>52</v>
      </c>
      <c r="W61">
        <v>313.2</v>
      </c>
      <c r="X61" s="6">
        <f>125/$U61*$G61</f>
        <v>45.833333333333329</v>
      </c>
      <c r="Y61" s="7">
        <v>126500000</v>
      </c>
      <c r="Z61" s="11">
        <f>Y61/V61/60/60*G61/1000</f>
        <v>156.09775641025638</v>
      </c>
      <c r="AB61">
        <v>252</v>
      </c>
      <c r="AD61">
        <f>ROUND(0.95*IF($T61="Pelton",0.875,IF($T61="Kaplan",0.9,0.925))*IF($I61="Pumped Storage",0.875,1),2)</f>
        <v>0.77</v>
      </c>
      <c r="AE61">
        <f>ROUND(SQRT($AD61),3)*0.975</f>
        <v>0.85507500000000003</v>
      </c>
      <c r="AF61">
        <f>ROUND(SQRT($AD61),3)*1.025</f>
        <v>0.89892499999999997</v>
      </c>
    </row>
    <row r="62" spans="1:37" x14ac:dyDescent="0.25">
      <c r="A62" s="3" t="s">
        <v>22</v>
      </c>
      <c r="B62" s="3" t="s">
        <v>310</v>
      </c>
      <c r="C62" t="s">
        <v>567</v>
      </c>
      <c r="D62">
        <v>6292</v>
      </c>
      <c r="E62" t="s">
        <v>53</v>
      </c>
      <c r="F62" t="s">
        <v>24</v>
      </c>
      <c r="G62">
        <v>25</v>
      </c>
      <c r="H62" t="s">
        <v>25</v>
      </c>
      <c r="I62" t="s">
        <v>36</v>
      </c>
      <c r="L62">
        <v>0</v>
      </c>
      <c r="M62">
        <v>1940</v>
      </c>
      <c r="O62" t="s">
        <v>27</v>
      </c>
      <c r="R62">
        <v>47.151919999999997</v>
      </c>
      <c r="S62">
        <v>11.833297999999999</v>
      </c>
      <c r="T62" t="s">
        <v>703</v>
      </c>
      <c r="U62" s="3"/>
      <c r="V62" s="3"/>
      <c r="W62">
        <v>68.900000000000006</v>
      </c>
      <c r="X62" s="6" t="e">
        <f>125/$U62*$G62</f>
        <v>#DIV/0!</v>
      </c>
      <c r="Z62" s="11"/>
      <c r="AB62">
        <v>0</v>
      </c>
      <c r="AD62">
        <f>ROUND(0.95*IF($T62="Pelton",0.875,IF($T62="Kaplan",0.9,0.925))*IF($I62="Pumped Storage",0.875,1),2)</f>
        <v>0.88</v>
      </c>
      <c r="AE62">
        <f>ROUND(SQRT($AD62),3)*0.975</f>
        <v>0.91454999999999997</v>
      </c>
      <c r="AF62">
        <f>ROUND(SQRT($AD62),3)*1.025</f>
        <v>0.9614499999999998</v>
      </c>
    </row>
    <row r="63" spans="1:37" x14ac:dyDescent="0.25">
      <c r="A63" t="s">
        <v>22</v>
      </c>
      <c r="B63" t="s">
        <v>53</v>
      </c>
      <c r="C63" t="s">
        <v>55</v>
      </c>
      <c r="D63">
        <v>6290</v>
      </c>
      <c r="E63" t="s">
        <v>53</v>
      </c>
      <c r="F63" t="s">
        <v>24</v>
      </c>
      <c r="G63">
        <v>355</v>
      </c>
      <c r="H63" t="s">
        <v>25</v>
      </c>
      <c r="I63" t="s">
        <v>36</v>
      </c>
      <c r="J63" t="s">
        <v>56</v>
      </c>
      <c r="L63">
        <v>0</v>
      </c>
      <c r="M63">
        <v>1977</v>
      </c>
      <c r="O63" t="s">
        <v>27</v>
      </c>
      <c r="Q63" t="s">
        <v>57</v>
      </c>
      <c r="R63">
        <v>47.158171000000003</v>
      </c>
      <c r="S63">
        <v>11.850272</v>
      </c>
      <c r="T63" t="s">
        <v>704</v>
      </c>
      <c r="U63">
        <v>475.9</v>
      </c>
      <c r="V63">
        <v>92</v>
      </c>
      <c r="W63">
        <v>7</v>
      </c>
      <c r="X63" s="6">
        <f>125/$U63*$G63</f>
        <v>93.244379071233467</v>
      </c>
      <c r="Y63" s="7">
        <v>6600000</v>
      </c>
      <c r="Z63" s="11">
        <f>Y63/V63/60/60*G63/1000</f>
        <v>7.0742753623188408</v>
      </c>
      <c r="AB63">
        <v>0</v>
      </c>
      <c r="AD63">
        <f>ROUND(0.95*IF($T63="Pelton",0.875,IF($T63="Kaplan",0.9,0.925))*IF($I63="Pumped Storage",0.875,1),2)</f>
        <v>0.83</v>
      </c>
      <c r="AE63">
        <f>ROUND(SQRT($AD63),3)*0.975</f>
        <v>0.88822500000000004</v>
      </c>
      <c r="AF63">
        <f>ROUND(SQRT($AD63),3)*1.025</f>
        <v>0.93377499999999991</v>
      </c>
    </row>
    <row r="64" spans="1:37" x14ac:dyDescent="0.25">
      <c r="A64" t="s">
        <v>819</v>
      </c>
      <c r="B64" t="s">
        <v>817</v>
      </c>
      <c r="D64" t="s">
        <v>820</v>
      </c>
      <c r="E64" t="s">
        <v>821</v>
      </c>
      <c r="F64" t="s">
        <v>743</v>
      </c>
      <c r="G64">
        <v>48</v>
      </c>
      <c r="H64" t="s">
        <v>25</v>
      </c>
      <c r="I64" t="s">
        <v>26</v>
      </c>
      <c r="M64">
        <v>1983</v>
      </c>
      <c r="O64" t="s">
        <v>858</v>
      </c>
      <c r="R64">
        <v>47.873938000000003</v>
      </c>
      <c r="S64">
        <v>11.870990000000001</v>
      </c>
      <c r="T64" t="s">
        <v>703</v>
      </c>
      <c r="U64">
        <v>125</v>
      </c>
      <c r="V64">
        <v>48</v>
      </c>
      <c r="X64">
        <v>48</v>
      </c>
      <c r="Y64" s="7">
        <v>1000000</v>
      </c>
      <c r="Z64" s="7">
        <v>0.27777777777777779</v>
      </c>
      <c r="AA64">
        <v>0.55000000000000004</v>
      </c>
      <c r="AB64">
        <v>45.4</v>
      </c>
      <c r="AD64">
        <f>ROUND(0.95*IF($T64="Pelton",0.875,IF($T64="Kaplan",0.9,0.925))*IF($I64="Pumped Storage",0.875,1),2)</f>
        <v>0.77</v>
      </c>
      <c r="AE64">
        <f>ROUND(SQRT($AD64),3)*0.975</f>
        <v>0.85507500000000003</v>
      </c>
      <c r="AF64">
        <f>ROUND(SQRT($AD64),3)*1.025</f>
        <v>0.89892499999999997</v>
      </c>
    </row>
    <row r="65" spans="1:37" x14ac:dyDescent="0.25">
      <c r="A65" t="s">
        <v>819</v>
      </c>
      <c r="B65" t="s">
        <v>818</v>
      </c>
      <c r="D65" t="s">
        <v>820</v>
      </c>
      <c r="E65" t="s">
        <v>821</v>
      </c>
      <c r="F65" t="s">
        <v>743</v>
      </c>
      <c r="G65">
        <v>44</v>
      </c>
      <c r="H65" t="s">
        <v>25</v>
      </c>
      <c r="I65" t="s">
        <v>26</v>
      </c>
      <c r="M65">
        <v>1960</v>
      </c>
      <c r="O65" t="s">
        <v>858</v>
      </c>
      <c r="R65">
        <v>47.873938000000003</v>
      </c>
      <c r="S65">
        <v>11.870990000000001</v>
      </c>
      <c r="T65" t="s">
        <v>703</v>
      </c>
      <c r="U65">
        <v>125</v>
      </c>
      <c r="V65">
        <v>44</v>
      </c>
      <c r="X65">
        <v>44</v>
      </c>
      <c r="Y65" s="7">
        <v>1000000</v>
      </c>
      <c r="Z65" s="7">
        <v>0.27777777777777779</v>
      </c>
      <c r="AA65">
        <v>0.55000000000000004</v>
      </c>
      <c r="AB65">
        <v>36.799999999999997</v>
      </c>
      <c r="AD65">
        <f>ROUND(0.95*IF($T65="Pelton",0.875,IF($T65="Kaplan",0.9,0.925))*IF($I65="Pumped Storage",0.875,1),2)</f>
        <v>0.77</v>
      </c>
      <c r="AE65">
        <f>ROUND(SQRT($AD65),3)*0.975</f>
        <v>0.85507500000000003</v>
      </c>
      <c r="AF65">
        <f>ROUND(SQRT($AD65),3)*1.025</f>
        <v>0.89892499999999997</v>
      </c>
    </row>
    <row r="66" spans="1:37" x14ac:dyDescent="0.25">
      <c r="A66" t="s">
        <v>22</v>
      </c>
      <c r="B66" t="s">
        <v>519</v>
      </c>
      <c r="C66" t="s">
        <v>97</v>
      </c>
      <c r="D66">
        <v>6280</v>
      </c>
      <c r="E66" t="s">
        <v>98</v>
      </c>
      <c r="F66" t="s">
        <v>24</v>
      </c>
      <c r="G66">
        <v>200.2</v>
      </c>
      <c r="H66" t="s">
        <v>25</v>
      </c>
      <c r="I66" t="s">
        <v>36</v>
      </c>
      <c r="J66" t="s">
        <v>520</v>
      </c>
      <c r="L66">
        <v>0</v>
      </c>
      <c r="M66">
        <v>1949</v>
      </c>
      <c r="O66" t="s">
        <v>27</v>
      </c>
      <c r="Q66" t="s">
        <v>99</v>
      </c>
      <c r="R66">
        <v>47.233704000000003</v>
      </c>
      <c r="S66">
        <v>11.899668999999999</v>
      </c>
      <c r="T66" s="4" t="s">
        <v>704</v>
      </c>
      <c r="U66">
        <v>611</v>
      </c>
      <c r="V66">
        <v>41.5</v>
      </c>
      <c r="W66">
        <v>32.299999999999997</v>
      </c>
      <c r="X66" s="6">
        <f>125/$U66*$G66</f>
        <v>40.957446808510632</v>
      </c>
      <c r="Y66" s="7">
        <v>850000</v>
      </c>
      <c r="Z66" s="11">
        <f>Y66/V66/60/60*G66/1000</f>
        <v>1.1390227576974565</v>
      </c>
      <c r="AB66">
        <v>0</v>
      </c>
      <c r="AD66">
        <f>ROUND(0.95*IF($T66="Pelton",0.875,IF($T66="Kaplan",0.9,0.925))*IF($I66="Pumped Storage",0.875,1),2)</f>
        <v>0.83</v>
      </c>
      <c r="AE66">
        <f>ROUND(SQRT($AD66),3)*0.975</f>
        <v>0.88822500000000004</v>
      </c>
      <c r="AF66">
        <f>ROUND(SQRT($AD66),3)*1.025</f>
        <v>0.93377499999999991</v>
      </c>
    </row>
    <row r="67" spans="1:37" x14ac:dyDescent="0.25">
      <c r="A67" t="s">
        <v>22</v>
      </c>
      <c r="B67" t="s">
        <v>52</v>
      </c>
      <c r="C67" t="s">
        <v>510</v>
      </c>
      <c r="D67">
        <v>6290</v>
      </c>
      <c r="E67" t="s">
        <v>53</v>
      </c>
      <c r="F67" t="s">
        <v>24</v>
      </c>
      <c r="G67">
        <v>360</v>
      </c>
      <c r="H67" t="s">
        <v>25</v>
      </c>
      <c r="I67" t="s">
        <v>26</v>
      </c>
      <c r="L67">
        <v>0</v>
      </c>
      <c r="M67">
        <v>1988</v>
      </c>
      <c r="O67" t="s">
        <v>27</v>
      </c>
      <c r="Q67" t="s">
        <v>54</v>
      </c>
      <c r="R67">
        <v>47.146189999999997</v>
      </c>
      <c r="S67">
        <v>11.96744</v>
      </c>
      <c r="T67" t="s">
        <v>703</v>
      </c>
      <c r="U67">
        <v>696</v>
      </c>
      <c r="V67">
        <v>65</v>
      </c>
      <c r="W67">
        <v>175.2</v>
      </c>
      <c r="X67" s="6">
        <f>125/$U67*$G67</f>
        <v>64.655172413793096</v>
      </c>
      <c r="Y67" s="7">
        <v>86700000</v>
      </c>
      <c r="Z67" s="11">
        <f>Y67/V67/60/60*G67/1000</f>
        <v>133.38461538461539</v>
      </c>
      <c r="AB67">
        <v>305</v>
      </c>
      <c r="AD67">
        <f>ROUND(0.95*IF($T67="Pelton",0.875,IF($T67="Kaplan",0.9,0.925))*IF($I67="Pumped Storage",0.875,1),2)</f>
        <v>0.77</v>
      </c>
      <c r="AE67">
        <f>ROUND(SQRT($AD67),3)*0.975</f>
        <v>0.85507500000000003</v>
      </c>
      <c r="AF67">
        <f>ROUND(SQRT($AD67),3)*1.025</f>
        <v>0.89892499999999997</v>
      </c>
    </row>
    <row r="68" spans="1:37" x14ac:dyDescent="0.25">
      <c r="A68" s="3" t="s">
        <v>22</v>
      </c>
      <c r="B68" s="3" t="s">
        <v>311</v>
      </c>
      <c r="C68" t="s">
        <v>566</v>
      </c>
      <c r="D68">
        <v>6281</v>
      </c>
      <c r="E68" t="s">
        <v>96</v>
      </c>
      <c r="F68" t="s">
        <v>24</v>
      </c>
      <c r="G68">
        <v>25</v>
      </c>
      <c r="H68" t="s">
        <v>25</v>
      </c>
      <c r="I68" t="s">
        <v>36</v>
      </c>
      <c r="L68">
        <v>0</v>
      </c>
      <c r="M68">
        <v>1968</v>
      </c>
      <c r="O68" t="s">
        <v>27</v>
      </c>
      <c r="R68">
        <v>47.235342000000003</v>
      </c>
      <c r="S68">
        <v>12.05805</v>
      </c>
      <c r="T68" t="s">
        <v>703</v>
      </c>
      <c r="U68" s="3"/>
      <c r="V68" s="3"/>
      <c r="W68">
        <v>27</v>
      </c>
      <c r="X68" s="6" t="e">
        <f>125/$U68*$G68</f>
        <v>#DIV/0!</v>
      </c>
      <c r="Z68" s="11"/>
      <c r="AB68">
        <v>0</v>
      </c>
      <c r="AD68">
        <f>ROUND(0.95*IF($T68="Pelton",0.875,IF($T68="Kaplan",0.9,0.925))*IF($I68="Pumped Storage",0.875,1),2)</f>
        <v>0.88</v>
      </c>
      <c r="AE68">
        <f>ROUND(SQRT($AD68),3)*0.975</f>
        <v>0.91454999999999997</v>
      </c>
      <c r="AF68">
        <f>ROUND(SQRT($AD68),3)*1.025</f>
        <v>0.9614499999999998</v>
      </c>
    </row>
    <row r="69" spans="1:37" x14ac:dyDescent="0.25">
      <c r="A69" s="4" t="s">
        <v>33</v>
      </c>
      <c r="B69" s="4" t="s">
        <v>676</v>
      </c>
      <c r="C69" t="s">
        <v>571</v>
      </c>
      <c r="D69">
        <v>6322</v>
      </c>
      <c r="E69" t="s">
        <v>328</v>
      </c>
      <c r="F69" s="4" t="s">
        <v>24</v>
      </c>
      <c r="G69" s="4">
        <v>23.1</v>
      </c>
      <c r="H69" s="4" t="s">
        <v>25</v>
      </c>
      <c r="I69" s="4" t="s">
        <v>60</v>
      </c>
      <c r="L69">
        <v>0</v>
      </c>
      <c r="M69" s="4">
        <v>1941</v>
      </c>
      <c r="N69" s="4"/>
      <c r="O69" s="4" t="s">
        <v>215</v>
      </c>
      <c r="P69" s="4"/>
      <c r="Q69" s="4"/>
      <c r="R69" s="4">
        <v>47.516064</v>
      </c>
      <c r="S69" s="4">
        <v>12.087818</v>
      </c>
      <c r="T69" s="4" t="s">
        <v>700</v>
      </c>
      <c r="U69" s="4">
        <v>9.6999999999999993</v>
      </c>
      <c r="V69" s="4">
        <v>284</v>
      </c>
      <c r="W69" s="4">
        <v>131</v>
      </c>
      <c r="X69" s="6">
        <f>125/$U69*$G69</f>
        <v>297.68041237113403</v>
      </c>
    </row>
    <row r="70" spans="1:37" x14ac:dyDescent="0.25">
      <c r="A70" t="s">
        <v>33</v>
      </c>
      <c r="B70" t="s">
        <v>271</v>
      </c>
      <c r="C70" t="s">
        <v>559</v>
      </c>
      <c r="D70">
        <v>6330</v>
      </c>
      <c r="E70" t="s">
        <v>272</v>
      </c>
      <c r="F70" t="s">
        <v>24</v>
      </c>
      <c r="G70">
        <v>32</v>
      </c>
      <c r="H70" t="s">
        <v>25</v>
      </c>
      <c r="I70" t="s">
        <v>60</v>
      </c>
      <c r="L70">
        <v>0</v>
      </c>
      <c r="M70">
        <v>1998</v>
      </c>
      <c r="O70" t="s">
        <v>215</v>
      </c>
      <c r="R70">
        <v>47.560121000000002</v>
      </c>
      <c r="S70">
        <v>12.139066</v>
      </c>
      <c r="T70" t="s">
        <v>700</v>
      </c>
      <c r="U70">
        <v>7.73</v>
      </c>
      <c r="V70">
        <v>425</v>
      </c>
      <c r="W70">
        <v>169</v>
      </c>
      <c r="X70" s="6">
        <f>125/$U70*$G70</f>
        <v>517.4644243208279</v>
      </c>
    </row>
    <row r="71" spans="1:37" x14ac:dyDescent="0.25">
      <c r="A71" t="s">
        <v>22</v>
      </c>
      <c r="B71" t="s">
        <v>216</v>
      </c>
      <c r="C71" t="s">
        <v>217</v>
      </c>
      <c r="D71">
        <v>6341</v>
      </c>
      <c r="E71" t="s">
        <v>218</v>
      </c>
      <c r="F71" t="s">
        <v>130</v>
      </c>
      <c r="G71">
        <v>60</v>
      </c>
      <c r="H71" t="s">
        <v>25</v>
      </c>
      <c r="I71" t="s">
        <v>60</v>
      </c>
      <c r="L71">
        <v>0</v>
      </c>
      <c r="M71">
        <v>1992</v>
      </c>
      <c r="N71" t="s">
        <v>131</v>
      </c>
      <c r="O71" t="s">
        <v>27</v>
      </c>
      <c r="R71">
        <v>47.641157999999997</v>
      </c>
      <c r="S71">
        <v>12.198399999999999</v>
      </c>
      <c r="T71" t="s">
        <v>700</v>
      </c>
      <c r="U71">
        <v>12.58</v>
      </c>
      <c r="V71">
        <v>580</v>
      </c>
      <c r="W71">
        <v>268</v>
      </c>
      <c r="X71" s="6">
        <f>125/$U71*$G71</f>
        <v>596.18441971383152</v>
      </c>
    </row>
    <row r="72" spans="1:37" x14ac:dyDescent="0.25">
      <c r="A72" t="s">
        <v>145</v>
      </c>
      <c r="B72" t="s">
        <v>500</v>
      </c>
      <c r="C72" t="s">
        <v>501</v>
      </c>
      <c r="D72">
        <v>5741</v>
      </c>
      <c r="E72" t="s">
        <v>326</v>
      </c>
      <c r="F72" t="s">
        <v>24</v>
      </c>
      <c r="G72">
        <v>5</v>
      </c>
      <c r="H72" t="s">
        <v>25</v>
      </c>
      <c r="I72" t="s">
        <v>36</v>
      </c>
      <c r="L72">
        <v>0</v>
      </c>
      <c r="M72">
        <v>2005</v>
      </c>
      <c r="O72" t="s">
        <v>502</v>
      </c>
      <c r="R72">
        <v>47.282829999999997</v>
      </c>
      <c r="S72">
        <v>12.221247</v>
      </c>
      <c r="T72" t="s">
        <v>704</v>
      </c>
      <c r="U72">
        <v>601.25</v>
      </c>
      <c r="V72">
        <v>1</v>
      </c>
      <c r="W72">
        <v>16.54</v>
      </c>
      <c r="X72" s="6">
        <f>125/$U72*$G72</f>
        <v>1.0395010395010396</v>
      </c>
      <c r="Y72" s="7">
        <v>5600</v>
      </c>
      <c r="Z72" s="11">
        <f>Y72/V72/60/60*G72/1000</f>
        <v>7.7777777777777776E-3</v>
      </c>
      <c r="AB72">
        <v>0</v>
      </c>
      <c r="AD72">
        <f>ROUND(0.95*IF($T72="Pelton",0.875,IF($T72="Kaplan",0.9,0.925))*IF($I72="Pumped Storage",0.875,1),2)</f>
        <v>0.83</v>
      </c>
      <c r="AE72">
        <f>ROUND(SQRT($AD72),3)*0.975</f>
        <v>0.88822500000000004</v>
      </c>
      <c r="AF72">
        <f>ROUND(SQRT($AD72),3)*1.025</f>
        <v>0.93377499999999991</v>
      </c>
    </row>
    <row r="73" spans="1:37" x14ac:dyDescent="0.25">
      <c r="A73" t="s">
        <v>145</v>
      </c>
      <c r="B73" t="s">
        <v>324</v>
      </c>
      <c r="C73" t="s">
        <v>325</v>
      </c>
      <c r="D73">
        <v>5742</v>
      </c>
      <c r="E73" t="s">
        <v>326</v>
      </c>
      <c r="F73" t="s">
        <v>24</v>
      </c>
      <c r="G73">
        <v>23.5</v>
      </c>
      <c r="H73" t="s">
        <v>25</v>
      </c>
      <c r="I73" t="s">
        <v>36</v>
      </c>
      <c r="L73">
        <v>0</v>
      </c>
      <c r="M73">
        <v>1988</v>
      </c>
      <c r="O73" t="s">
        <v>327</v>
      </c>
      <c r="R73">
        <v>47.243943999999999</v>
      </c>
      <c r="S73">
        <v>12.2302</v>
      </c>
      <c r="T73" t="s">
        <v>703</v>
      </c>
      <c r="U73">
        <v>193.57</v>
      </c>
      <c r="V73">
        <v>14.1</v>
      </c>
      <c r="W73">
        <v>64</v>
      </c>
      <c r="X73" s="6">
        <f>125/$U73*$G73</f>
        <v>15.175388748256445</v>
      </c>
      <c r="Y73" s="7">
        <v>58500</v>
      </c>
      <c r="Z73" s="11">
        <f>Y73/V73/60/60*G73/1000</f>
        <v>2.7083333333333334E-2</v>
      </c>
      <c r="AB73">
        <v>0</v>
      </c>
      <c r="AD73">
        <f>ROUND(0.95*IF($T73="Pelton",0.875,IF($T73="Kaplan",0.9,0.925))*IF($I73="Pumped Storage",0.875,1),2)</f>
        <v>0.88</v>
      </c>
      <c r="AE73">
        <f>ROUND(SQRT($AD73),3)*0.975</f>
        <v>0.91454999999999997</v>
      </c>
      <c r="AF73">
        <f>ROUND(SQRT($AD73),3)*1.025</f>
        <v>0.9614499999999998</v>
      </c>
    </row>
    <row r="74" spans="1:37" x14ac:dyDescent="0.25">
      <c r="A74" t="s">
        <v>813</v>
      </c>
      <c r="B74" t="s">
        <v>856</v>
      </c>
      <c r="C74" t="s">
        <v>814</v>
      </c>
      <c r="D74" t="s">
        <v>815</v>
      </c>
      <c r="E74" t="s">
        <v>816</v>
      </c>
      <c r="F74" t="s">
        <v>743</v>
      </c>
      <c r="G74">
        <v>28</v>
      </c>
      <c r="H74" t="s">
        <v>25</v>
      </c>
      <c r="I74" t="s">
        <v>26</v>
      </c>
      <c r="M74">
        <v>1958</v>
      </c>
      <c r="O74" t="s">
        <v>857</v>
      </c>
      <c r="R74">
        <v>49.552259999999997</v>
      </c>
      <c r="S74">
        <v>12.281269999999999</v>
      </c>
      <c r="U74">
        <v>122.45</v>
      </c>
      <c r="V74">
        <v>28.6</v>
      </c>
      <c r="X74">
        <v>28.583095140873823</v>
      </c>
      <c r="Y74" s="7">
        <v>1500000</v>
      </c>
      <c r="Z74" s="7">
        <v>0.40792540792540793</v>
      </c>
      <c r="AB74">
        <v>25</v>
      </c>
      <c r="AD74">
        <f>ROUND(0.95*IF($T74="Pelton",0.875,IF($T74="Kaplan",0.9,0.925))*IF($I74="Pumped Storage",0.875,1),2)</f>
        <v>0.77</v>
      </c>
      <c r="AE74">
        <f>ROUND(SQRT($AD74),3)*0.975</f>
        <v>0.85507500000000003</v>
      </c>
      <c r="AF74">
        <f>ROUND(SQRT($AD74),3)*1.025</f>
        <v>0.89892499999999997</v>
      </c>
    </row>
    <row r="75" spans="1:37" x14ac:dyDescent="0.25">
      <c r="A75" t="s">
        <v>813</v>
      </c>
      <c r="B75" t="s">
        <v>854</v>
      </c>
      <c r="C75" t="s">
        <v>814</v>
      </c>
      <c r="D75" t="s">
        <v>815</v>
      </c>
      <c r="E75" t="s">
        <v>816</v>
      </c>
      <c r="F75" t="s">
        <v>743</v>
      </c>
      <c r="G75">
        <v>99</v>
      </c>
      <c r="H75" t="s">
        <v>25</v>
      </c>
      <c r="I75" t="s">
        <v>26</v>
      </c>
      <c r="M75">
        <v>1955</v>
      </c>
      <c r="O75" t="s">
        <v>857</v>
      </c>
      <c r="P75" t="s">
        <v>855</v>
      </c>
      <c r="R75">
        <v>49.53002</v>
      </c>
      <c r="S75">
        <v>12.28481</v>
      </c>
      <c r="U75">
        <v>179.05</v>
      </c>
      <c r="V75">
        <v>69</v>
      </c>
      <c r="X75">
        <v>69.114772409941352</v>
      </c>
      <c r="Y75" s="7">
        <v>1500000</v>
      </c>
      <c r="Z75" s="7">
        <v>0.59782608695652162</v>
      </c>
      <c r="AA75">
        <v>0.40400000000000003</v>
      </c>
      <c r="AB75">
        <v>84</v>
      </c>
      <c r="AD75">
        <f>ROUND(0.95*IF($T75="Pelton",0.875,IF($T75="Kaplan",0.9,0.925))*IF($I75="Pumped Storage",0.875,1),2)</f>
        <v>0.77</v>
      </c>
      <c r="AE75">
        <f>ROUND(SQRT($AD75),3)*0.975</f>
        <v>0.85507500000000003</v>
      </c>
      <c r="AF75">
        <f>ROUND(SQRT($AD75),3)*1.025</f>
        <v>0.89892499999999997</v>
      </c>
    </row>
    <row r="76" spans="1:37" x14ac:dyDescent="0.25">
      <c r="A76" s="4" t="s">
        <v>33</v>
      </c>
      <c r="B76" s="4" t="s">
        <v>453</v>
      </c>
      <c r="C76" t="s">
        <v>631</v>
      </c>
      <c r="D76">
        <v>9974</v>
      </c>
      <c r="E76" t="s">
        <v>454</v>
      </c>
      <c r="F76" t="s">
        <v>24</v>
      </c>
      <c r="G76">
        <v>9.9</v>
      </c>
      <c r="H76" t="s">
        <v>25</v>
      </c>
      <c r="I76" t="s">
        <v>60</v>
      </c>
      <c r="L76">
        <v>0</v>
      </c>
      <c r="M76">
        <v>2004</v>
      </c>
      <c r="N76" t="s">
        <v>368</v>
      </c>
      <c r="O76" t="s">
        <v>632</v>
      </c>
      <c r="P76" t="s">
        <v>709</v>
      </c>
      <c r="R76">
        <v>47.018182000000003</v>
      </c>
      <c r="S76">
        <v>12.343264</v>
      </c>
      <c r="T76" t="s">
        <v>704</v>
      </c>
      <c r="U76">
        <v>630.5</v>
      </c>
      <c r="V76" s="4">
        <v>1.8</v>
      </c>
      <c r="W76">
        <v>39.5</v>
      </c>
      <c r="X76" s="6">
        <f>125/$U76*$G76</f>
        <v>1.9627279936558286</v>
      </c>
    </row>
    <row r="77" spans="1:37" x14ac:dyDescent="0.25">
      <c r="A77" t="s">
        <v>145</v>
      </c>
      <c r="B77" t="s">
        <v>496</v>
      </c>
      <c r="C77" t="s">
        <v>410</v>
      </c>
      <c r="D77">
        <v>5731</v>
      </c>
      <c r="E77" t="s">
        <v>497</v>
      </c>
      <c r="F77" t="s">
        <v>24</v>
      </c>
      <c r="G77">
        <v>5.2</v>
      </c>
      <c r="H77" t="s">
        <v>25</v>
      </c>
      <c r="I77" t="s">
        <v>36</v>
      </c>
      <c r="L77">
        <v>0</v>
      </c>
      <c r="M77">
        <v>1949</v>
      </c>
      <c r="O77" t="s">
        <v>322</v>
      </c>
      <c r="R77">
        <v>47.266883</v>
      </c>
      <c r="S77">
        <v>12.413135</v>
      </c>
      <c r="T77" t="s">
        <v>703</v>
      </c>
      <c r="U77">
        <v>84</v>
      </c>
      <c r="V77">
        <v>7.5</v>
      </c>
      <c r="W77">
        <v>19</v>
      </c>
      <c r="X77" s="6">
        <f>125/$U77*$G77</f>
        <v>7.7380952380952381</v>
      </c>
      <c r="Y77" s="7">
        <v>160000</v>
      </c>
      <c r="Z77" s="11">
        <f>Y77/V77/60/60*G77/1000</f>
        <v>3.0814814814814812E-2</v>
      </c>
      <c r="AB77">
        <v>0</v>
      </c>
      <c r="AD77">
        <f>ROUND(0.95*IF($T77="Pelton",0.875,IF($T77="Kaplan",0.9,0.925))*IF($I77="Pumped Storage",0.875,1),2)</f>
        <v>0.88</v>
      </c>
      <c r="AE77">
        <f>ROUND(SQRT($AD77),3)*0.975</f>
        <v>0.91454999999999997</v>
      </c>
      <c r="AF77">
        <f>ROUND(SQRT($AD77),3)*1.025</f>
        <v>0.9614499999999998</v>
      </c>
    </row>
    <row r="78" spans="1:37" x14ac:dyDescent="0.25">
      <c r="A78" s="4" t="s">
        <v>33</v>
      </c>
      <c r="B78" s="4" t="s">
        <v>478</v>
      </c>
      <c r="C78" s="4" t="s">
        <v>643</v>
      </c>
      <c r="D78" s="4">
        <v>9920</v>
      </c>
      <c r="E78" s="4" t="s">
        <v>478</v>
      </c>
      <c r="F78" s="4" t="s">
        <v>24</v>
      </c>
      <c r="G78" s="4">
        <v>8.1</v>
      </c>
      <c r="H78" s="4" t="s">
        <v>25</v>
      </c>
      <c r="I78" s="4" t="s">
        <v>60</v>
      </c>
      <c r="J78" s="4"/>
      <c r="K78" s="4"/>
      <c r="L78" s="4">
        <v>0</v>
      </c>
      <c r="M78" s="4">
        <v>1987</v>
      </c>
      <c r="N78" s="4" t="s">
        <v>368</v>
      </c>
      <c r="O78" s="4" t="s">
        <v>644</v>
      </c>
      <c r="P78" s="4" t="s">
        <v>711</v>
      </c>
      <c r="Q78" s="4"/>
      <c r="R78" s="4">
        <v>46.75582</v>
      </c>
      <c r="S78" s="4">
        <v>12.435831</v>
      </c>
      <c r="T78" s="4" t="s">
        <v>703</v>
      </c>
      <c r="U78" s="4">
        <v>152</v>
      </c>
      <c r="V78" s="4">
        <v>6</v>
      </c>
      <c r="W78" s="4">
        <v>36.36</v>
      </c>
      <c r="X78" s="6">
        <f>125/$U78*$G78</f>
        <v>6.661184210526315</v>
      </c>
      <c r="Y78" s="9"/>
      <c r="Z78" s="9"/>
      <c r="AA78" s="4"/>
      <c r="AB78" s="4"/>
      <c r="AC78" s="4"/>
      <c r="AD78" s="4"/>
      <c r="AG78" s="4"/>
      <c r="AH78" s="4"/>
      <c r="AI78" s="4"/>
      <c r="AJ78" s="4"/>
      <c r="AK78" s="4"/>
    </row>
    <row r="79" spans="1:37" x14ac:dyDescent="0.25">
      <c r="A79" s="4" t="s">
        <v>203</v>
      </c>
      <c r="B79" s="4" t="s">
        <v>204</v>
      </c>
      <c r="C79" t="s">
        <v>205</v>
      </c>
      <c r="D79">
        <v>5723</v>
      </c>
      <c r="E79" t="s">
        <v>206</v>
      </c>
      <c r="F79" t="s">
        <v>24</v>
      </c>
      <c r="G79">
        <v>66</v>
      </c>
      <c r="H79" t="s">
        <v>25</v>
      </c>
      <c r="I79" t="s">
        <v>36</v>
      </c>
      <c r="L79">
        <v>0</v>
      </c>
      <c r="M79">
        <v>1991</v>
      </c>
      <c r="N79" t="s">
        <v>690</v>
      </c>
      <c r="O79" t="s">
        <v>208</v>
      </c>
      <c r="R79">
        <v>47.262039999999999</v>
      </c>
      <c r="S79">
        <v>12.568035999999999</v>
      </c>
      <c r="U79" s="4">
        <v>664</v>
      </c>
      <c r="V79">
        <v>12</v>
      </c>
      <c r="W79">
        <v>111</v>
      </c>
      <c r="X79" s="6">
        <f>125/$U79*$G79</f>
        <v>12.424698795180724</v>
      </c>
      <c r="Z79" s="11"/>
      <c r="AB79">
        <v>0</v>
      </c>
      <c r="AD79">
        <f>ROUND(0.95*IF($T79="Pelton",0.875,IF($T79="Kaplan",0.9,0.925))*IF($I79="Pumped Storage",0.875,1),2)</f>
        <v>0.88</v>
      </c>
      <c r="AE79">
        <f>ROUND(SQRT($AD79),3)*0.975</f>
        <v>0.91454999999999997</v>
      </c>
      <c r="AF79">
        <f>ROUND(SQRT($AD79),3)*1.025</f>
        <v>0.9614499999999998</v>
      </c>
    </row>
    <row r="80" spans="1:37" x14ac:dyDescent="0.25">
      <c r="A80" s="4" t="s">
        <v>203</v>
      </c>
      <c r="B80" s="4" t="s">
        <v>306</v>
      </c>
      <c r="C80" t="s">
        <v>205</v>
      </c>
      <c r="D80">
        <v>5723</v>
      </c>
      <c r="E80" t="s">
        <v>206</v>
      </c>
      <c r="F80" t="s">
        <v>24</v>
      </c>
      <c r="G80">
        <v>27</v>
      </c>
      <c r="H80" t="s">
        <v>25</v>
      </c>
      <c r="I80" t="s">
        <v>36</v>
      </c>
      <c r="L80">
        <v>0</v>
      </c>
      <c r="M80">
        <v>1938</v>
      </c>
      <c r="N80" t="s">
        <v>690</v>
      </c>
      <c r="O80" t="s">
        <v>208</v>
      </c>
      <c r="R80">
        <v>47.262039999999999</v>
      </c>
      <c r="S80">
        <v>12.568035999999999</v>
      </c>
      <c r="U80" s="4">
        <v>230</v>
      </c>
      <c r="V80" s="4">
        <v>15</v>
      </c>
      <c r="W80" s="4">
        <v>75</v>
      </c>
      <c r="X80" s="6">
        <f>125/$U80*$G80</f>
        <v>14.67391304347826</v>
      </c>
      <c r="Z80" s="11"/>
      <c r="AB80">
        <v>0</v>
      </c>
      <c r="AD80">
        <f>ROUND(0.95*IF($T80="Pelton",0.875,IF($T80="Kaplan",0.9,0.925))*IF($I80="Pumped Storage",0.875,1),2)</f>
        <v>0.88</v>
      </c>
      <c r="AE80">
        <f>ROUND(SQRT($AD80),3)*0.975</f>
        <v>0.91454999999999997</v>
      </c>
      <c r="AF80">
        <f>ROUND(SQRT($AD80),3)*1.025</f>
        <v>0.9614499999999998</v>
      </c>
    </row>
    <row r="81" spans="1:37" x14ac:dyDescent="0.25">
      <c r="A81" s="4" t="s">
        <v>33</v>
      </c>
      <c r="B81" s="4" t="s">
        <v>135</v>
      </c>
      <c r="C81" t="s">
        <v>588</v>
      </c>
      <c r="D81">
        <v>9971</v>
      </c>
      <c r="E81" t="s">
        <v>589</v>
      </c>
      <c r="F81" s="4" t="s">
        <v>24</v>
      </c>
      <c r="G81" s="4">
        <v>16.899999999999999</v>
      </c>
      <c r="H81" s="4" t="s">
        <v>25</v>
      </c>
      <c r="I81" s="4" t="s">
        <v>60</v>
      </c>
      <c r="L81">
        <v>0</v>
      </c>
      <c r="M81" s="3">
        <v>2004</v>
      </c>
      <c r="N81" s="3" t="s">
        <v>368</v>
      </c>
      <c r="O81" s="4" t="s">
        <v>370</v>
      </c>
      <c r="P81" s="4" t="s">
        <v>708</v>
      </c>
      <c r="Q81" s="3"/>
      <c r="R81" s="3">
        <v>46.928620000000002</v>
      </c>
      <c r="S81" s="3">
        <v>12.577209999999999</v>
      </c>
      <c r="T81" s="4" t="s">
        <v>704</v>
      </c>
      <c r="U81" s="4">
        <v>228.3</v>
      </c>
      <c r="V81" s="4">
        <v>8.5</v>
      </c>
      <c r="W81" s="4">
        <v>83</v>
      </c>
      <c r="X81" s="6">
        <f>125/$U81*$G81</f>
        <v>9.2531756460797183</v>
      </c>
    </row>
    <row r="82" spans="1:37" x14ac:dyDescent="0.25">
      <c r="A82" t="s">
        <v>33</v>
      </c>
      <c r="B82" t="s">
        <v>439</v>
      </c>
      <c r="C82" t="s">
        <v>620</v>
      </c>
      <c r="D82">
        <v>9981</v>
      </c>
      <c r="E82" t="s">
        <v>440</v>
      </c>
      <c r="F82" t="s">
        <v>24</v>
      </c>
      <c r="G82">
        <v>11.7</v>
      </c>
      <c r="H82" t="s">
        <v>25</v>
      </c>
      <c r="I82" t="s">
        <v>36</v>
      </c>
      <c r="L82">
        <v>0</v>
      </c>
      <c r="M82">
        <v>1948</v>
      </c>
      <c r="N82" t="s">
        <v>368</v>
      </c>
      <c r="O82" t="s">
        <v>370</v>
      </c>
      <c r="R82">
        <v>46.923276999999999</v>
      </c>
      <c r="S82">
        <v>12.601654999999999</v>
      </c>
      <c r="T82" t="s">
        <v>704</v>
      </c>
      <c r="U82">
        <v>268</v>
      </c>
      <c r="V82">
        <v>5.3</v>
      </c>
      <c r="W82">
        <v>58.45</v>
      </c>
      <c r="X82" s="6">
        <f>125/$U82*$G82</f>
        <v>5.4570895522388057</v>
      </c>
      <c r="Y82" s="7">
        <v>110000</v>
      </c>
      <c r="Z82" s="11">
        <f>Y82/V82/60/60*G82/1000</f>
        <v>6.745283018867923E-2</v>
      </c>
      <c r="AB82">
        <v>0</v>
      </c>
      <c r="AD82">
        <f>ROUND(0.95*IF($T82="Pelton",0.875,IF($T82="Kaplan",0.9,0.925))*IF($I82="Pumped Storage",0.875,1),2)</f>
        <v>0.83</v>
      </c>
      <c r="AE82">
        <f>ROUND(SQRT($AD82),3)*0.975</f>
        <v>0.88822500000000004</v>
      </c>
      <c r="AF82">
        <f>ROUND(SQRT($AD82),3)*1.025</f>
        <v>0.93377499999999991</v>
      </c>
    </row>
    <row r="83" spans="1:37" x14ac:dyDescent="0.25">
      <c r="A83" s="4" t="s">
        <v>203</v>
      </c>
      <c r="B83" s="4" t="s">
        <v>257</v>
      </c>
      <c r="C83" t="s">
        <v>554</v>
      </c>
      <c r="D83">
        <v>5723</v>
      </c>
      <c r="E83" t="s">
        <v>206</v>
      </c>
      <c r="F83" t="s">
        <v>24</v>
      </c>
      <c r="G83">
        <v>36</v>
      </c>
      <c r="H83" t="s">
        <v>25</v>
      </c>
      <c r="I83" t="s">
        <v>36</v>
      </c>
      <c r="L83">
        <v>0</v>
      </c>
      <c r="M83">
        <v>1940</v>
      </c>
      <c r="N83" t="s">
        <v>690</v>
      </c>
      <c r="O83" t="s">
        <v>208</v>
      </c>
      <c r="R83">
        <v>47.197360000000003</v>
      </c>
      <c r="S83">
        <v>12.608466</v>
      </c>
      <c r="U83" s="4">
        <v>419</v>
      </c>
      <c r="V83" s="4">
        <v>10.5</v>
      </c>
      <c r="W83" s="4">
        <v>115</v>
      </c>
      <c r="X83" s="6">
        <f>125/$U83*$G83</f>
        <v>10.739856801909307</v>
      </c>
      <c r="Y83" s="7">
        <v>55300000</v>
      </c>
      <c r="Z83" s="11">
        <f>Y83/V83/60/60*G83/1000</f>
        <v>52.666666666666671</v>
      </c>
      <c r="AB83">
        <v>0</v>
      </c>
      <c r="AD83">
        <f>ROUND(0.95*IF($T83="Pelton",0.875,IF($T83="Kaplan",0.9,0.925))*IF($I83="Pumped Storage",0.875,1),2)</f>
        <v>0.88</v>
      </c>
      <c r="AE83">
        <f>ROUND(SQRT($AD83),3)*0.975</f>
        <v>0.91454999999999997</v>
      </c>
      <c r="AF83">
        <f>ROUND(SQRT($AD83),3)*1.025</f>
        <v>0.9614499999999998</v>
      </c>
    </row>
    <row r="84" spans="1:37" x14ac:dyDescent="0.25">
      <c r="A84" s="3" t="s">
        <v>203</v>
      </c>
      <c r="B84" s="3" t="s">
        <v>337</v>
      </c>
      <c r="C84" t="s">
        <v>338</v>
      </c>
      <c r="D84">
        <v>5723</v>
      </c>
      <c r="E84" t="s">
        <v>339</v>
      </c>
      <c r="F84" t="s">
        <v>24</v>
      </c>
      <c r="G84">
        <v>80</v>
      </c>
      <c r="H84" t="s">
        <v>25</v>
      </c>
      <c r="I84" t="s">
        <v>36</v>
      </c>
      <c r="J84" t="s">
        <v>340</v>
      </c>
      <c r="L84">
        <v>0</v>
      </c>
      <c r="M84">
        <v>1929</v>
      </c>
      <c r="N84" t="s">
        <v>688</v>
      </c>
      <c r="O84" t="s">
        <v>208</v>
      </c>
      <c r="R84">
        <v>47.169400000000003</v>
      </c>
      <c r="S84">
        <v>12.626704999999999</v>
      </c>
      <c r="U84" s="4">
        <v>525</v>
      </c>
      <c r="V84" s="4">
        <v>17.600000000000001</v>
      </c>
      <c r="W84" s="3">
        <v>85</v>
      </c>
      <c r="X84" s="6">
        <f>125/$U84*$G84</f>
        <v>19.047619047619047</v>
      </c>
      <c r="Y84" s="7">
        <v>55300000</v>
      </c>
      <c r="Z84" s="11">
        <f>Y84/V84/60/60*G84/1000</f>
        <v>69.823232323232304</v>
      </c>
      <c r="AB84">
        <v>0</v>
      </c>
      <c r="AD84">
        <f>ROUND(0.95*IF($T84="Pelton",0.875,IF($T84="Kaplan",0.9,0.925))*IF($I84="Pumped Storage",0.875,1),2)</f>
        <v>0.88</v>
      </c>
      <c r="AE84">
        <f>ROUND(SQRT($AD84),3)*0.975</f>
        <v>0.91454999999999997</v>
      </c>
      <c r="AF84">
        <f>ROUND(SQRT($AD84),3)*1.025</f>
        <v>0.9614499999999998</v>
      </c>
    </row>
    <row r="85" spans="1:37" x14ac:dyDescent="0.25">
      <c r="A85" t="s">
        <v>203</v>
      </c>
      <c r="B85" t="s">
        <v>524</v>
      </c>
      <c r="C85" t="s">
        <v>410</v>
      </c>
      <c r="D85">
        <v>5723</v>
      </c>
      <c r="E85" t="s">
        <v>206</v>
      </c>
      <c r="F85" t="s">
        <v>24</v>
      </c>
      <c r="G85">
        <v>130</v>
      </c>
      <c r="H85" t="s">
        <v>25</v>
      </c>
      <c r="I85" t="s">
        <v>26</v>
      </c>
      <c r="J85" t="s">
        <v>525</v>
      </c>
      <c r="L85">
        <v>0</v>
      </c>
      <c r="M85" t="s">
        <v>43</v>
      </c>
      <c r="N85" t="s">
        <v>690</v>
      </c>
      <c r="O85" t="s">
        <v>526</v>
      </c>
      <c r="P85" t="s">
        <v>717</v>
      </c>
      <c r="R85">
        <v>47.144179999999999</v>
      </c>
      <c r="S85">
        <v>12.638394</v>
      </c>
      <c r="T85" t="s">
        <v>703</v>
      </c>
      <c r="U85">
        <v>255</v>
      </c>
      <c r="V85">
        <v>80</v>
      </c>
      <c r="W85">
        <v>320</v>
      </c>
      <c r="X85" s="6">
        <f>125/$U85*$G85</f>
        <v>63.725490196078425</v>
      </c>
      <c r="Y85" s="7">
        <v>6912000</v>
      </c>
      <c r="Z85" s="11">
        <f>Y85/V85/60/60*G85/1000</f>
        <v>3.12</v>
      </c>
      <c r="AB85" s="3"/>
      <c r="AC85">
        <v>70</v>
      </c>
      <c r="AD85">
        <f>ROUND(0.95*IF($T85="Pelton",0.875,IF($T85="Kaplan",0.9,0.925))*IF($I85="Pumped Storage",0.875,1),2)</f>
        <v>0.77</v>
      </c>
      <c r="AE85">
        <f>ROUND(SQRT($AD85),3)*0.975</f>
        <v>0.85507500000000003</v>
      </c>
      <c r="AF85">
        <f>ROUND(SQRT($AD85),3)*1.025</f>
        <v>0.89892499999999997</v>
      </c>
    </row>
    <row r="86" spans="1:37" x14ac:dyDescent="0.25">
      <c r="A86" t="s">
        <v>22</v>
      </c>
      <c r="B86" t="s">
        <v>138</v>
      </c>
      <c r="C86" t="s">
        <v>139</v>
      </c>
      <c r="D86">
        <v>5710</v>
      </c>
      <c r="E86" t="s">
        <v>40</v>
      </c>
      <c r="F86" t="s">
        <v>24</v>
      </c>
      <c r="G86">
        <v>112.8</v>
      </c>
      <c r="H86" t="s">
        <v>25</v>
      </c>
      <c r="I86" t="s">
        <v>26</v>
      </c>
      <c r="J86" t="s">
        <v>41</v>
      </c>
      <c r="L86">
        <v>0</v>
      </c>
      <c r="M86">
        <v>1956</v>
      </c>
      <c r="O86" t="s">
        <v>27</v>
      </c>
      <c r="Q86" t="s">
        <v>140</v>
      </c>
      <c r="R86">
        <v>47.197316999999998</v>
      </c>
      <c r="S86">
        <v>12.719512999999999</v>
      </c>
      <c r="T86" t="s">
        <v>703</v>
      </c>
      <c r="U86">
        <v>365</v>
      </c>
      <c r="V86">
        <v>36</v>
      </c>
      <c r="W86">
        <v>15.4</v>
      </c>
      <c r="X86" s="6">
        <f>125/$U86*$G86</f>
        <v>38.630136986301366</v>
      </c>
      <c r="Y86" s="7">
        <v>84900000</v>
      </c>
      <c r="Z86" s="11">
        <f>Y86/V86/60/60*G86/1000</f>
        <v>73.894444444444431</v>
      </c>
      <c r="AB86">
        <v>130</v>
      </c>
      <c r="AD86">
        <f>ROUND(0.95*IF($T86="Pelton",0.875,IF($T86="Kaplan",0.9,0.925))*IF($I86="Pumped Storage",0.875,1),2)</f>
        <v>0.77</v>
      </c>
      <c r="AE86">
        <f>ROUND(SQRT($AD86),3)*0.975</f>
        <v>0.85507500000000003</v>
      </c>
      <c r="AF86">
        <f>ROUND(SQRT($AD86),3)*1.025</f>
        <v>0.89892499999999997</v>
      </c>
    </row>
    <row r="87" spans="1:37" x14ac:dyDescent="0.25">
      <c r="A87" t="s">
        <v>22</v>
      </c>
      <c r="B87" t="s">
        <v>39</v>
      </c>
      <c r="C87" t="s">
        <v>139</v>
      </c>
      <c r="D87">
        <v>5710</v>
      </c>
      <c r="E87" t="s">
        <v>40</v>
      </c>
      <c r="F87" t="s">
        <v>24</v>
      </c>
      <c r="G87">
        <v>480</v>
      </c>
      <c r="H87" t="s">
        <v>25</v>
      </c>
      <c r="I87" t="s">
        <v>26</v>
      </c>
      <c r="J87" t="s">
        <v>41</v>
      </c>
      <c r="L87">
        <v>0</v>
      </c>
      <c r="M87">
        <v>2011</v>
      </c>
      <c r="O87" t="s">
        <v>27</v>
      </c>
      <c r="R87">
        <v>47.198205999999999</v>
      </c>
      <c r="S87">
        <v>12.720008</v>
      </c>
      <c r="T87" t="s">
        <v>703</v>
      </c>
      <c r="U87">
        <v>365</v>
      </c>
      <c r="V87">
        <v>144</v>
      </c>
      <c r="W87">
        <v>27</v>
      </c>
      <c r="X87" s="6">
        <f>125/$U87*$G87</f>
        <v>164.38356164383561</v>
      </c>
      <c r="Y87" s="7">
        <v>84900000</v>
      </c>
      <c r="Z87" s="11">
        <f>Y87/V87/60/60*G87/1000</f>
        <v>78.611111111111114</v>
      </c>
      <c r="AB87">
        <v>480</v>
      </c>
      <c r="AD87">
        <f>ROUND(0.95*IF($T87="Pelton",0.875,IF($T87="Kaplan",0.9,0.925))*IF($I87="Pumped Storage",0.875,1),2)</f>
        <v>0.77</v>
      </c>
      <c r="AE87">
        <f>ROUND(SQRT($AD87),3)*0.975</f>
        <v>0.85507500000000003</v>
      </c>
      <c r="AF87">
        <f>ROUND(SQRT($AD87),3)*1.025</f>
        <v>0.89892499999999997</v>
      </c>
    </row>
    <row r="88" spans="1:37" x14ac:dyDescent="0.25">
      <c r="A88" t="s">
        <v>22</v>
      </c>
      <c r="B88" t="s">
        <v>42</v>
      </c>
      <c r="C88" t="s">
        <v>410</v>
      </c>
      <c r="D88">
        <v>5710</v>
      </c>
      <c r="E88" t="s">
        <v>40</v>
      </c>
      <c r="F88" t="s">
        <v>24</v>
      </c>
      <c r="G88">
        <v>480</v>
      </c>
      <c r="H88" t="s">
        <v>25</v>
      </c>
      <c r="I88" t="s">
        <v>36</v>
      </c>
      <c r="L88">
        <v>0</v>
      </c>
      <c r="M88" s="3" t="s">
        <v>43</v>
      </c>
      <c r="O88" t="s">
        <v>27</v>
      </c>
      <c r="R88">
        <v>47.198084999999999</v>
      </c>
      <c r="S88">
        <v>12.720278</v>
      </c>
      <c r="T88" t="s">
        <v>703</v>
      </c>
      <c r="U88" s="3"/>
      <c r="V88" s="3"/>
      <c r="W88" s="3"/>
      <c r="X88" s="6" t="e">
        <f>125/$U88*$G88</f>
        <v>#DIV/0!</v>
      </c>
      <c r="Z88" s="11"/>
      <c r="AB88">
        <v>0</v>
      </c>
      <c r="AD88">
        <f>ROUND(0.95*IF($T88="Pelton",0.875,IF($T88="Kaplan",0.9,0.925))*IF($I88="Pumped Storage",0.875,1),2)</f>
        <v>0.88</v>
      </c>
      <c r="AE88">
        <f>ROUND(SQRT($AD88),3)*0.975</f>
        <v>0.91454999999999997</v>
      </c>
      <c r="AF88">
        <f>ROUND(SQRT($AD88),3)*1.025</f>
        <v>0.9614499999999998</v>
      </c>
    </row>
    <row r="89" spans="1:37" x14ac:dyDescent="0.25">
      <c r="A89" t="s">
        <v>22</v>
      </c>
      <c r="B89" t="s">
        <v>80</v>
      </c>
      <c r="C89" t="s">
        <v>81</v>
      </c>
      <c r="D89">
        <v>5710</v>
      </c>
      <c r="E89" t="s">
        <v>40</v>
      </c>
      <c r="F89" t="s">
        <v>24</v>
      </c>
      <c r="G89">
        <v>240</v>
      </c>
      <c r="H89" t="s">
        <v>25</v>
      </c>
      <c r="I89" t="s">
        <v>36</v>
      </c>
      <c r="J89" t="s">
        <v>82</v>
      </c>
      <c r="L89">
        <v>0</v>
      </c>
      <c r="M89">
        <v>1953</v>
      </c>
      <c r="O89" t="s">
        <v>27</v>
      </c>
      <c r="Q89" t="s">
        <v>83</v>
      </c>
      <c r="R89">
        <v>47.259591</v>
      </c>
      <c r="S89">
        <v>12.738799</v>
      </c>
      <c r="T89" t="s">
        <v>705</v>
      </c>
      <c r="U89">
        <v>858</v>
      </c>
      <c r="V89">
        <v>32.5</v>
      </c>
      <c r="W89">
        <v>52.6</v>
      </c>
      <c r="X89" s="6">
        <f>125/$U89*$G89</f>
        <v>34.965034965034967</v>
      </c>
      <c r="Y89" s="7">
        <v>81200000</v>
      </c>
      <c r="Z89" s="11">
        <f>Y89/V89/60/60*G89/1000</f>
        <v>166.56410256410257</v>
      </c>
      <c r="AB89">
        <v>0</v>
      </c>
      <c r="AD89">
        <f>ROUND(0.95*IF($T89="Pelton",0.875,IF($T89="Kaplan",0.9,0.925))*IF($I89="Pumped Storage",0.875,1),2)</f>
        <v>0.88</v>
      </c>
      <c r="AE89">
        <f>ROUND(SQRT($AD89),3)*0.975</f>
        <v>0.91454999999999997</v>
      </c>
      <c r="AF89">
        <f>ROUND(SQRT($AD89),3)*1.025</f>
        <v>0.9614499999999998</v>
      </c>
    </row>
    <row r="90" spans="1:37" x14ac:dyDescent="0.25">
      <c r="A90" t="s">
        <v>33</v>
      </c>
      <c r="B90" t="s">
        <v>214</v>
      </c>
      <c r="C90" t="s">
        <v>410</v>
      </c>
      <c r="D90">
        <v>9900</v>
      </c>
      <c r="E90" t="s">
        <v>214</v>
      </c>
      <c r="F90" t="s">
        <v>24</v>
      </c>
      <c r="G90">
        <v>60.2</v>
      </c>
      <c r="H90" t="s">
        <v>25</v>
      </c>
      <c r="I90" t="s">
        <v>60</v>
      </c>
      <c r="L90">
        <v>0</v>
      </c>
      <c r="M90">
        <v>1989</v>
      </c>
      <c r="O90" t="s">
        <v>215</v>
      </c>
      <c r="R90">
        <v>46.801301000000002</v>
      </c>
      <c r="S90">
        <v>12.749285</v>
      </c>
      <c r="T90" t="s">
        <v>703</v>
      </c>
      <c r="U90">
        <v>340.5</v>
      </c>
      <c r="V90">
        <v>20</v>
      </c>
      <c r="W90">
        <v>219</v>
      </c>
      <c r="X90" s="6">
        <f>125/$U90*$G90</f>
        <v>22.099853157121881</v>
      </c>
      <c r="Y90" s="7">
        <v>240000</v>
      </c>
    </row>
    <row r="91" spans="1:37" x14ac:dyDescent="0.25">
      <c r="A91" t="s">
        <v>145</v>
      </c>
      <c r="B91" t="s">
        <v>409</v>
      </c>
      <c r="C91" t="s">
        <v>410</v>
      </c>
      <c r="D91">
        <v>5672</v>
      </c>
      <c r="E91" t="s">
        <v>411</v>
      </c>
      <c r="F91" t="s">
        <v>24</v>
      </c>
      <c r="G91">
        <v>14.96</v>
      </c>
      <c r="H91" t="s">
        <v>25</v>
      </c>
      <c r="I91" t="s">
        <v>36</v>
      </c>
      <c r="L91">
        <v>0</v>
      </c>
      <c r="M91">
        <v>1924</v>
      </c>
      <c r="O91" t="s">
        <v>322</v>
      </c>
      <c r="R91">
        <v>47.175486999999997</v>
      </c>
      <c r="S91">
        <v>12.816537</v>
      </c>
      <c r="T91" t="s">
        <v>704</v>
      </c>
      <c r="U91">
        <v>291.19</v>
      </c>
      <c r="V91">
        <v>6.45</v>
      </c>
      <c r="W91">
        <v>66.3</v>
      </c>
      <c r="X91" s="6">
        <f>125/$U91*$G91</f>
        <v>6.4219238298018482</v>
      </c>
      <c r="Y91" s="7">
        <v>19000</v>
      </c>
      <c r="Z91" s="11">
        <f>Y91/V91/60/60*G91/1000</f>
        <v>1.2241171403962102E-2</v>
      </c>
      <c r="AB91">
        <v>0</v>
      </c>
      <c r="AD91">
        <f>ROUND(0.95*IF($T91="Pelton",0.875,IF($T91="Kaplan",0.9,0.925))*IF($I91="Pumped Storage",0.875,1),2)</f>
        <v>0.83</v>
      </c>
      <c r="AE91">
        <f>ROUND(SQRT($AD91),3)*0.975</f>
        <v>0.88822500000000004</v>
      </c>
      <c r="AF91">
        <f>ROUND(SQRT($AD91),3)*1.025</f>
        <v>0.93377499999999991</v>
      </c>
    </row>
    <row r="92" spans="1:37" x14ac:dyDescent="0.25">
      <c r="A92" t="s">
        <v>145</v>
      </c>
      <c r="B92" t="s">
        <v>319</v>
      </c>
      <c r="C92" t="s">
        <v>320</v>
      </c>
      <c r="D92">
        <v>5760</v>
      </c>
      <c r="E92" t="s">
        <v>321</v>
      </c>
      <c r="F92" t="s">
        <v>24</v>
      </c>
      <c r="G92">
        <v>24</v>
      </c>
      <c r="H92" t="s">
        <v>25</v>
      </c>
      <c r="I92" t="s">
        <v>26</v>
      </c>
      <c r="L92">
        <v>0</v>
      </c>
      <c r="M92">
        <v>1964</v>
      </c>
      <c r="O92" t="s">
        <v>322</v>
      </c>
      <c r="R92">
        <v>47.491118999999998</v>
      </c>
      <c r="S92">
        <v>12.818076</v>
      </c>
      <c r="T92" s="4" t="s">
        <v>704</v>
      </c>
      <c r="U92">
        <v>728.46</v>
      </c>
      <c r="V92">
        <v>4</v>
      </c>
      <c r="W92">
        <v>36</v>
      </c>
      <c r="X92" s="6">
        <f>125/$U92*$G92</f>
        <v>4.1182769129396259</v>
      </c>
      <c r="Y92" s="7">
        <v>4920000</v>
      </c>
      <c r="Z92" s="11">
        <f>Y92/V92/60/60*G92/1000</f>
        <v>8.1999999999999993</v>
      </c>
      <c r="AB92">
        <v>32</v>
      </c>
      <c r="AC92">
        <v>3.2</v>
      </c>
      <c r="AD92">
        <f>ROUND(0.95*IF($T92="Pelton",0.875,IF($T92="Kaplan",0.9,0.925))*IF($I92="Pumped Storage",0.875,1),2)</f>
        <v>0.73</v>
      </c>
      <c r="AE92">
        <f>ROUND(SQRT($AD92),3)*0.975</f>
        <v>0.83265</v>
      </c>
      <c r="AF92">
        <f>ROUND(SQRT($AD92),3)*1.025</f>
        <v>0.87534999999999985</v>
      </c>
    </row>
    <row r="93" spans="1:37" s="4" customFormat="1" x14ac:dyDescent="0.25">
      <c r="A93" t="s">
        <v>765</v>
      </c>
      <c r="B93" t="s">
        <v>796</v>
      </c>
      <c r="C93" t="s">
        <v>797</v>
      </c>
      <c r="D93" t="s">
        <v>798</v>
      </c>
      <c r="E93" t="s">
        <v>796</v>
      </c>
      <c r="F93" t="s">
        <v>743</v>
      </c>
      <c r="G93">
        <v>1045.2</v>
      </c>
      <c r="H93" t="s">
        <v>25</v>
      </c>
      <c r="I93" t="s">
        <v>26</v>
      </c>
      <c r="J93"/>
      <c r="K93"/>
      <c r="L93"/>
      <c r="M93">
        <v>1979</v>
      </c>
      <c r="N93"/>
      <c r="O93" t="s">
        <v>845</v>
      </c>
      <c r="P93" t="s">
        <v>859</v>
      </c>
      <c r="Q93"/>
      <c r="R93">
        <v>50.519379999999998</v>
      </c>
      <c r="S93">
        <v>12.879759999999999</v>
      </c>
      <c r="T93" t="s">
        <v>846</v>
      </c>
      <c r="U93">
        <v>288</v>
      </c>
      <c r="V93">
        <v>420</v>
      </c>
      <c r="W93"/>
      <c r="X93">
        <v>453.64583333333337</v>
      </c>
      <c r="Y93" s="7">
        <v>6000000</v>
      </c>
      <c r="Z93" s="7">
        <v>4.147619047619048</v>
      </c>
      <c r="AA93">
        <v>4.0179999999999998</v>
      </c>
      <c r="AB93">
        <v>1140</v>
      </c>
      <c r="AC93">
        <v>60</v>
      </c>
      <c r="AD93">
        <f>ROUND(0.95*IF($T93="Pelton",0.875,IF($T93="Kaplan",0.9,0.925))*IF($I93="Pumped Storage",0.875,1),2)</f>
        <v>0.77</v>
      </c>
      <c r="AE93">
        <f>ROUND(SQRT($AD93),3)*0.975</f>
        <v>0.85507500000000003</v>
      </c>
      <c r="AF93">
        <f>ROUND(SQRT($AD93),3)*1.025</f>
        <v>0.89892499999999997</v>
      </c>
      <c r="AG93"/>
      <c r="AH93"/>
      <c r="AI93"/>
      <c r="AJ93"/>
      <c r="AK93"/>
    </row>
    <row r="94" spans="1:37" x14ac:dyDescent="0.25">
      <c r="A94" s="4" t="s">
        <v>22</v>
      </c>
      <c r="B94" s="4" t="s">
        <v>465</v>
      </c>
      <c r="C94" s="4" t="s">
        <v>410</v>
      </c>
      <c r="D94" s="4">
        <v>5662</v>
      </c>
      <c r="E94" s="4" t="s">
        <v>636</v>
      </c>
      <c r="F94" s="4" t="s">
        <v>24</v>
      </c>
      <c r="G94" s="4">
        <v>8.85</v>
      </c>
      <c r="H94" s="4" t="s">
        <v>25</v>
      </c>
      <c r="I94" s="4" t="s">
        <v>60</v>
      </c>
      <c r="L94">
        <v>0</v>
      </c>
      <c r="M94" s="4">
        <v>2019</v>
      </c>
      <c r="N94" s="4"/>
      <c r="O94" s="4" t="s">
        <v>637</v>
      </c>
      <c r="P94" s="4"/>
      <c r="Q94" s="4"/>
      <c r="R94" s="4">
        <v>47.285699999999999</v>
      </c>
      <c r="S94" s="4">
        <v>12.8802</v>
      </c>
      <c r="T94" s="4" t="s">
        <v>700</v>
      </c>
      <c r="U94" s="4">
        <v>8.9</v>
      </c>
      <c r="V94" s="4">
        <v>115</v>
      </c>
      <c r="W94" s="4">
        <v>42</v>
      </c>
      <c r="X94" s="6">
        <f>125/$U94*$G94</f>
        <v>124.29775280898875</v>
      </c>
      <c r="Y94" s="9"/>
      <c r="Z94" s="9"/>
      <c r="AA94" s="4"/>
      <c r="AB94" s="4"/>
      <c r="AC94" s="4"/>
      <c r="AD94" s="4"/>
      <c r="AG94" s="4"/>
      <c r="AH94" s="4"/>
      <c r="AI94" s="4"/>
      <c r="AJ94" s="4"/>
      <c r="AK94" s="4"/>
    </row>
    <row r="95" spans="1:37" x14ac:dyDescent="0.25">
      <c r="A95" s="3" t="s">
        <v>121</v>
      </c>
      <c r="B95" s="3" t="s">
        <v>270</v>
      </c>
      <c r="C95" t="s">
        <v>270</v>
      </c>
      <c r="D95">
        <v>9843</v>
      </c>
      <c r="E95" t="s">
        <v>560</v>
      </c>
      <c r="F95" t="s">
        <v>24</v>
      </c>
      <c r="G95">
        <v>32</v>
      </c>
      <c r="H95" t="s">
        <v>25</v>
      </c>
      <c r="I95" t="s">
        <v>36</v>
      </c>
      <c r="J95" t="s">
        <v>143</v>
      </c>
      <c r="L95">
        <v>0</v>
      </c>
      <c r="M95">
        <v>1973</v>
      </c>
      <c r="O95" t="s">
        <v>144</v>
      </c>
      <c r="R95">
        <v>46.995483999999998</v>
      </c>
      <c r="S95">
        <v>12.957177</v>
      </c>
      <c r="U95">
        <v>689</v>
      </c>
      <c r="V95" s="3">
        <v>6</v>
      </c>
      <c r="W95">
        <v>59</v>
      </c>
      <c r="X95" s="6">
        <f>125/$U95*$G95</f>
        <v>5.8055152394775034</v>
      </c>
      <c r="Z95" s="11"/>
      <c r="AB95">
        <v>0</v>
      </c>
      <c r="AD95">
        <f>ROUND(0.95*IF($T95="Pelton",0.875,IF($T95="Kaplan",0.9,0.925))*IF($I95="Pumped Storage",0.875,1),2)</f>
        <v>0.88</v>
      </c>
      <c r="AE95">
        <f>ROUND(SQRT($AD95),3)*0.975</f>
        <v>0.91454999999999997</v>
      </c>
      <c r="AF95">
        <f>ROUND(SQRT($AD95),3)*1.025</f>
        <v>0.9614499999999998</v>
      </c>
    </row>
    <row r="96" spans="1:37" s="4" customFormat="1" x14ac:dyDescent="0.25">
      <c r="A96" s="4" t="s">
        <v>145</v>
      </c>
      <c r="B96" s="4" t="s">
        <v>498</v>
      </c>
      <c r="C96" t="s">
        <v>670</v>
      </c>
      <c r="D96">
        <v>5020</v>
      </c>
      <c r="E96" t="s">
        <v>420</v>
      </c>
      <c r="F96" t="s">
        <v>24</v>
      </c>
      <c r="G96">
        <v>5</v>
      </c>
      <c r="H96" t="s">
        <v>25</v>
      </c>
      <c r="I96" t="s">
        <v>60</v>
      </c>
      <c r="J96"/>
      <c r="K96"/>
      <c r="L96">
        <v>0</v>
      </c>
      <c r="M96">
        <v>2004</v>
      </c>
      <c r="N96" t="s">
        <v>131</v>
      </c>
      <c r="O96" t="s">
        <v>499</v>
      </c>
      <c r="P96"/>
      <c r="Q96"/>
      <c r="R96">
        <v>47.835056000000002</v>
      </c>
      <c r="S96">
        <v>12.994209</v>
      </c>
      <c r="T96" t="s">
        <v>700</v>
      </c>
      <c r="U96" s="4">
        <v>10.1</v>
      </c>
      <c r="V96">
        <v>58.5</v>
      </c>
      <c r="W96">
        <v>27.2</v>
      </c>
      <c r="X96" s="6">
        <f>125/$U96*$G96</f>
        <v>61.881188118811885</v>
      </c>
      <c r="Y96" s="7"/>
      <c r="Z96" s="7"/>
      <c r="AA96"/>
      <c r="AB96"/>
      <c r="AC96"/>
      <c r="AD96"/>
      <c r="AE96"/>
      <c r="AF96"/>
      <c r="AG96"/>
      <c r="AH96"/>
      <c r="AI96"/>
      <c r="AJ96"/>
      <c r="AK96"/>
    </row>
    <row r="97" spans="1:37" x14ac:dyDescent="0.25">
      <c r="A97" t="s">
        <v>22</v>
      </c>
      <c r="B97" t="s">
        <v>149</v>
      </c>
      <c r="C97" t="s">
        <v>150</v>
      </c>
      <c r="D97">
        <v>5282</v>
      </c>
      <c r="E97" t="s">
        <v>151</v>
      </c>
      <c r="F97" t="s">
        <v>130</v>
      </c>
      <c r="G97">
        <v>100</v>
      </c>
      <c r="H97" t="s">
        <v>25</v>
      </c>
      <c r="I97" t="s">
        <v>60</v>
      </c>
      <c r="L97">
        <v>0</v>
      </c>
      <c r="M97">
        <v>1954</v>
      </c>
      <c r="N97" t="s">
        <v>131</v>
      </c>
      <c r="O97" t="s">
        <v>27</v>
      </c>
      <c r="R97">
        <v>48.244956999999999</v>
      </c>
      <c r="S97">
        <v>13.0075</v>
      </c>
      <c r="T97" t="s">
        <v>700</v>
      </c>
      <c r="U97">
        <v>12.1</v>
      </c>
      <c r="V97">
        <v>1150</v>
      </c>
      <c r="W97" s="4">
        <v>550</v>
      </c>
      <c r="X97" s="6">
        <f>125/$U97*$G97</f>
        <v>1033.0578512396694</v>
      </c>
    </row>
    <row r="98" spans="1:37" x14ac:dyDescent="0.25">
      <c r="A98" t="s">
        <v>145</v>
      </c>
      <c r="B98" t="s">
        <v>418</v>
      </c>
      <c r="C98" t="s">
        <v>419</v>
      </c>
      <c r="D98">
        <v>5020</v>
      </c>
      <c r="E98" t="s">
        <v>420</v>
      </c>
      <c r="F98" t="s">
        <v>24</v>
      </c>
      <c r="G98">
        <v>13.7</v>
      </c>
      <c r="H98" t="s">
        <v>25</v>
      </c>
      <c r="I98" t="s">
        <v>60</v>
      </c>
      <c r="L98">
        <v>0</v>
      </c>
      <c r="M98">
        <v>2013</v>
      </c>
      <c r="O98" t="s">
        <v>421</v>
      </c>
      <c r="R98">
        <v>47.821317999999998</v>
      </c>
      <c r="S98">
        <v>13.03411</v>
      </c>
      <c r="T98" t="s">
        <v>700</v>
      </c>
      <c r="U98" s="4">
        <v>6.6</v>
      </c>
      <c r="V98" s="4">
        <v>250</v>
      </c>
      <c r="W98">
        <v>81</v>
      </c>
      <c r="X98" s="6">
        <f>125/$U98*$G98</f>
        <v>259.469696969697</v>
      </c>
    </row>
    <row r="99" spans="1:37" x14ac:dyDescent="0.25">
      <c r="A99" t="s">
        <v>121</v>
      </c>
      <c r="B99" t="s">
        <v>122</v>
      </c>
      <c r="C99" t="s">
        <v>523</v>
      </c>
      <c r="D99">
        <v>9831</v>
      </c>
      <c r="E99" t="s">
        <v>123</v>
      </c>
      <c r="F99" t="s">
        <v>24</v>
      </c>
      <c r="G99">
        <v>140</v>
      </c>
      <c r="H99" t="s">
        <v>25</v>
      </c>
      <c r="I99" t="s">
        <v>26</v>
      </c>
      <c r="J99" t="s">
        <v>124</v>
      </c>
      <c r="L99">
        <v>0</v>
      </c>
      <c r="M99">
        <v>2009</v>
      </c>
      <c r="O99" t="s">
        <v>125</v>
      </c>
      <c r="P99" t="s">
        <v>716</v>
      </c>
      <c r="R99">
        <v>46.992407999999998</v>
      </c>
      <c r="S99">
        <v>13.046983000000001</v>
      </c>
      <c r="T99" t="s">
        <v>703</v>
      </c>
      <c r="U99">
        <v>524</v>
      </c>
      <c r="V99">
        <v>29.6</v>
      </c>
      <c r="W99">
        <v>314</v>
      </c>
      <c r="X99" s="6">
        <f>125/$U99*$G99</f>
        <v>33.396946564885496</v>
      </c>
      <c r="Y99" s="7">
        <v>4230000</v>
      </c>
      <c r="Z99" s="11">
        <f>Y99/V99/60/60*G99/1000</f>
        <v>5.5574324324324316</v>
      </c>
      <c r="AB99" s="3"/>
      <c r="AC99">
        <v>22.6</v>
      </c>
      <c r="AD99">
        <f>ROUND(0.95*IF($T99="Pelton",0.875,IF($T99="Kaplan",0.9,0.925))*IF($I99="Pumped Storage",0.875,1),2)</f>
        <v>0.77</v>
      </c>
      <c r="AE99">
        <f>ROUND(SQRT($AD99),3)*0.975</f>
        <v>0.85507500000000003</v>
      </c>
      <c r="AF99">
        <f>ROUND(SQRT($AD99),3)*1.025</f>
        <v>0.89892499999999997</v>
      </c>
    </row>
    <row r="100" spans="1:37" x14ac:dyDescent="0.25">
      <c r="A100" t="s">
        <v>121</v>
      </c>
      <c r="B100" t="s">
        <v>141</v>
      </c>
      <c r="C100" t="s">
        <v>142</v>
      </c>
      <c r="D100">
        <v>9831</v>
      </c>
      <c r="E100" t="s">
        <v>123</v>
      </c>
      <c r="F100" t="s">
        <v>24</v>
      </c>
      <c r="G100">
        <v>108</v>
      </c>
      <c r="H100" t="s">
        <v>25</v>
      </c>
      <c r="I100" t="s">
        <v>26</v>
      </c>
      <c r="J100" t="s">
        <v>698</v>
      </c>
      <c r="L100">
        <v>0</v>
      </c>
      <c r="M100">
        <v>1967</v>
      </c>
      <c r="O100" t="s">
        <v>144</v>
      </c>
      <c r="R100">
        <v>46.977276000000003</v>
      </c>
      <c r="S100">
        <v>13.052084000000001</v>
      </c>
      <c r="T100" t="s">
        <v>704</v>
      </c>
      <c r="U100">
        <v>1185</v>
      </c>
      <c r="V100">
        <v>10.1</v>
      </c>
      <c r="W100">
        <v>82</v>
      </c>
      <c r="X100" s="6">
        <f>125/$U100*$G100</f>
        <v>11.39240506329114</v>
      </c>
      <c r="Y100" s="7">
        <v>30000000</v>
      </c>
      <c r="Z100" s="11">
        <f>Y100/V100/60/60*G100/1000</f>
        <v>89.10891089108911</v>
      </c>
      <c r="AB100">
        <v>27</v>
      </c>
      <c r="AD100">
        <f>ROUND(0.95*IF($T100="Pelton",0.875,IF($T100="Kaplan",0.9,0.925))*IF($I100="Pumped Storage",0.875,1),2)</f>
        <v>0.73</v>
      </c>
      <c r="AE100">
        <f>ROUND(SQRT($AD100),3)*0.975</f>
        <v>0.83265</v>
      </c>
      <c r="AF100">
        <f>ROUND(SQRT($AD100),3)*1.025</f>
        <v>0.87534999999999985</v>
      </c>
    </row>
    <row r="101" spans="1:37" x14ac:dyDescent="0.25">
      <c r="A101" t="s">
        <v>121</v>
      </c>
      <c r="B101" t="s">
        <v>202</v>
      </c>
      <c r="C101" t="s">
        <v>142</v>
      </c>
      <c r="D101">
        <v>9831</v>
      </c>
      <c r="E101" t="s">
        <v>123</v>
      </c>
      <c r="F101" t="s">
        <v>24</v>
      </c>
      <c r="G101">
        <v>66</v>
      </c>
      <c r="H101" t="s">
        <v>25</v>
      </c>
      <c r="I101" t="s">
        <v>26</v>
      </c>
      <c r="J101" t="s">
        <v>697</v>
      </c>
      <c r="L101">
        <v>0</v>
      </c>
      <c r="M101">
        <v>1967</v>
      </c>
      <c r="O101" t="s">
        <v>144</v>
      </c>
      <c r="R101">
        <v>46.977276000000003</v>
      </c>
      <c r="S101">
        <v>13.052084000000001</v>
      </c>
      <c r="T101" t="s">
        <v>704</v>
      </c>
      <c r="U101">
        <v>49</v>
      </c>
      <c r="V101">
        <v>15.9</v>
      </c>
      <c r="W101">
        <v>93</v>
      </c>
      <c r="X101" s="6">
        <f>125/$U101*$G101</f>
        <v>168.36734693877551</v>
      </c>
      <c r="Y101" s="8"/>
      <c r="Z101" s="11"/>
      <c r="AB101">
        <v>72</v>
      </c>
      <c r="AD101">
        <f>ROUND(0.95*IF($T101="Pelton",0.875,IF($T101="Kaplan",0.9,0.925))*IF($I101="Pumped Storage",0.875,1),2)</f>
        <v>0.73</v>
      </c>
      <c r="AE101">
        <f>ROUND(SQRT($AD101),3)*0.975</f>
        <v>0.83265</v>
      </c>
      <c r="AF101">
        <f>ROUND(SQRT($AD101),3)*1.025</f>
        <v>0.87534999999999985</v>
      </c>
    </row>
    <row r="102" spans="1:37" x14ac:dyDescent="0.25">
      <c r="A102" t="s">
        <v>145</v>
      </c>
      <c r="B102" t="s">
        <v>273</v>
      </c>
      <c r="C102" t="s">
        <v>274</v>
      </c>
      <c r="D102">
        <v>5645</v>
      </c>
      <c r="E102" t="s">
        <v>230</v>
      </c>
      <c r="F102" t="s">
        <v>24</v>
      </c>
      <c r="G102">
        <v>31.5</v>
      </c>
      <c r="H102" t="s">
        <v>25</v>
      </c>
      <c r="I102" t="s">
        <v>26</v>
      </c>
      <c r="J102" t="s">
        <v>275</v>
      </c>
      <c r="L102">
        <v>0</v>
      </c>
      <c r="M102">
        <v>1982</v>
      </c>
      <c r="O102" t="s">
        <v>276</v>
      </c>
      <c r="R102">
        <v>47.066533999999997</v>
      </c>
      <c r="S102">
        <v>13.062182</v>
      </c>
      <c r="T102" t="s">
        <v>703</v>
      </c>
      <c r="U102">
        <v>321</v>
      </c>
      <c r="V102">
        <v>11.6</v>
      </c>
      <c r="W102">
        <v>5</v>
      </c>
      <c r="X102" s="6">
        <f>125/$U102*$G102</f>
        <v>12.266355140186915</v>
      </c>
      <c r="Y102" s="7">
        <v>18730000</v>
      </c>
      <c r="Z102" s="11">
        <f>Y102/V102/60/60*G102/1000</f>
        <v>14.12823275862069</v>
      </c>
      <c r="AB102">
        <v>30.3</v>
      </c>
      <c r="AD102">
        <f>ROUND(0.95*IF($T102="Pelton",0.875,IF($T102="Kaplan",0.9,0.925))*IF($I102="Pumped Storage",0.875,1),2)</f>
        <v>0.77</v>
      </c>
      <c r="AE102">
        <f>ROUND(SQRT($AD102),3)*0.975</f>
        <v>0.85507500000000003</v>
      </c>
      <c r="AF102">
        <f>ROUND(SQRT($AD102),3)*1.025</f>
        <v>0.89892499999999997</v>
      </c>
    </row>
    <row r="103" spans="1:37" s="4" customFormat="1" x14ac:dyDescent="0.25">
      <c r="A103" s="3" t="s">
        <v>121</v>
      </c>
      <c r="B103" s="3" t="s">
        <v>356</v>
      </c>
      <c r="C103" t="s">
        <v>582</v>
      </c>
      <c r="D103">
        <v>9832</v>
      </c>
      <c r="E103" t="s">
        <v>583</v>
      </c>
      <c r="F103" t="s">
        <v>24</v>
      </c>
      <c r="G103">
        <v>18</v>
      </c>
      <c r="H103" t="s">
        <v>25</v>
      </c>
      <c r="I103" t="s">
        <v>36</v>
      </c>
      <c r="J103" t="s">
        <v>143</v>
      </c>
      <c r="K103"/>
      <c r="L103">
        <v>0</v>
      </c>
      <c r="M103">
        <v>1984</v>
      </c>
      <c r="N103"/>
      <c r="O103" t="s">
        <v>144</v>
      </c>
      <c r="P103"/>
      <c r="Q103"/>
      <c r="R103">
        <v>46.867359999999998</v>
      </c>
      <c r="S103">
        <v>13.0716</v>
      </c>
      <c r="T103"/>
      <c r="U103">
        <v>327</v>
      </c>
      <c r="V103" s="3">
        <v>7</v>
      </c>
      <c r="W103">
        <v>4</v>
      </c>
      <c r="X103" s="6">
        <f>125/$U103*$G103</f>
        <v>6.8807339449541285</v>
      </c>
      <c r="Y103" s="7"/>
      <c r="Z103" s="11"/>
      <c r="AA103"/>
      <c r="AB103">
        <v>0</v>
      </c>
      <c r="AC103"/>
      <c r="AD103">
        <f>ROUND(0.95*IF($T103="Pelton",0.875,IF($T103="Kaplan",0.9,0.925))*IF($I103="Pumped Storage",0.875,1),2)</f>
        <v>0.88</v>
      </c>
      <c r="AE103">
        <f>ROUND(SQRT($AD103),3)*0.975</f>
        <v>0.91454999999999997</v>
      </c>
      <c r="AF103">
        <f>ROUND(SQRT($AD103),3)*1.025</f>
        <v>0.9614499999999998</v>
      </c>
      <c r="AG103"/>
      <c r="AH103"/>
      <c r="AI103"/>
      <c r="AJ103"/>
      <c r="AK103"/>
    </row>
    <row r="104" spans="1:37" x14ac:dyDescent="0.25">
      <c r="A104" s="4" t="s">
        <v>145</v>
      </c>
      <c r="B104" s="4" t="s">
        <v>330</v>
      </c>
      <c r="C104" t="s">
        <v>330</v>
      </c>
      <c r="D104">
        <v>5412</v>
      </c>
      <c r="E104" t="s">
        <v>331</v>
      </c>
      <c r="F104" s="4" t="s">
        <v>24</v>
      </c>
      <c r="G104" s="4">
        <v>22</v>
      </c>
      <c r="H104" s="4" t="s">
        <v>25</v>
      </c>
      <c r="I104" s="4" t="s">
        <v>60</v>
      </c>
      <c r="L104">
        <v>0</v>
      </c>
      <c r="M104" s="4">
        <v>1971</v>
      </c>
      <c r="N104" s="4"/>
      <c r="O104" s="4" t="s">
        <v>332</v>
      </c>
      <c r="P104" s="4"/>
      <c r="Q104" s="4"/>
      <c r="R104" s="4">
        <v>47.733255</v>
      </c>
      <c r="S104" s="4">
        <v>13.083142</v>
      </c>
      <c r="T104" s="4" t="s">
        <v>700</v>
      </c>
      <c r="U104" s="4">
        <v>11.15</v>
      </c>
      <c r="V104" s="4">
        <v>250</v>
      </c>
      <c r="W104" s="4">
        <v>120</v>
      </c>
      <c r="X104" s="6">
        <f>125/$U104*$G104</f>
        <v>246.63677130044843</v>
      </c>
      <c r="Y104" s="9"/>
      <c r="Z104" s="9"/>
      <c r="AA104" s="4"/>
      <c r="AB104" s="4"/>
      <c r="AC104" s="4"/>
      <c r="AD104" s="4"/>
      <c r="AG104" s="4"/>
      <c r="AH104" s="4"/>
      <c r="AI104" s="4"/>
      <c r="AJ104" s="4"/>
      <c r="AK104" s="4"/>
    </row>
    <row r="105" spans="1:37" x14ac:dyDescent="0.25">
      <c r="A105" s="4" t="s">
        <v>33</v>
      </c>
      <c r="B105" s="4" t="s">
        <v>677</v>
      </c>
      <c r="C105" t="s">
        <v>571</v>
      </c>
      <c r="D105">
        <v>6322</v>
      </c>
      <c r="E105" t="s">
        <v>328</v>
      </c>
      <c r="F105" t="s">
        <v>24</v>
      </c>
      <c r="G105">
        <v>14.1</v>
      </c>
      <c r="H105" t="s">
        <v>25</v>
      </c>
      <c r="I105" t="s">
        <v>60</v>
      </c>
      <c r="M105">
        <v>2020</v>
      </c>
      <c r="N105" t="s">
        <v>674</v>
      </c>
      <c r="O105" t="s">
        <v>548</v>
      </c>
      <c r="R105" s="4">
        <v>48.516064</v>
      </c>
      <c r="S105" s="4">
        <v>13.087818</v>
      </c>
      <c r="T105" s="4" t="s">
        <v>700</v>
      </c>
      <c r="U105">
        <v>9.6999999999999993</v>
      </c>
      <c r="V105" s="4">
        <v>200</v>
      </c>
      <c r="W105">
        <v>34</v>
      </c>
      <c r="X105" s="6">
        <f>125/$U105*$G105</f>
        <v>181.70103092783506</v>
      </c>
    </row>
    <row r="106" spans="1:37" x14ac:dyDescent="0.25">
      <c r="A106" s="4" t="s">
        <v>33</v>
      </c>
      <c r="B106" s="4" t="s">
        <v>678</v>
      </c>
      <c r="C106" t="s">
        <v>571</v>
      </c>
      <c r="D106">
        <v>6322</v>
      </c>
      <c r="E106" t="s">
        <v>328</v>
      </c>
      <c r="F106" t="s">
        <v>24</v>
      </c>
      <c r="G106">
        <v>0.8</v>
      </c>
      <c r="H106" t="s">
        <v>25</v>
      </c>
      <c r="I106" t="s">
        <v>60</v>
      </c>
      <c r="M106">
        <v>2020</v>
      </c>
      <c r="N106" t="s">
        <v>674</v>
      </c>
      <c r="O106" t="s">
        <v>548</v>
      </c>
      <c r="R106" s="4">
        <v>48.516064</v>
      </c>
      <c r="S106" s="4">
        <v>13.087818</v>
      </c>
      <c r="T106" s="4"/>
      <c r="U106" s="4">
        <v>6</v>
      </c>
      <c r="V106" s="4">
        <v>15</v>
      </c>
      <c r="W106" s="4">
        <v>6</v>
      </c>
      <c r="X106" s="6">
        <f>125/$U106*$G106</f>
        <v>16.666666666666668</v>
      </c>
    </row>
    <row r="107" spans="1:37" x14ac:dyDescent="0.25">
      <c r="A107" s="4" t="s">
        <v>145</v>
      </c>
      <c r="B107" s="4" t="s">
        <v>435</v>
      </c>
      <c r="C107" t="s">
        <v>436</v>
      </c>
      <c r="D107">
        <v>5400</v>
      </c>
      <c r="E107" t="s">
        <v>437</v>
      </c>
      <c r="F107" t="s">
        <v>24</v>
      </c>
      <c r="G107">
        <v>11.7</v>
      </c>
      <c r="H107" t="s">
        <v>25</v>
      </c>
      <c r="I107" t="s">
        <v>60</v>
      </c>
      <c r="L107">
        <v>0</v>
      </c>
      <c r="M107">
        <v>1987</v>
      </c>
      <c r="O107" t="s">
        <v>438</v>
      </c>
      <c r="R107">
        <v>47.688091</v>
      </c>
      <c r="S107">
        <v>13.088229999999999</v>
      </c>
      <c r="T107" t="s">
        <v>700</v>
      </c>
      <c r="U107">
        <v>6.7</v>
      </c>
      <c r="V107" s="4">
        <v>220</v>
      </c>
      <c r="W107">
        <v>61</v>
      </c>
      <c r="X107" s="6">
        <f>125/$U107*$G107</f>
        <v>218.28358208955223</v>
      </c>
    </row>
    <row r="108" spans="1:37" s="4" customFormat="1" x14ac:dyDescent="0.25">
      <c r="A108" s="4" t="s">
        <v>121</v>
      </c>
      <c r="B108" s="4" t="s">
        <v>481</v>
      </c>
      <c r="C108" s="4" t="s">
        <v>482</v>
      </c>
      <c r="D108" s="4">
        <v>9831</v>
      </c>
      <c r="E108" s="4" t="s">
        <v>123</v>
      </c>
      <c r="F108" s="4" t="s">
        <v>24</v>
      </c>
      <c r="G108" s="4">
        <v>8</v>
      </c>
      <c r="H108" s="4" t="s">
        <v>25</v>
      </c>
      <c r="I108" s="4" t="s">
        <v>60</v>
      </c>
      <c r="L108" s="4">
        <v>0</v>
      </c>
      <c r="M108" s="4">
        <v>1962</v>
      </c>
      <c r="N108" s="4" t="s">
        <v>694</v>
      </c>
      <c r="O108" s="4" t="s">
        <v>464</v>
      </c>
      <c r="R108" s="4">
        <v>46.933816999999998</v>
      </c>
      <c r="S108" s="4">
        <v>13.092217</v>
      </c>
      <c r="U108" s="4">
        <v>36.700000000000003</v>
      </c>
      <c r="V108" s="4">
        <v>27.7</v>
      </c>
      <c r="W108" s="4">
        <v>26</v>
      </c>
      <c r="X108" s="6">
        <f>125/$U108*$G108</f>
        <v>27.247956403269754</v>
      </c>
      <c r="Y108" s="9"/>
      <c r="Z108" s="9"/>
      <c r="AE108"/>
      <c r="AF108"/>
    </row>
    <row r="109" spans="1:37" s="4" customFormat="1" x14ac:dyDescent="0.25">
      <c r="A109" t="s">
        <v>121</v>
      </c>
      <c r="B109" t="s">
        <v>152</v>
      </c>
      <c r="C109" t="s">
        <v>153</v>
      </c>
      <c r="D109">
        <v>9831</v>
      </c>
      <c r="E109" t="s">
        <v>123</v>
      </c>
      <c r="F109" t="s">
        <v>24</v>
      </c>
      <c r="G109">
        <v>96</v>
      </c>
      <c r="H109" t="s">
        <v>25</v>
      </c>
      <c r="I109" t="s">
        <v>36</v>
      </c>
      <c r="J109" t="s">
        <v>143</v>
      </c>
      <c r="K109"/>
      <c r="L109">
        <v>0</v>
      </c>
      <c r="M109">
        <v>1986</v>
      </c>
      <c r="N109"/>
      <c r="O109" t="s">
        <v>125</v>
      </c>
      <c r="P109"/>
      <c r="Q109"/>
      <c r="R109">
        <v>46.935949999999998</v>
      </c>
      <c r="S109">
        <v>13.10745</v>
      </c>
      <c r="T109" t="s">
        <v>704</v>
      </c>
      <c r="U109">
        <v>488</v>
      </c>
      <c r="V109">
        <v>23</v>
      </c>
      <c r="W109">
        <v>234</v>
      </c>
      <c r="X109" s="6">
        <f>125/$U109*$G109</f>
        <v>24.590163934426229</v>
      </c>
      <c r="Y109" s="7"/>
      <c r="Z109" s="11"/>
      <c r="AA109"/>
      <c r="AB109">
        <v>0</v>
      </c>
      <c r="AC109"/>
      <c r="AD109">
        <f>ROUND(0.95*IF($T109="Pelton",0.875,IF($T109="Kaplan",0.9,0.925))*IF($I109="Pumped Storage",0.875,1),2)</f>
        <v>0.83</v>
      </c>
      <c r="AE109">
        <f>ROUND(SQRT($AD109),3)*0.975</f>
        <v>0.88822500000000004</v>
      </c>
      <c r="AF109">
        <f>ROUND(SQRT($AD109),3)*1.025</f>
        <v>0.93377499999999991</v>
      </c>
      <c r="AG109"/>
      <c r="AH109"/>
      <c r="AI109"/>
      <c r="AJ109"/>
      <c r="AK109"/>
    </row>
    <row r="110" spans="1:37" x14ac:dyDescent="0.25">
      <c r="A110" s="4" t="s">
        <v>145</v>
      </c>
      <c r="B110" s="4" t="s">
        <v>472</v>
      </c>
      <c r="C110" s="4" t="s">
        <v>638</v>
      </c>
      <c r="D110" s="4">
        <v>5400</v>
      </c>
      <c r="E110" s="4" t="s">
        <v>437</v>
      </c>
      <c r="F110" s="4" t="s">
        <v>24</v>
      </c>
      <c r="G110" s="4">
        <v>8.6</v>
      </c>
      <c r="H110" s="4" t="s">
        <v>25</v>
      </c>
      <c r="I110" s="4" t="s">
        <v>60</v>
      </c>
      <c r="J110" s="4"/>
      <c r="K110" s="4"/>
      <c r="L110" s="4">
        <v>0</v>
      </c>
      <c r="M110" s="4">
        <v>2007</v>
      </c>
      <c r="N110" s="4"/>
      <c r="O110" s="4" t="s">
        <v>473</v>
      </c>
      <c r="P110" s="4"/>
      <c r="Q110" s="4"/>
      <c r="R110" s="4">
        <v>47.672750999999998</v>
      </c>
      <c r="S110" s="4">
        <v>13.109204</v>
      </c>
      <c r="T110" s="4" t="s">
        <v>700</v>
      </c>
      <c r="U110" s="4">
        <v>6.3</v>
      </c>
      <c r="V110" s="4">
        <v>175</v>
      </c>
      <c r="W110" s="4">
        <v>53.38</v>
      </c>
      <c r="X110" s="6">
        <f>125/$U110*$G110</f>
        <v>170.63492063492063</v>
      </c>
      <c r="Y110" s="9"/>
      <c r="Z110" s="9"/>
      <c r="AA110" s="4"/>
      <c r="AB110" s="4"/>
      <c r="AC110" s="4"/>
      <c r="AD110" s="4"/>
      <c r="AG110" s="4"/>
      <c r="AH110" s="4"/>
      <c r="AI110" s="4"/>
      <c r="AJ110" s="4"/>
      <c r="AK110" s="4"/>
    </row>
    <row r="111" spans="1:37" x14ac:dyDescent="0.25">
      <c r="A111" t="s">
        <v>145</v>
      </c>
      <c r="B111" t="s">
        <v>228</v>
      </c>
      <c r="C111" t="s">
        <v>229</v>
      </c>
      <c r="D111">
        <v>5645</v>
      </c>
      <c r="E111" t="s">
        <v>230</v>
      </c>
      <c r="F111" t="s">
        <v>24</v>
      </c>
      <c r="G111">
        <v>46</v>
      </c>
      <c r="H111" t="s">
        <v>25</v>
      </c>
      <c r="I111" t="s">
        <v>36</v>
      </c>
      <c r="J111" t="s">
        <v>231</v>
      </c>
      <c r="L111">
        <v>0</v>
      </c>
      <c r="M111">
        <v>1981</v>
      </c>
      <c r="O111" t="s">
        <v>232</v>
      </c>
      <c r="R111">
        <v>47.086798999999999</v>
      </c>
      <c r="S111">
        <v>13.11379</v>
      </c>
      <c r="T111" t="s">
        <v>703</v>
      </c>
      <c r="U111">
        <v>455.51</v>
      </c>
      <c r="V111">
        <v>11.56</v>
      </c>
      <c r="W111">
        <v>111</v>
      </c>
      <c r="X111" s="6">
        <f>125/$U111*$G111</f>
        <v>12.623213540866281</v>
      </c>
      <c r="Y111" s="7">
        <v>230000</v>
      </c>
      <c r="Z111" s="11">
        <f>Y111/V111/60/60*G111/1000</f>
        <v>0.25422914263744717</v>
      </c>
      <c r="AB111">
        <v>0</v>
      </c>
      <c r="AD111">
        <f>ROUND(0.95*IF($T111="Pelton",0.875,IF($T111="Kaplan",0.9,0.925))*IF($I111="Pumped Storage",0.875,1),2)</f>
        <v>0.88</v>
      </c>
      <c r="AE111">
        <f>ROUND(SQRT($AD111),3)*0.975</f>
        <v>0.91454999999999997</v>
      </c>
      <c r="AF111">
        <f>ROUND(SQRT($AD111),3)*1.025</f>
        <v>0.9614499999999998</v>
      </c>
    </row>
    <row r="112" spans="1:37" x14ac:dyDescent="0.25">
      <c r="A112" t="s">
        <v>145</v>
      </c>
      <c r="B112" t="s">
        <v>277</v>
      </c>
      <c r="C112" t="s">
        <v>278</v>
      </c>
      <c r="D112">
        <v>5640</v>
      </c>
      <c r="E112" t="s">
        <v>230</v>
      </c>
      <c r="F112" t="s">
        <v>24</v>
      </c>
      <c r="G112">
        <v>30.9</v>
      </c>
      <c r="H112" t="s">
        <v>25</v>
      </c>
      <c r="I112" t="s">
        <v>26</v>
      </c>
      <c r="J112" t="s">
        <v>279</v>
      </c>
      <c r="L112">
        <v>0</v>
      </c>
      <c r="M112">
        <v>1995</v>
      </c>
      <c r="O112" t="s">
        <v>276</v>
      </c>
      <c r="R112">
        <v>47.136062000000003</v>
      </c>
      <c r="S112">
        <v>13.126856</v>
      </c>
      <c r="T112" t="s">
        <v>705</v>
      </c>
      <c r="U112">
        <v>265.60000000000002</v>
      </c>
      <c r="V112">
        <v>14</v>
      </c>
      <c r="W112">
        <v>12</v>
      </c>
      <c r="X112" s="6">
        <f>125/$U112*$G112</f>
        <v>14.54254518072289</v>
      </c>
      <c r="Y112" s="7">
        <v>230000</v>
      </c>
      <c r="Z112" s="11">
        <f>Y112/V112/60/60*G112/1000</f>
        <v>0.14101190476190475</v>
      </c>
      <c r="AB112">
        <v>3.3</v>
      </c>
      <c r="AD112">
        <f>ROUND(0.95*IF($T112="Pelton",0.875,IF($T112="Kaplan",0.9,0.925))*IF($I112="Pumped Storage",0.875,1),2)</f>
        <v>0.77</v>
      </c>
      <c r="AE112">
        <f>ROUND(SQRT($AD112),3)*0.975</f>
        <v>0.85507500000000003</v>
      </c>
      <c r="AF112">
        <f>ROUND(SQRT($AD112),3)*1.025</f>
        <v>0.89892499999999997</v>
      </c>
    </row>
    <row r="113" spans="1:37" x14ac:dyDescent="0.25">
      <c r="A113" t="s">
        <v>22</v>
      </c>
      <c r="B113" t="s">
        <v>135</v>
      </c>
      <c r="C113" t="s">
        <v>529</v>
      </c>
      <c r="D113">
        <v>5620</v>
      </c>
      <c r="E113" t="s">
        <v>136</v>
      </c>
      <c r="F113" t="s">
        <v>24</v>
      </c>
      <c r="G113">
        <v>120</v>
      </c>
      <c r="H113" t="s">
        <v>25</v>
      </c>
      <c r="I113" t="s">
        <v>36</v>
      </c>
      <c r="J113" t="s">
        <v>530</v>
      </c>
      <c r="L113">
        <v>0</v>
      </c>
      <c r="M113">
        <v>1960</v>
      </c>
      <c r="O113" t="s">
        <v>27</v>
      </c>
      <c r="Q113" t="s">
        <v>137</v>
      </c>
      <c r="R113">
        <v>47.315375000000003</v>
      </c>
      <c r="S113">
        <v>13.138786</v>
      </c>
      <c r="T113" t="s">
        <v>703</v>
      </c>
      <c r="U113">
        <v>138.69999999999999</v>
      </c>
      <c r="V113">
        <v>107</v>
      </c>
      <c r="W113">
        <v>482.3</v>
      </c>
      <c r="X113" s="6">
        <f>125/$U113*$G113</f>
        <v>108.14708002883923</v>
      </c>
      <c r="Y113" s="7">
        <v>1800000</v>
      </c>
      <c r="Z113" s="11">
        <f>Y113/V113/60/60*G113/1000</f>
        <v>0.56074766355140182</v>
      </c>
      <c r="AB113">
        <v>0</v>
      </c>
      <c r="AD113">
        <f>ROUND(0.95*IF($T113="Pelton",0.875,IF($T113="Kaplan",0.9,0.925))*IF($I113="Pumped Storage",0.875,1),2)</f>
        <v>0.88</v>
      </c>
      <c r="AE113">
        <f>ROUND(SQRT($AD113),3)*0.975</f>
        <v>0.91454999999999997</v>
      </c>
      <c r="AF113">
        <f>ROUND(SQRT($AD113),3)*1.025</f>
        <v>0.9614499999999998</v>
      </c>
    </row>
    <row r="114" spans="1:37" x14ac:dyDescent="0.25">
      <c r="A114" s="3" t="s">
        <v>22</v>
      </c>
      <c r="B114" s="3" t="s">
        <v>504</v>
      </c>
      <c r="C114" t="s">
        <v>562</v>
      </c>
      <c r="D114">
        <v>5620</v>
      </c>
      <c r="E114" t="s">
        <v>136</v>
      </c>
      <c r="F114" t="s">
        <v>24</v>
      </c>
      <c r="G114">
        <v>5</v>
      </c>
      <c r="H114" t="s">
        <v>25</v>
      </c>
      <c r="I114" t="s">
        <v>60</v>
      </c>
      <c r="L114">
        <v>0</v>
      </c>
      <c r="M114">
        <v>1989</v>
      </c>
      <c r="O114" t="s">
        <v>27</v>
      </c>
      <c r="R114">
        <v>47.315609000000002</v>
      </c>
      <c r="S114">
        <v>13.140893</v>
      </c>
      <c r="T114" t="s">
        <v>700</v>
      </c>
      <c r="U114">
        <v>6</v>
      </c>
      <c r="V114" s="3"/>
      <c r="W114">
        <v>2.7</v>
      </c>
      <c r="X114" s="6">
        <f>125/$U114*$G114</f>
        <v>104.16666666666666</v>
      </c>
    </row>
    <row r="115" spans="1:37" x14ac:dyDescent="0.25">
      <c r="A115" s="3" t="s">
        <v>22</v>
      </c>
      <c r="B115" s="3" t="s">
        <v>429</v>
      </c>
      <c r="C115" t="s">
        <v>612</v>
      </c>
      <c r="D115">
        <v>5620</v>
      </c>
      <c r="E115" t="s">
        <v>136</v>
      </c>
      <c r="F115" t="s">
        <v>24</v>
      </c>
      <c r="G115">
        <v>13</v>
      </c>
      <c r="H115" t="s">
        <v>25</v>
      </c>
      <c r="I115" t="s">
        <v>60</v>
      </c>
      <c r="L115">
        <v>0</v>
      </c>
      <c r="M115">
        <v>1990</v>
      </c>
      <c r="O115" t="s">
        <v>27</v>
      </c>
      <c r="R115">
        <v>47.316079999999999</v>
      </c>
      <c r="S115">
        <v>13.140993999999999</v>
      </c>
      <c r="T115" t="s">
        <v>700</v>
      </c>
      <c r="U115">
        <v>15.5</v>
      </c>
      <c r="V115" s="3" t="s">
        <v>672</v>
      </c>
      <c r="W115">
        <v>38.299999999999997</v>
      </c>
      <c r="X115" s="6">
        <f>125/$U115*$G115</f>
        <v>104.83870967741936</v>
      </c>
    </row>
    <row r="116" spans="1:37" x14ac:dyDescent="0.25">
      <c r="A116" t="s">
        <v>145</v>
      </c>
      <c r="B116" t="s">
        <v>300</v>
      </c>
      <c r="C116" t="s">
        <v>301</v>
      </c>
      <c r="D116">
        <v>5421</v>
      </c>
      <c r="E116" t="s">
        <v>302</v>
      </c>
      <c r="F116" t="s">
        <v>24</v>
      </c>
      <c r="G116">
        <v>28</v>
      </c>
      <c r="H116" t="s">
        <v>25</v>
      </c>
      <c r="I116" t="s">
        <v>36</v>
      </c>
      <c r="J116" t="s">
        <v>303</v>
      </c>
      <c r="L116">
        <v>0</v>
      </c>
      <c r="M116">
        <v>1977</v>
      </c>
      <c r="O116" t="s">
        <v>304</v>
      </c>
      <c r="R116">
        <v>47.724310000000003</v>
      </c>
      <c r="S116">
        <v>13.142588</v>
      </c>
      <c r="T116" t="s">
        <v>703</v>
      </c>
      <c r="U116">
        <v>8.5</v>
      </c>
      <c r="V116">
        <v>39</v>
      </c>
      <c r="W116">
        <v>53.2</v>
      </c>
      <c r="X116" s="6">
        <f>125/$U116*$G116</f>
        <v>411.76470588235293</v>
      </c>
      <c r="Y116" s="7">
        <v>7300000</v>
      </c>
      <c r="Z116" s="11">
        <f>Y116/V116/60/60*G116/1000</f>
        <v>1.4558404558404558</v>
      </c>
      <c r="AB116">
        <v>0</v>
      </c>
      <c r="AD116">
        <f>ROUND(0.95*IF($T116="Pelton",0.875,IF($T116="Kaplan",0.9,0.925))*IF($I116="Pumped Storage",0.875,1),2)</f>
        <v>0.88</v>
      </c>
      <c r="AE116">
        <f>ROUND(SQRT($AD116),3)*0.975</f>
        <v>0.91454999999999997</v>
      </c>
      <c r="AF116">
        <f>ROUND(SQRT($AD116),3)*1.025</f>
        <v>0.9614499999999998</v>
      </c>
    </row>
    <row r="117" spans="1:37" x14ac:dyDescent="0.25">
      <c r="A117" t="s">
        <v>22</v>
      </c>
      <c r="B117" t="s">
        <v>195</v>
      </c>
      <c r="C117" t="s">
        <v>196</v>
      </c>
      <c r="D117" t="s">
        <v>197</v>
      </c>
      <c r="E117" t="s">
        <v>198</v>
      </c>
      <c r="F117" t="s">
        <v>24</v>
      </c>
      <c r="G117">
        <v>72</v>
      </c>
      <c r="H117" t="s">
        <v>25</v>
      </c>
      <c r="I117" t="s">
        <v>60</v>
      </c>
      <c r="L117">
        <v>0</v>
      </c>
      <c r="M117">
        <v>1943</v>
      </c>
      <c r="O117" t="s">
        <v>27</v>
      </c>
      <c r="R117">
        <v>48.290627999999998</v>
      </c>
      <c r="S117">
        <v>13.159357</v>
      </c>
      <c r="T117" t="s">
        <v>700</v>
      </c>
      <c r="U117">
        <v>9.65</v>
      </c>
      <c r="V117">
        <v>1040</v>
      </c>
      <c r="W117">
        <v>434</v>
      </c>
      <c r="X117" s="6">
        <f>125/$U117*$G117</f>
        <v>932.64248704663214</v>
      </c>
    </row>
    <row r="118" spans="1:37" x14ac:dyDescent="0.25">
      <c r="A118" s="4" t="s">
        <v>22</v>
      </c>
      <c r="B118" s="4" t="s">
        <v>393</v>
      </c>
      <c r="C118" t="s">
        <v>596</v>
      </c>
      <c r="D118">
        <v>5620</v>
      </c>
      <c r="E118" t="s">
        <v>597</v>
      </c>
      <c r="F118" t="s">
        <v>24</v>
      </c>
      <c r="G118">
        <v>16</v>
      </c>
      <c r="H118" t="s">
        <v>25</v>
      </c>
      <c r="I118" t="s">
        <v>60</v>
      </c>
      <c r="L118">
        <v>0</v>
      </c>
      <c r="M118">
        <v>1989</v>
      </c>
      <c r="O118" t="s">
        <v>27</v>
      </c>
      <c r="P118" t="s">
        <v>701</v>
      </c>
      <c r="R118">
        <v>47.321488000000002</v>
      </c>
      <c r="S118">
        <v>13.174576999999999</v>
      </c>
      <c r="T118" t="s">
        <v>700</v>
      </c>
      <c r="U118">
        <v>10.4</v>
      </c>
      <c r="V118" s="4">
        <v>183</v>
      </c>
      <c r="W118">
        <v>67</v>
      </c>
      <c r="X118" s="6">
        <f>125/$U118*$G118</f>
        <v>192.30769230769229</v>
      </c>
    </row>
    <row r="119" spans="1:37" x14ac:dyDescent="0.25">
      <c r="A119" t="s">
        <v>145</v>
      </c>
      <c r="B119" t="s">
        <v>403</v>
      </c>
      <c r="C119" t="s">
        <v>404</v>
      </c>
      <c r="D119">
        <v>5323</v>
      </c>
      <c r="E119" t="s">
        <v>405</v>
      </c>
      <c r="F119" t="s">
        <v>24</v>
      </c>
      <c r="G119">
        <v>15</v>
      </c>
      <c r="H119" t="s">
        <v>25</v>
      </c>
      <c r="I119" t="s">
        <v>36</v>
      </c>
      <c r="J119" t="s">
        <v>406</v>
      </c>
      <c r="L119">
        <v>0</v>
      </c>
      <c r="M119">
        <v>1984</v>
      </c>
      <c r="O119" t="s">
        <v>407</v>
      </c>
      <c r="R119">
        <v>47.761924</v>
      </c>
      <c r="S119">
        <v>13.183223999999999</v>
      </c>
      <c r="T119" t="s">
        <v>703</v>
      </c>
      <c r="U119">
        <v>12</v>
      </c>
      <c r="V119">
        <v>18.399999999999999</v>
      </c>
      <c r="W119">
        <v>41.2</v>
      </c>
      <c r="X119" s="6">
        <f>125/$U119*$G119</f>
        <v>156.25</v>
      </c>
      <c r="Y119" s="7">
        <v>7500000</v>
      </c>
      <c r="Z119" s="11">
        <f>Y119/V119/60/60*G119/1000</f>
        <v>1.6983695652173916</v>
      </c>
      <c r="AB119">
        <v>0</v>
      </c>
      <c r="AD119">
        <f>ROUND(0.95*IF($T119="Pelton",0.875,IF($T119="Kaplan",0.9,0.925))*IF($I119="Pumped Storage",0.875,1),2)</f>
        <v>0.88</v>
      </c>
      <c r="AE119">
        <f>ROUND(SQRT($AD119),3)*0.975</f>
        <v>0.91454999999999997</v>
      </c>
      <c r="AF119">
        <f>ROUND(SQRT($AD119),3)*1.025</f>
        <v>0.9614499999999998</v>
      </c>
    </row>
    <row r="120" spans="1:37" x14ac:dyDescent="0.25">
      <c r="A120" s="4" t="s">
        <v>233</v>
      </c>
      <c r="B120" s="4" t="s">
        <v>376</v>
      </c>
      <c r="C120" t="s">
        <v>622</v>
      </c>
      <c r="D120">
        <v>5621</v>
      </c>
      <c r="E120" t="s">
        <v>597</v>
      </c>
      <c r="F120" t="s">
        <v>24</v>
      </c>
      <c r="G120">
        <v>11.2</v>
      </c>
      <c r="H120" t="s">
        <v>25</v>
      </c>
      <c r="I120" t="s">
        <v>60</v>
      </c>
      <c r="L120">
        <v>0</v>
      </c>
      <c r="M120">
        <v>1922</v>
      </c>
      <c r="O120" t="s">
        <v>236</v>
      </c>
      <c r="R120">
        <v>47.32085</v>
      </c>
      <c r="S120">
        <v>13.185180000000001</v>
      </c>
      <c r="T120" t="s">
        <v>703</v>
      </c>
      <c r="U120">
        <v>153</v>
      </c>
      <c r="V120" s="4">
        <v>10</v>
      </c>
      <c r="W120">
        <v>56.7</v>
      </c>
      <c r="X120" s="6">
        <f>125/$U120*$G120</f>
        <v>9.1503267973856204</v>
      </c>
    </row>
    <row r="121" spans="1:37" x14ac:dyDescent="0.25">
      <c r="A121" t="s">
        <v>203</v>
      </c>
      <c r="B121" t="s">
        <v>549</v>
      </c>
      <c r="C121" t="s">
        <v>550</v>
      </c>
      <c r="D121">
        <v>9821</v>
      </c>
      <c r="E121" t="s">
        <v>551</v>
      </c>
      <c r="F121" t="s">
        <v>24</v>
      </c>
      <c r="G121">
        <v>37</v>
      </c>
      <c r="H121" t="s">
        <v>25</v>
      </c>
      <c r="I121" t="s">
        <v>36</v>
      </c>
      <c r="L121">
        <v>0</v>
      </c>
      <c r="M121" t="s">
        <v>43</v>
      </c>
      <c r="N121" t="s">
        <v>552</v>
      </c>
      <c r="O121" t="s">
        <v>553</v>
      </c>
      <c r="R121">
        <v>46.937175000000003</v>
      </c>
      <c r="S121">
        <v>13.191755000000001</v>
      </c>
      <c r="U121">
        <v>488</v>
      </c>
      <c r="V121">
        <v>9</v>
      </c>
      <c r="W121">
        <v>12</v>
      </c>
      <c r="X121" s="6">
        <f>125/$U121*$G121</f>
        <v>9.4774590163934427</v>
      </c>
      <c r="Y121" s="7">
        <v>60000</v>
      </c>
      <c r="Z121" s="11">
        <f>Y121/V121/60/60*G121/1000</f>
        <v>6.851851851851852E-2</v>
      </c>
      <c r="AB121">
        <v>0</v>
      </c>
      <c r="AD121">
        <f>ROUND(0.95*IF($T121="Pelton",0.875,IF($T121="Kaplan",0.9,0.925))*IF($I121="Pumped Storage",0.875,1),2)</f>
        <v>0.88</v>
      </c>
      <c r="AE121">
        <f>ROUND(SQRT($AD121),3)*0.975</f>
        <v>0.91454999999999997</v>
      </c>
      <c r="AF121">
        <f>ROUND(SQRT($AD121),3)*1.025</f>
        <v>0.9614499999999998</v>
      </c>
    </row>
    <row r="122" spans="1:37" x14ac:dyDescent="0.25">
      <c r="A122" s="3" t="s">
        <v>203</v>
      </c>
      <c r="B122" s="3" t="s">
        <v>378</v>
      </c>
      <c r="C122" t="s">
        <v>550</v>
      </c>
      <c r="D122">
        <v>9821</v>
      </c>
      <c r="E122" t="s">
        <v>551</v>
      </c>
      <c r="F122" s="4" t="s">
        <v>24</v>
      </c>
      <c r="G122" s="4">
        <v>16</v>
      </c>
      <c r="H122" s="3" t="s">
        <v>25</v>
      </c>
      <c r="I122" s="4" t="s">
        <v>60</v>
      </c>
      <c r="L122">
        <v>0</v>
      </c>
      <c r="M122" s="4">
        <v>1929</v>
      </c>
      <c r="N122" s="4" t="s">
        <v>696</v>
      </c>
      <c r="O122" s="4"/>
      <c r="P122" s="4"/>
      <c r="Q122" s="3"/>
      <c r="R122" s="3">
        <v>46.937175000000003</v>
      </c>
      <c r="S122" s="3">
        <v>13.191755000000001</v>
      </c>
      <c r="T122" s="3"/>
      <c r="U122" s="3"/>
      <c r="V122" s="4">
        <v>6.2</v>
      </c>
      <c r="W122" s="4">
        <v>76.83</v>
      </c>
      <c r="X122" s="6" t="e">
        <f>125/$U122*$G122</f>
        <v>#DIV/0!</v>
      </c>
    </row>
    <row r="123" spans="1:37" x14ac:dyDescent="0.25">
      <c r="A123" s="4" t="s">
        <v>145</v>
      </c>
      <c r="B123" s="4" t="s">
        <v>386</v>
      </c>
      <c r="C123" t="s">
        <v>387</v>
      </c>
      <c r="D123">
        <v>5450</v>
      </c>
      <c r="E123" t="s">
        <v>388</v>
      </c>
      <c r="F123" t="s">
        <v>24</v>
      </c>
      <c r="G123">
        <v>16</v>
      </c>
      <c r="H123" t="s">
        <v>25</v>
      </c>
      <c r="I123" t="s">
        <v>60</v>
      </c>
      <c r="L123">
        <v>0</v>
      </c>
      <c r="M123">
        <v>2009</v>
      </c>
      <c r="O123" t="s">
        <v>389</v>
      </c>
      <c r="R123">
        <v>47.472081000000003</v>
      </c>
      <c r="S123">
        <v>13.193148000000001</v>
      </c>
      <c r="T123" t="s">
        <v>700</v>
      </c>
      <c r="U123">
        <v>9.15</v>
      </c>
      <c r="V123">
        <v>200</v>
      </c>
      <c r="W123">
        <v>76.5</v>
      </c>
      <c r="X123" s="6">
        <f>125/$U123*$G123</f>
        <v>218.5792349726776</v>
      </c>
    </row>
    <row r="124" spans="1:37" x14ac:dyDescent="0.25">
      <c r="A124" s="4" t="s">
        <v>145</v>
      </c>
      <c r="B124" s="4" t="s">
        <v>374</v>
      </c>
      <c r="C124" t="s">
        <v>375</v>
      </c>
      <c r="D124">
        <v>5600</v>
      </c>
      <c r="E124" t="s">
        <v>376</v>
      </c>
      <c r="F124" t="s">
        <v>24</v>
      </c>
      <c r="G124">
        <v>16.5</v>
      </c>
      <c r="H124" t="s">
        <v>25</v>
      </c>
      <c r="I124" t="s">
        <v>60</v>
      </c>
      <c r="L124">
        <v>0</v>
      </c>
      <c r="M124">
        <v>1991</v>
      </c>
      <c r="O124" t="s">
        <v>377</v>
      </c>
      <c r="R124">
        <v>47.338684999999998</v>
      </c>
      <c r="S124">
        <v>13.197146999999999</v>
      </c>
      <c r="T124" t="s">
        <v>700</v>
      </c>
      <c r="U124">
        <v>10</v>
      </c>
      <c r="V124">
        <v>212</v>
      </c>
      <c r="W124">
        <v>71.2</v>
      </c>
      <c r="X124" s="6">
        <f>125/$U124*$G124</f>
        <v>206.25</v>
      </c>
    </row>
    <row r="125" spans="1:37" x14ac:dyDescent="0.25">
      <c r="A125" t="s">
        <v>233</v>
      </c>
      <c r="B125" t="s">
        <v>592</v>
      </c>
      <c r="C125" t="s">
        <v>593</v>
      </c>
      <c r="D125">
        <v>5600</v>
      </c>
      <c r="E125" t="s">
        <v>384</v>
      </c>
      <c r="F125" t="s">
        <v>24</v>
      </c>
      <c r="G125">
        <v>16.399999999999999</v>
      </c>
      <c r="H125" t="s">
        <v>25</v>
      </c>
      <c r="I125" t="s">
        <v>36</v>
      </c>
      <c r="L125">
        <v>0</v>
      </c>
      <c r="M125">
        <v>1988</v>
      </c>
      <c r="O125" t="s">
        <v>236</v>
      </c>
      <c r="R125">
        <v>47.342371</v>
      </c>
      <c r="S125">
        <v>13.206821</v>
      </c>
      <c r="T125" s="4" t="s">
        <v>703</v>
      </c>
      <c r="U125">
        <v>241.5</v>
      </c>
      <c r="V125">
        <v>8</v>
      </c>
      <c r="W125">
        <v>63.1</v>
      </c>
      <c r="X125" s="6">
        <f>125/$U125*$G125</f>
        <v>8.4886128364389233</v>
      </c>
      <c r="Y125" s="7">
        <v>70000</v>
      </c>
      <c r="Z125" s="11">
        <f>Y125/V125/60/60*G125/1000</f>
        <v>3.9861111111111111E-2</v>
      </c>
      <c r="AB125">
        <v>0</v>
      </c>
      <c r="AD125">
        <f>ROUND(0.95*IF($T125="Pelton",0.875,IF($T125="Kaplan",0.9,0.925))*IF($I125="Pumped Storage",0.875,1),2)</f>
        <v>0.88</v>
      </c>
      <c r="AE125">
        <f>ROUND(SQRT($AD125),3)*0.975</f>
        <v>0.91454999999999997</v>
      </c>
      <c r="AF125">
        <f>ROUND(SQRT($AD125),3)*1.025</f>
        <v>0.9614499999999998</v>
      </c>
    </row>
    <row r="126" spans="1:37" x14ac:dyDescent="0.25">
      <c r="A126" s="4" t="s">
        <v>233</v>
      </c>
      <c r="B126" s="4" t="s">
        <v>492</v>
      </c>
      <c r="C126" s="4" t="s">
        <v>493</v>
      </c>
      <c r="D126" s="4">
        <v>5600</v>
      </c>
      <c r="E126" s="4" t="s">
        <v>384</v>
      </c>
      <c r="F126" s="4" t="s">
        <v>24</v>
      </c>
      <c r="G126" s="4">
        <v>6</v>
      </c>
      <c r="H126" s="4" t="s">
        <v>25</v>
      </c>
      <c r="I126" s="4" t="s">
        <v>60</v>
      </c>
      <c r="L126">
        <v>0</v>
      </c>
      <c r="M126" s="4">
        <v>1928</v>
      </c>
      <c r="N126" s="4"/>
      <c r="O126" s="4" t="s">
        <v>236</v>
      </c>
      <c r="P126" s="4"/>
      <c r="Q126" s="4"/>
      <c r="R126" s="4">
        <v>47.377724000000001</v>
      </c>
      <c r="S126" s="4">
        <v>13.209839000000001</v>
      </c>
      <c r="T126" s="4" t="s">
        <v>704</v>
      </c>
      <c r="U126" s="4">
        <v>263.39999999999998</v>
      </c>
      <c r="V126" s="4">
        <v>2.6</v>
      </c>
      <c r="W126" s="4">
        <v>25</v>
      </c>
      <c r="X126" s="6">
        <f>125/$U126*$G126</f>
        <v>2.8473804100227795</v>
      </c>
      <c r="Y126" s="9"/>
      <c r="Z126" s="9"/>
      <c r="AA126" s="4"/>
      <c r="AB126" s="4"/>
      <c r="AC126" s="4"/>
      <c r="AD126" s="4"/>
      <c r="AG126" s="4"/>
      <c r="AH126" s="4"/>
      <c r="AI126" s="4"/>
      <c r="AJ126" s="4"/>
      <c r="AK126" s="4"/>
    </row>
    <row r="127" spans="1:37" x14ac:dyDescent="0.25">
      <c r="A127" s="4" t="s">
        <v>233</v>
      </c>
      <c r="B127" s="4" t="s">
        <v>491</v>
      </c>
      <c r="C127" s="4" t="s">
        <v>661</v>
      </c>
      <c r="D127" s="4">
        <v>5611</v>
      </c>
      <c r="E127" s="4" t="s">
        <v>491</v>
      </c>
      <c r="F127" s="4" t="s">
        <v>24</v>
      </c>
      <c r="G127" s="4">
        <v>6.4</v>
      </c>
      <c r="H127" s="4" t="s">
        <v>25</v>
      </c>
      <c r="I127" s="4" t="s">
        <v>60</v>
      </c>
      <c r="L127">
        <v>0</v>
      </c>
      <c r="M127" s="4">
        <v>1917</v>
      </c>
      <c r="N127" s="4"/>
      <c r="O127" s="4" t="s">
        <v>236</v>
      </c>
      <c r="P127" s="4"/>
      <c r="Q127" s="4"/>
      <c r="R127" s="4">
        <v>47.294291999999999</v>
      </c>
      <c r="S127" s="4">
        <v>13.210146999999999</v>
      </c>
      <c r="T127" s="4" t="s">
        <v>703</v>
      </c>
      <c r="U127" s="4">
        <v>92</v>
      </c>
      <c r="V127" s="4">
        <v>8</v>
      </c>
      <c r="W127" s="4">
        <v>33.299999999999997</v>
      </c>
      <c r="X127" s="6">
        <f>125/$U127*$G127</f>
        <v>8.6956521739130448</v>
      </c>
      <c r="Y127" s="9"/>
      <c r="Z127" s="9"/>
      <c r="AA127" s="4"/>
      <c r="AB127" s="4"/>
      <c r="AC127" s="4"/>
      <c r="AD127" s="4"/>
      <c r="AG127" s="4"/>
      <c r="AH127" s="4"/>
      <c r="AI127" s="4"/>
      <c r="AJ127" s="4"/>
      <c r="AK127" s="4"/>
    </row>
    <row r="128" spans="1:37" x14ac:dyDescent="0.25">
      <c r="A128" s="4" t="s">
        <v>145</v>
      </c>
      <c r="B128" s="4" t="s">
        <v>382</v>
      </c>
      <c r="C128" t="s">
        <v>383</v>
      </c>
      <c r="D128">
        <v>5600</v>
      </c>
      <c r="E128" t="s">
        <v>384</v>
      </c>
      <c r="F128" t="s">
        <v>24</v>
      </c>
      <c r="G128">
        <v>16</v>
      </c>
      <c r="H128" t="s">
        <v>25</v>
      </c>
      <c r="I128" t="s">
        <v>60</v>
      </c>
      <c r="L128">
        <v>0</v>
      </c>
      <c r="M128">
        <v>1986</v>
      </c>
      <c r="O128" t="s">
        <v>385</v>
      </c>
      <c r="R128">
        <v>47.374752000000001</v>
      </c>
      <c r="S128">
        <v>13.210196</v>
      </c>
      <c r="T128" t="s">
        <v>700</v>
      </c>
      <c r="U128">
        <v>10.199999999999999</v>
      </c>
      <c r="V128">
        <v>186.5</v>
      </c>
      <c r="W128">
        <v>76.2</v>
      </c>
      <c r="X128" s="6">
        <f>125/$U128*$G128</f>
        <v>196.07843137254903</v>
      </c>
    </row>
    <row r="129" spans="1:37" s="4" customFormat="1" x14ac:dyDescent="0.25">
      <c r="A129" t="s">
        <v>145</v>
      </c>
      <c r="B129" t="s">
        <v>362</v>
      </c>
      <c r="C129" t="s">
        <v>363</v>
      </c>
      <c r="D129">
        <v>5452</v>
      </c>
      <c r="E129" t="s">
        <v>364</v>
      </c>
      <c r="F129" t="s">
        <v>24</v>
      </c>
      <c r="G129">
        <v>17.7</v>
      </c>
      <c r="H129" t="s">
        <v>25</v>
      </c>
      <c r="I129" t="s">
        <v>60</v>
      </c>
      <c r="J129"/>
      <c r="K129"/>
      <c r="L129">
        <v>0</v>
      </c>
      <c r="M129">
        <v>1996</v>
      </c>
      <c r="N129"/>
      <c r="O129" t="s">
        <v>365</v>
      </c>
      <c r="P129"/>
      <c r="Q129"/>
      <c r="R129">
        <v>47.441364</v>
      </c>
      <c r="S129">
        <v>13.210862000000001</v>
      </c>
      <c r="T129" t="s">
        <v>700</v>
      </c>
      <c r="U129">
        <v>10.87</v>
      </c>
      <c r="V129">
        <v>194</v>
      </c>
      <c r="W129">
        <v>8</v>
      </c>
      <c r="X129" s="6">
        <f>125/$U129*$G129</f>
        <v>203.54185832566696</v>
      </c>
      <c r="Y129" s="7"/>
      <c r="Z129" s="7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25">
      <c r="A130" s="4" t="s">
        <v>145</v>
      </c>
      <c r="B130" s="4" t="s">
        <v>379</v>
      </c>
      <c r="C130" t="s">
        <v>380</v>
      </c>
      <c r="D130">
        <v>5500</v>
      </c>
      <c r="E130" t="s">
        <v>379</v>
      </c>
      <c r="F130" t="s">
        <v>24</v>
      </c>
      <c r="G130">
        <v>16</v>
      </c>
      <c r="H130" t="s">
        <v>25</v>
      </c>
      <c r="I130" t="s">
        <v>60</v>
      </c>
      <c r="L130">
        <v>0</v>
      </c>
      <c r="M130">
        <v>1986</v>
      </c>
      <c r="O130" t="s">
        <v>381</v>
      </c>
      <c r="R130">
        <v>47.407020000000003</v>
      </c>
      <c r="S130">
        <v>13.220304</v>
      </c>
      <c r="T130" t="s">
        <v>700</v>
      </c>
      <c r="U130">
        <v>9</v>
      </c>
      <c r="V130">
        <v>202</v>
      </c>
      <c r="W130">
        <v>7.2</v>
      </c>
      <c r="X130" s="6">
        <f>125/$U130*$G130</f>
        <v>222.22222222222223</v>
      </c>
    </row>
    <row r="131" spans="1:37" x14ac:dyDescent="0.25">
      <c r="A131" s="3" t="s">
        <v>121</v>
      </c>
      <c r="B131" s="3" t="s">
        <v>486</v>
      </c>
      <c r="C131" t="s">
        <v>640</v>
      </c>
      <c r="D131">
        <v>9631</v>
      </c>
      <c r="E131" t="s">
        <v>641</v>
      </c>
      <c r="F131" t="s">
        <v>24</v>
      </c>
      <c r="G131">
        <v>8.1999999999999993</v>
      </c>
      <c r="H131" t="s">
        <v>25</v>
      </c>
      <c r="I131" t="s">
        <v>60</v>
      </c>
      <c r="L131">
        <v>0</v>
      </c>
      <c r="M131">
        <v>2013</v>
      </c>
      <c r="O131" t="s">
        <v>642</v>
      </c>
      <c r="R131">
        <v>46.604500000000002</v>
      </c>
      <c r="S131">
        <v>13.2883</v>
      </c>
      <c r="U131">
        <v>26</v>
      </c>
      <c r="V131" s="3">
        <v>40</v>
      </c>
      <c r="W131">
        <v>16.399999999999999</v>
      </c>
      <c r="X131" s="6">
        <f>125/$U131*$G131</f>
        <v>39.42307692307692</v>
      </c>
    </row>
    <row r="132" spans="1:37" x14ac:dyDescent="0.25">
      <c r="A132" s="3" t="s">
        <v>22</v>
      </c>
      <c r="B132" s="3" t="s">
        <v>237</v>
      </c>
      <c r="C132" t="s">
        <v>200</v>
      </c>
      <c r="D132">
        <v>9815</v>
      </c>
      <c r="E132" t="s">
        <v>201</v>
      </c>
      <c r="F132" t="s">
        <v>24</v>
      </c>
      <c r="G132">
        <v>45</v>
      </c>
      <c r="H132" t="s">
        <v>25</v>
      </c>
      <c r="I132" t="s">
        <v>36</v>
      </c>
      <c r="J132" t="s">
        <v>541</v>
      </c>
      <c r="L132">
        <v>0</v>
      </c>
      <c r="M132">
        <v>1960</v>
      </c>
      <c r="O132" t="s">
        <v>542</v>
      </c>
      <c r="R132">
        <v>46.872976999999999</v>
      </c>
      <c r="S132">
        <v>13.311515999999999</v>
      </c>
      <c r="T132" t="s">
        <v>704</v>
      </c>
      <c r="U132">
        <v>587.5</v>
      </c>
      <c r="V132" s="12">
        <f>X132</f>
        <v>9.5744680851063837</v>
      </c>
      <c r="W132">
        <v>163</v>
      </c>
      <c r="X132" s="6">
        <f>125/$U132*$G132</f>
        <v>9.5744680851063837</v>
      </c>
      <c r="Y132" s="7">
        <v>200000</v>
      </c>
      <c r="Z132" s="11">
        <f>Y132/V132/60/60*G132/1000</f>
        <v>0.26111111111111107</v>
      </c>
      <c r="AB132">
        <v>0</v>
      </c>
      <c r="AD132">
        <f>ROUND(0.95*IF($T132="Pelton",0.875,IF($T132="Kaplan",0.9,0.925))*IF($I132="Pumped Storage",0.875,1),2)</f>
        <v>0.83</v>
      </c>
      <c r="AE132">
        <f>ROUND(SQRT($AD132),3)*0.975</f>
        <v>0.88822500000000004</v>
      </c>
      <c r="AF132">
        <f>ROUND(SQRT($AD132),3)*1.025</f>
        <v>0.93377499999999991</v>
      </c>
    </row>
    <row r="133" spans="1:37" x14ac:dyDescent="0.25">
      <c r="A133" s="3" t="s">
        <v>22</v>
      </c>
      <c r="B133" s="3" t="s">
        <v>329</v>
      </c>
      <c r="C133" t="s">
        <v>200</v>
      </c>
      <c r="D133">
        <v>9815</v>
      </c>
      <c r="E133" t="s">
        <v>201</v>
      </c>
      <c r="F133" t="s">
        <v>24</v>
      </c>
      <c r="G133">
        <v>23.2</v>
      </c>
      <c r="H133" t="s">
        <v>25</v>
      </c>
      <c r="I133" t="s">
        <v>36</v>
      </c>
      <c r="J133" t="s">
        <v>569</v>
      </c>
      <c r="L133">
        <v>0</v>
      </c>
      <c r="M133">
        <v>1953</v>
      </c>
      <c r="O133" t="s">
        <v>570</v>
      </c>
      <c r="R133">
        <v>46.872810000000001</v>
      </c>
      <c r="S133">
        <v>13.311533000000001</v>
      </c>
      <c r="T133" t="s">
        <v>704</v>
      </c>
      <c r="U133">
        <v>678.5</v>
      </c>
      <c r="V133" s="3">
        <v>5</v>
      </c>
      <c r="W133">
        <v>53.7</v>
      </c>
      <c r="X133" s="6">
        <f>125/$U133*$G133</f>
        <v>4.274134119380987</v>
      </c>
      <c r="Y133" s="7">
        <v>41000</v>
      </c>
      <c r="Z133" s="11">
        <f>Y133/V133/60/60*G133/1000</f>
        <v>5.2844444444444444E-2</v>
      </c>
      <c r="AB133">
        <v>0</v>
      </c>
      <c r="AD133">
        <f>ROUND(0.95*IF($T133="Pelton",0.875,IF($T133="Kaplan",0.9,0.925))*IF($I133="Pumped Storage",0.875,1),2)</f>
        <v>0.83</v>
      </c>
      <c r="AE133">
        <f>ROUND(SQRT($AD133),3)*0.975</f>
        <v>0.88822500000000004</v>
      </c>
      <c r="AF133">
        <f>ROUND(SQRT($AD133),3)*1.025</f>
        <v>0.93377499999999991</v>
      </c>
    </row>
    <row r="134" spans="1:37" x14ac:dyDescent="0.25">
      <c r="A134" t="s">
        <v>22</v>
      </c>
      <c r="B134" t="s">
        <v>199</v>
      </c>
      <c r="C134" t="s">
        <v>200</v>
      </c>
      <c r="D134">
        <v>9815</v>
      </c>
      <c r="E134" t="s">
        <v>201</v>
      </c>
      <c r="F134" t="s">
        <v>24</v>
      </c>
      <c r="G134">
        <v>68</v>
      </c>
      <c r="H134" t="s">
        <v>25</v>
      </c>
      <c r="I134" t="s">
        <v>36</v>
      </c>
      <c r="J134" t="s">
        <v>537</v>
      </c>
      <c r="L134">
        <v>0</v>
      </c>
      <c r="M134">
        <v>1962</v>
      </c>
      <c r="O134" t="s">
        <v>538</v>
      </c>
      <c r="R134">
        <v>46.873170999999999</v>
      </c>
      <c r="S134">
        <v>13.311824</v>
      </c>
      <c r="T134" t="s">
        <v>704</v>
      </c>
      <c r="U134">
        <v>1772.5</v>
      </c>
      <c r="V134">
        <v>4.5</v>
      </c>
      <c r="W134">
        <v>54.8</v>
      </c>
      <c r="X134" s="6">
        <f>125/$U134*$G134</f>
        <v>4.795486600846262</v>
      </c>
      <c r="Y134" s="7">
        <v>17200000</v>
      </c>
      <c r="Z134" s="11">
        <f>Y134/V134/60/60*G134/1000</f>
        <v>72.197530864197532</v>
      </c>
      <c r="AB134">
        <v>0</v>
      </c>
      <c r="AD134">
        <f>ROUND(0.95*IF($T134="Pelton",0.875,IF($T134="Kaplan",0.9,0.925))*IF($I134="Pumped Storage",0.875,1),2)</f>
        <v>0.83</v>
      </c>
      <c r="AE134">
        <f>ROUND(SQRT($AD134),3)*0.975</f>
        <v>0.88822500000000004</v>
      </c>
      <c r="AF134">
        <f>ROUND(SQRT($AD134),3)*1.025</f>
        <v>0.93377499999999991</v>
      </c>
    </row>
    <row r="135" spans="1:37" x14ac:dyDescent="0.25">
      <c r="A135" s="4" t="s">
        <v>22</v>
      </c>
      <c r="B135" s="4" t="s">
        <v>172</v>
      </c>
      <c r="C135" t="s">
        <v>173</v>
      </c>
      <c r="D135" t="s">
        <v>174</v>
      </c>
      <c r="E135" t="s">
        <v>175</v>
      </c>
      <c r="F135" t="s">
        <v>130</v>
      </c>
      <c r="G135">
        <v>84</v>
      </c>
      <c r="H135" t="s">
        <v>25</v>
      </c>
      <c r="I135" t="s">
        <v>60</v>
      </c>
      <c r="L135">
        <v>0</v>
      </c>
      <c r="M135">
        <v>1944</v>
      </c>
      <c r="N135" t="s">
        <v>687</v>
      </c>
      <c r="O135" t="s">
        <v>27</v>
      </c>
      <c r="R135">
        <v>48.319842000000001</v>
      </c>
      <c r="S135">
        <v>13.318739000000001</v>
      </c>
      <c r="T135" t="s">
        <v>700</v>
      </c>
      <c r="U135">
        <v>10.5</v>
      </c>
      <c r="V135" s="4">
        <v>1080</v>
      </c>
      <c r="W135">
        <v>485</v>
      </c>
      <c r="X135" s="6">
        <f>125/$U135*$G135</f>
        <v>1000</v>
      </c>
    </row>
    <row r="136" spans="1:37" x14ac:dyDescent="0.25">
      <c r="A136" t="s">
        <v>22</v>
      </c>
      <c r="B136" t="s">
        <v>505</v>
      </c>
      <c r="C136" t="s">
        <v>23</v>
      </c>
      <c r="D136">
        <v>9815</v>
      </c>
      <c r="E136" t="s">
        <v>506</v>
      </c>
      <c r="F136" t="s">
        <v>24</v>
      </c>
      <c r="G136">
        <v>730</v>
      </c>
      <c r="H136" t="s">
        <v>25</v>
      </c>
      <c r="I136" t="s">
        <v>26</v>
      </c>
      <c r="J136" t="s">
        <v>507</v>
      </c>
      <c r="L136">
        <v>0</v>
      </c>
      <c r="M136">
        <v>1979</v>
      </c>
      <c r="O136" t="s">
        <v>27</v>
      </c>
      <c r="Q136" t="s">
        <v>28</v>
      </c>
      <c r="R136">
        <v>46.870564000000002</v>
      </c>
      <c r="S136">
        <v>13.329601</v>
      </c>
      <c r="T136" t="s">
        <v>704</v>
      </c>
      <c r="U136">
        <v>1106</v>
      </c>
      <c r="V136">
        <v>80</v>
      </c>
      <c r="W136">
        <v>618.4</v>
      </c>
      <c r="X136" s="6">
        <f>125/$U136*$G136</f>
        <v>82.504520795660042</v>
      </c>
      <c r="Y136" s="7">
        <v>6200000</v>
      </c>
      <c r="Z136" s="11">
        <f>Y136/V136/60/60*G136/1000</f>
        <v>15.715277777777779</v>
      </c>
      <c r="AB136">
        <v>46</v>
      </c>
      <c r="AD136" s="14">
        <f>ROUND(0.95*IF($T136="Pelton",0.875,IF($T136="Kaplan",0.9,0.925))*IF($I136="Pumped Storage",0.875,1),2)</f>
        <v>0.73</v>
      </c>
      <c r="AE136">
        <f>ROUND(SQRT($AD136),3)*0.975</f>
        <v>0.83265</v>
      </c>
      <c r="AF136">
        <f>ROUND(SQRT($AD136),3)*1.025</f>
        <v>0.87534999999999985</v>
      </c>
      <c r="AG136" s="13"/>
    </row>
    <row r="137" spans="1:37" x14ac:dyDescent="0.25">
      <c r="A137" t="s">
        <v>22</v>
      </c>
      <c r="B137" t="s">
        <v>714</v>
      </c>
      <c r="C137" t="s">
        <v>44</v>
      </c>
      <c r="D137">
        <v>9815</v>
      </c>
      <c r="E137" t="s">
        <v>45</v>
      </c>
      <c r="F137" t="s">
        <v>24</v>
      </c>
      <c r="G137">
        <v>430</v>
      </c>
      <c r="H137" t="s">
        <v>25</v>
      </c>
      <c r="I137" t="s">
        <v>26</v>
      </c>
      <c r="J137" t="s">
        <v>46</v>
      </c>
      <c r="L137">
        <v>0</v>
      </c>
      <c r="M137">
        <v>2016</v>
      </c>
      <c r="O137" t="s">
        <v>47</v>
      </c>
      <c r="P137" t="s">
        <v>715</v>
      </c>
      <c r="R137">
        <v>46.903284999999997</v>
      </c>
      <c r="S137">
        <v>13.333546999999999</v>
      </c>
      <c r="T137" t="s">
        <v>703</v>
      </c>
      <c r="U137">
        <v>595</v>
      </c>
      <c r="V137">
        <v>80</v>
      </c>
      <c r="W137" s="4">
        <v>970</v>
      </c>
      <c r="X137" s="6">
        <f>125/$U137*$G137</f>
        <v>90.336134453781511</v>
      </c>
      <c r="Y137" s="8">
        <v>7900000</v>
      </c>
      <c r="Z137" s="11">
        <f>Y137/V137/60/60*G137/1000</f>
        <v>11.795138888888889</v>
      </c>
      <c r="AB137" s="4">
        <v>430</v>
      </c>
      <c r="AC137">
        <v>70</v>
      </c>
      <c r="AD137">
        <f>ROUND(0.95*IF($T137="Pelton",0.875,IF($T137="Kaplan",0.9,0.925))*IF($I137="Pumped Storage",0.875,1),2)</f>
        <v>0.77</v>
      </c>
      <c r="AE137">
        <f>ROUND(SQRT($AD137),3)*0.975</f>
        <v>0.85507500000000003</v>
      </c>
      <c r="AF137">
        <f>ROUND(SQRT($AD137),3)*1.025</f>
        <v>0.89892499999999997</v>
      </c>
    </row>
    <row r="138" spans="1:37" x14ac:dyDescent="0.25">
      <c r="A138" t="s">
        <v>22</v>
      </c>
      <c r="B138" t="s">
        <v>132</v>
      </c>
      <c r="C138" t="s">
        <v>527</v>
      </c>
      <c r="D138">
        <v>9854</v>
      </c>
      <c r="E138" t="s">
        <v>133</v>
      </c>
      <c r="F138" t="s">
        <v>24</v>
      </c>
      <c r="G138">
        <v>120</v>
      </c>
      <c r="H138" t="s">
        <v>25</v>
      </c>
      <c r="I138" t="s">
        <v>26</v>
      </c>
      <c r="J138" t="s">
        <v>528</v>
      </c>
      <c r="L138">
        <v>0</v>
      </c>
      <c r="M138">
        <v>1979</v>
      </c>
      <c r="O138" t="s">
        <v>27</v>
      </c>
      <c r="Q138" t="s">
        <v>134</v>
      </c>
      <c r="R138">
        <v>47.065944000000002</v>
      </c>
      <c r="S138">
        <v>13.353102</v>
      </c>
      <c r="T138" t="s">
        <v>703</v>
      </c>
      <c r="U138">
        <v>198</v>
      </c>
      <c r="V138">
        <v>70</v>
      </c>
      <c r="W138">
        <v>37.4</v>
      </c>
      <c r="X138" s="6">
        <f>125/$U138*$G138</f>
        <v>75.757575757575751</v>
      </c>
      <c r="Y138" s="7">
        <v>200000000</v>
      </c>
      <c r="Z138" s="11">
        <f>Y138/V138/60/60*G138/1000</f>
        <v>95.238095238095241</v>
      </c>
      <c r="AA138">
        <v>588.29999999999995</v>
      </c>
      <c r="AB138">
        <v>116</v>
      </c>
      <c r="AD138">
        <f>ROUND(0.95*IF($T138="Pelton",0.875,IF($T138="Kaplan",0.9,0.925))*IF($I138="Pumped Storage",0.875,1),2)</f>
        <v>0.77</v>
      </c>
      <c r="AE138">
        <f>ROUND(SQRT($AD138),3)*0.975</f>
        <v>0.85507500000000003</v>
      </c>
      <c r="AF138">
        <f>ROUND(SQRT($AD138),3)*1.025</f>
        <v>0.89892499999999997</v>
      </c>
    </row>
    <row r="139" spans="1:37" x14ac:dyDescent="0.25">
      <c r="A139" t="s">
        <v>22</v>
      </c>
      <c r="B139" t="s">
        <v>248</v>
      </c>
      <c r="C139" t="s">
        <v>544</v>
      </c>
      <c r="D139">
        <v>9813</v>
      </c>
      <c r="E139" t="s">
        <v>545</v>
      </c>
      <c r="F139" t="s">
        <v>24</v>
      </c>
      <c r="G139">
        <v>41</v>
      </c>
      <c r="H139" t="s">
        <v>25</v>
      </c>
      <c r="I139" t="s">
        <v>60</v>
      </c>
      <c r="J139" t="s">
        <v>546</v>
      </c>
      <c r="L139">
        <v>0</v>
      </c>
      <c r="M139">
        <v>1979</v>
      </c>
      <c r="O139" t="s">
        <v>547</v>
      </c>
      <c r="R139">
        <v>46.833199999999998</v>
      </c>
      <c r="S139">
        <v>13.360071</v>
      </c>
      <c r="T139" t="s">
        <v>700</v>
      </c>
      <c r="U139">
        <v>45</v>
      </c>
      <c r="V139">
        <v>110</v>
      </c>
      <c r="W139">
        <v>117.9</v>
      </c>
      <c r="X139" s="6">
        <f>125/$U139*$G139</f>
        <v>113.88888888888889</v>
      </c>
    </row>
    <row r="140" spans="1:37" x14ac:dyDescent="0.25">
      <c r="A140" t="s">
        <v>22</v>
      </c>
      <c r="B140" t="s">
        <v>164</v>
      </c>
      <c r="C140" t="s">
        <v>165</v>
      </c>
      <c r="D140" t="s">
        <v>166</v>
      </c>
      <c r="E140" t="s">
        <v>167</v>
      </c>
      <c r="F140" t="s">
        <v>130</v>
      </c>
      <c r="G140">
        <v>86</v>
      </c>
      <c r="H140" t="s">
        <v>25</v>
      </c>
      <c r="I140" t="s">
        <v>60</v>
      </c>
      <c r="L140">
        <v>0</v>
      </c>
      <c r="M140">
        <v>1966</v>
      </c>
      <c r="N140" t="s">
        <v>131</v>
      </c>
      <c r="O140" t="s">
        <v>27</v>
      </c>
      <c r="R140">
        <v>48.553671999999999</v>
      </c>
      <c r="S140">
        <v>13.435228</v>
      </c>
      <c r="T140" t="s">
        <v>700</v>
      </c>
      <c r="U140">
        <v>10</v>
      </c>
      <c r="V140">
        <v>1116</v>
      </c>
      <c r="W140" s="4">
        <v>504.7</v>
      </c>
      <c r="X140" s="6">
        <f>125/$U140*$G140</f>
        <v>1075</v>
      </c>
    </row>
    <row r="141" spans="1:37" x14ac:dyDescent="0.25">
      <c r="A141" t="s">
        <v>22</v>
      </c>
      <c r="B141" t="s">
        <v>154</v>
      </c>
      <c r="C141" t="s">
        <v>531</v>
      </c>
      <c r="D141">
        <v>4782</v>
      </c>
      <c r="E141" t="s">
        <v>532</v>
      </c>
      <c r="F141" t="s">
        <v>130</v>
      </c>
      <c r="G141">
        <v>96</v>
      </c>
      <c r="H141" t="s">
        <v>25</v>
      </c>
      <c r="I141" t="s">
        <v>60</v>
      </c>
      <c r="L141">
        <v>0</v>
      </c>
      <c r="M141">
        <v>1966</v>
      </c>
      <c r="N141" t="s">
        <v>131</v>
      </c>
      <c r="O141" t="s">
        <v>27</v>
      </c>
      <c r="R141">
        <v>48.435485999999997</v>
      </c>
      <c r="S141">
        <v>13.440386999999999</v>
      </c>
      <c r="T141" s="4" t="s">
        <v>700</v>
      </c>
      <c r="U141">
        <v>11.2</v>
      </c>
      <c r="V141">
        <v>1152</v>
      </c>
      <c r="W141">
        <v>541.79999999999995</v>
      </c>
      <c r="X141" s="6">
        <f>125/$U141*$G141</f>
        <v>1071.4285714285716</v>
      </c>
    </row>
    <row r="142" spans="1:37" x14ac:dyDescent="0.25">
      <c r="A142" t="s">
        <v>145</v>
      </c>
      <c r="B142" t="s">
        <v>447</v>
      </c>
      <c r="C142" t="s">
        <v>448</v>
      </c>
      <c r="D142">
        <v>5584</v>
      </c>
      <c r="E142" t="s">
        <v>449</v>
      </c>
      <c r="F142" t="s">
        <v>24</v>
      </c>
      <c r="G142">
        <v>10</v>
      </c>
      <c r="H142" t="s">
        <v>25</v>
      </c>
      <c r="I142" t="s">
        <v>36</v>
      </c>
      <c r="L142">
        <v>0</v>
      </c>
      <c r="M142">
        <v>1984</v>
      </c>
      <c r="O142" t="s">
        <v>148</v>
      </c>
      <c r="R142">
        <v>47.164732999999998</v>
      </c>
      <c r="S142">
        <v>13.47062</v>
      </c>
      <c r="T142" s="4" t="s">
        <v>703</v>
      </c>
      <c r="U142">
        <v>253.9</v>
      </c>
      <c r="V142">
        <v>4.9779999999999998</v>
      </c>
      <c r="W142">
        <v>33</v>
      </c>
      <c r="X142" s="6">
        <f>125/$U142*$G142</f>
        <v>4.9231981094919259</v>
      </c>
      <c r="Y142" s="7">
        <v>2475000</v>
      </c>
      <c r="Z142" s="11">
        <f>Y142/V142/60/60*G142/1000</f>
        <v>1.3810767376456408</v>
      </c>
      <c r="AB142">
        <v>0</v>
      </c>
      <c r="AD142">
        <f>ROUND(0.95*IF($T142="Pelton",0.875,IF($T142="Kaplan",0.9,0.925))*IF($I142="Pumped Storage",0.875,1),2)</f>
        <v>0.88</v>
      </c>
      <c r="AE142">
        <f>ROUND(SQRT($AD142),3)*0.975</f>
        <v>0.91454999999999997</v>
      </c>
      <c r="AF142">
        <f>ROUND(SQRT($AD142),3)*1.025</f>
        <v>0.9614499999999998</v>
      </c>
    </row>
    <row r="143" spans="1:37" x14ac:dyDescent="0.25">
      <c r="A143" t="s">
        <v>145</v>
      </c>
      <c r="B143" t="s">
        <v>146</v>
      </c>
      <c r="C143" t="s">
        <v>147</v>
      </c>
      <c r="D143">
        <v>5583</v>
      </c>
      <c r="E143" t="s">
        <v>146</v>
      </c>
      <c r="F143" t="s">
        <v>24</v>
      </c>
      <c r="G143">
        <v>104</v>
      </c>
      <c r="H143" t="s">
        <v>25</v>
      </c>
      <c r="I143" t="s">
        <v>26</v>
      </c>
      <c r="L143">
        <v>0</v>
      </c>
      <c r="M143">
        <v>1991</v>
      </c>
      <c r="O143" t="s">
        <v>148</v>
      </c>
      <c r="R143">
        <v>47.102867000000003</v>
      </c>
      <c r="S143">
        <v>13.477964</v>
      </c>
      <c r="T143" t="s">
        <v>703</v>
      </c>
      <c r="U143">
        <v>601.35</v>
      </c>
      <c r="V143">
        <v>23.5</v>
      </c>
      <c r="W143">
        <v>15</v>
      </c>
      <c r="X143" s="6">
        <f>125/$U143*$G143</f>
        <v>21.618026107923836</v>
      </c>
      <c r="Y143" s="7">
        <v>14900000</v>
      </c>
      <c r="Z143" s="11">
        <f>Y143/V143/60/60*G143/1000</f>
        <v>18.316784869976356</v>
      </c>
      <c r="AB143">
        <v>65</v>
      </c>
      <c r="AD143">
        <f>ROUND(0.95*IF($T143="Pelton",0.875,IF($T143="Kaplan",0.9,0.925))*IF($I143="Pumped Storage",0.875,1),2)</f>
        <v>0.77</v>
      </c>
      <c r="AE143">
        <f>ROUND(SQRT($AD143),3)*0.975</f>
        <v>0.85507500000000003</v>
      </c>
      <c r="AF143">
        <f>ROUND(SQRT($AD143),3)*1.025</f>
        <v>0.89892499999999997</v>
      </c>
    </row>
    <row r="144" spans="1:37" x14ac:dyDescent="0.25">
      <c r="A144" t="s">
        <v>233</v>
      </c>
      <c r="B144" t="s">
        <v>490</v>
      </c>
      <c r="C144" t="s">
        <v>490</v>
      </c>
      <c r="D144">
        <v>4825</v>
      </c>
      <c r="E144" t="s">
        <v>660</v>
      </c>
      <c r="F144" t="s">
        <v>24</v>
      </c>
      <c r="G144">
        <v>6.5</v>
      </c>
      <c r="H144" t="s">
        <v>25</v>
      </c>
      <c r="I144" t="s">
        <v>36</v>
      </c>
      <c r="L144">
        <v>0</v>
      </c>
      <c r="M144">
        <v>1913</v>
      </c>
      <c r="O144" t="s">
        <v>236</v>
      </c>
      <c r="R144">
        <v>47.544826</v>
      </c>
      <c r="S144">
        <v>13.506862</v>
      </c>
      <c r="T144" t="s">
        <v>703</v>
      </c>
      <c r="U144">
        <v>140</v>
      </c>
      <c r="V144">
        <v>5.5</v>
      </c>
      <c r="W144">
        <v>15.8</v>
      </c>
      <c r="X144" s="6">
        <f>125/$U144*$G144</f>
        <v>5.8035714285714288</v>
      </c>
      <c r="Z144" s="11"/>
      <c r="AB144">
        <v>0</v>
      </c>
      <c r="AD144">
        <f>ROUND(0.95*IF($T144="Pelton",0.875,IF($T144="Kaplan",0.9,0.925))*IF($I144="Pumped Storage",0.875,1),2)</f>
        <v>0.88</v>
      </c>
      <c r="AE144">
        <f>ROUND(SQRT($AD144),3)*0.975</f>
        <v>0.91454999999999997</v>
      </c>
      <c r="AF144">
        <f>ROUND(SQRT($AD144),3)*1.025</f>
        <v>0.9614499999999998</v>
      </c>
    </row>
    <row r="145" spans="1:37" x14ac:dyDescent="0.25">
      <c r="A145" s="4" t="s">
        <v>22</v>
      </c>
      <c r="B145" s="4" t="s">
        <v>494</v>
      </c>
      <c r="C145" t="s">
        <v>662</v>
      </c>
      <c r="D145">
        <v>8974</v>
      </c>
      <c r="E145" t="s">
        <v>663</v>
      </c>
      <c r="F145" t="s">
        <v>24</v>
      </c>
      <c r="G145">
        <v>6.1</v>
      </c>
      <c r="H145" t="s">
        <v>25</v>
      </c>
      <c r="I145" t="s">
        <v>60</v>
      </c>
      <c r="L145">
        <v>0</v>
      </c>
      <c r="M145">
        <v>1985</v>
      </c>
      <c r="N145" t="s">
        <v>681</v>
      </c>
      <c r="O145" t="s">
        <v>27</v>
      </c>
      <c r="R145">
        <v>47.399873999999997</v>
      </c>
      <c r="S145">
        <v>13.581941</v>
      </c>
      <c r="T145" t="s">
        <v>703</v>
      </c>
      <c r="U145" s="4">
        <v>140.80000000000001</v>
      </c>
      <c r="V145" s="4">
        <v>5</v>
      </c>
      <c r="W145">
        <v>23.5</v>
      </c>
      <c r="X145" s="6">
        <f>125/$U145*$G145</f>
        <v>5.4154829545454541</v>
      </c>
    </row>
    <row r="146" spans="1:37" x14ac:dyDescent="0.25">
      <c r="A146" t="s">
        <v>121</v>
      </c>
      <c r="B146" t="s">
        <v>461</v>
      </c>
      <c r="C146" t="s">
        <v>462</v>
      </c>
      <c r="D146">
        <v>9701</v>
      </c>
      <c r="E146" t="s">
        <v>463</v>
      </c>
      <c r="F146" t="s">
        <v>24</v>
      </c>
      <c r="G146">
        <v>9.1</v>
      </c>
      <c r="H146" t="s">
        <v>25</v>
      </c>
      <c r="I146" t="s">
        <v>36</v>
      </c>
      <c r="L146">
        <v>0</v>
      </c>
      <c r="M146">
        <v>1953</v>
      </c>
      <c r="O146" t="s">
        <v>464</v>
      </c>
      <c r="P146" t="s">
        <v>722</v>
      </c>
      <c r="R146">
        <v>46.739429999999999</v>
      </c>
      <c r="S146">
        <v>13.59362</v>
      </c>
      <c r="V146">
        <v>16</v>
      </c>
      <c r="W146">
        <v>31</v>
      </c>
      <c r="X146" s="6" t="e">
        <f>125/$U146*$G146</f>
        <v>#DIV/0!</v>
      </c>
      <c r="Y146" s="7">
        <v>900000</v>
      </c>
      <c r="Z146" s="11">
        <f>Y146/V146/60/60*G146/1000</f>
        <v>0.14218749999999999</v>
      </c>
      <c r="AB146">
        <v>0</v>
      </c>
      <c r="AD146">
        <f>ROUND(0.95*IF($T146="Pelton",0.875,IF($T146="Kaplan",0.9,0.925))*IF($I146="Pumped Storage",0.875,1),2)</f>
        <v>0.88</v>
      </c>
      <c r="AE146">
        <f>ROUND(SQRT($AD146),3)*0.975</f>
        <v>0.91454999999999997</v>
      </c>
      <c r="AF146">
        <f>ROUND(SQRT($AD146),3)*1.025</f>
        <v>0.9614499999999998</v>
      </c>
    </row>
    <row r="147" spans="1:37" x14ac:dyDescent="0.25">
      <c r="A147" t="s">
        <v>765</v>
      </c>
      <c r="B147" t="s">
        <v>803</v>
      </c>
      <c r="C147" t="s">
        <v>804</v>
      </c>
      <c r="D147" t="s">
        <v>805</v>
      </c>
      <c r="E147" t="s">
        <v>803</v>
      </c>
      <c r="F147" t="s">
        <v>743</v>
      </c>
      <c r="G147">
        <v>120</v>
      </c>
      <c r="H147" t="s">
        <v>25</v>
      </c>
      <c r="I147" t="s">
        <v>26</v>
      </c>
      <c r="M147">
        <v>1960</v>
      </c>
      <c r="O147" t="s">
        <v>841</v>
      </c>
      <c r="P147" t="s">
        <v>859</v>
      </c>
      <c r="R147">
        <v>51.091534279999998</v>
      </c>
      <c r="S147">
        <v>13.609828950000001</v>
      </c>
      <c r="T147" t="s">
        <v>703</v>
      </c>
      <c r="U147">
        <v>143</v>
      </c>
      <c r="V147">
        <v>108</v>
      </c>
      <c r="X147">
        <v>104.89510489510491</v>
      </c>
      <c r="Y147" s="7">
        <v>1981000</v>
      </c>
      <c r="Z147" s="7">
        <v>0.61141975308641971</v>
      </c>
      <c r="AA147">
        <v>0.59099999999999997</v>
      </c>
      <c r="AB147">
        <v>120</v>
      </c>
      <c r="AC147">
        <v>66</v>
      </c>
      <c r="AD147">
        <f>ROUND(0.95*IF($T147="Pelton",0.875,IF($T147="Kaplan",0.9,0.925))*IF($I147="Pumped Storage",0.875,1),2)</f>
        <v>0.77</v>
      </c>
      <c r="AE147">
        <f>ROUND(SQRT($AD147),3)*0.975</f>
        <v>0.85507500000000003</v>
      </c>
      <c r="AF147">
        <f>ROUND(SQRT($AD147),3)*1.025</f>
        <v>0.89892499999999997</v>
      </c>
    </row>
    <row r="148" spans="1:37" x14ac:dyDescent="0.25">
      <c r="A148" t="s">
        <v>233</v>
      </c>
      <c r="B148" t="s">
        <v>425</v>
      </c>
      <c r="C148" t="s">
        <v>610</v>
      </c>
      <c r="D148">
        <v>4822</v>
      </c>
      <c r="E148" t="s">
        <v>611</v>
      </c>
      <c r="F148" t="s">
        <v>24</v>
      </c>
      <c r="G148">
        <v>13.3</v>
      </c>
      <c r="H148" t="s">
        <v>25</v>
      </c>
      <c r="I148" t="s">
        <v>36</v>
      </c>
      <c r="L148">
        <v>0</v>
      </c>
      <c r="M148">
        <v>1910</v>
      </c>
      <c r="O148" t="s">
        <v>236</v>
      </c>
      <c r="P148" t="s">
        <v>721</v>
      </c>
      <c r="R148">
        <v>47.608223000000002</v>
      </c>
      <c r="S148">
        <v>13.632529999999999</v>
      </c>
      <c r="T148" t="s">
        <v>703</v>
      </c>
      <c r="U148">
        <v>195</v>
      </c>
      <c r="V148">
        <v>7.8</v>
      </c>
      <c r="W148">
        <v>50.3</v>
      </c>
      <c r="X148" s="6">
        <f>125/$U148*$G148</f>
        <v>8.5256410256410273</v>
      </c>
      <c r="Y148" s="7">
        <v>8500000</v>
      </c>
      <c r="Z148" s="11">
        <f>Y148/V148/60/60*G148/1000</f>
        <v>4.0259971509971511</v>
      </c>
      <c r="AB148">
        <v>0</v>
      </c>
      <c r="AD148">
        <f>ROUND(0.95*IF($T148="Pelton",0.875,IF($T148="Kaplan",0.9,0.925))*IF($I148="Pumped Storage",0.875,1),2)</f>
        <v>0.88</v>
      </c>
      <c r="AE148">
        <f>ROUND(SQRT($AD148),3)*0.975</f>
        <v>0.91454999999999997</v>
      </c>
      <c r="AF148">
        <f>ROUND(SQRT($AD148),3)*1.025</f>
        <v>0.9614499999999998</v>
      </c>
    </row>
    <row r="149" spans="1:37" x14ac:dyDescent="0.25">
      <c r="A149" t="s">
        <v>22</v>
      </c>
      <c r="B149" t="s">
        <v>323</v>
      </c>
      <c r="C149" t="s">
        <v>568</v>
      </c>
      <c r="D149">
        <v>9711</v>
      </c>
      <c r="E149" t="s">
        <v>323</v>
      </c>
      <c r="F149" t="s">
        <v>24</v>
      </c>
      <c r="G149">
        <v>24</v>
      </c>
      <c r="H149" t="s">
        <v>25</v>
      </c>
      <c r="I149" t="s">
        <v>60</v>
      </c>
      <c r="L149">
        <v>0</v>
      </c>
      <c r="M149">
        <v>1988</v>
      </c>
      <c r="O149" t="s">
        <v>27</v>
      </c>
      <c r="R149">
        <v>46.720841</v>
      </c>
      <c r="S149">
        <v>13.645572</v>
      </c>
      <c r="T149" t="s">
        <v>700</v>
      </c>
      <c r="U149">
        <v>9.1999999999999993</v>
      </c>
      <c r="V149">
        <v>320</v>
      </c>
      <c r="W149">
        <v>89.3</v>
      </c>
      <c r="X149" s="6">
        <f>125/$U149*$G149</f>
        <v>326.08695652173913</v>
      </c>
    </row>
    <row r="150" spans="1:37" x14ac:dyDescent="0.25">
      <c r="A150" t="s">
        <v>22</v>
      </c>
      <c r="B150" t="s">
        <v>126</v>
      </c>
      <c r="C150" t="s">
        <v>127</v>
      </c>
      <c r="D150" t="s">
        <v>128</v>
      </c>
      <c r="E150" t="s">
        <v>129</v>
      </c>
      <c r="F150" t="s">
        <v>130</v>
      </c>
      <c r="G150">
        <v>132</v>
      </c>
      <c r="H150" t="s">
        <v>25</v>
      </c>
      <c r="I150" t="s">
        <v>60</v>
      </c>
      <c r="L150">
        <v>0</v>
      </c>
      <c r="M150">
        <v>1956</v>
      </c>
      <c r="N150" t="s">
        <v>131</v>
      </c>
      <c r="O150" t="s">
        <v>27</v>
      </c>
      <c r="R150">
        <v>48.518811999999997</v>
      </c>
      <c r="S150">
        <v>13.707428</v>
      </c>
      <c r="T150" t="s">
        <v>700</v>
      </c>
      <c r="U150">
        <v>10</v>
      </c>
      <c r="V150">
        <v>2050</v>
      </c>
      <c r="W150" s="4">
        <v>850</v>
      </c>
      <c r="X150" s="6">
        <f>125/$U150*$G150</f>
        <v>1650</v>
      </c>
    </row>
    <row r="151" spans="1:37" x14ac:dyDescent="0.25">
      <c r="A151" t="s">
        <v>22</v>
      </c>
      <c r="B151" t="s">
        <v>312</v>
      </c>
      <c r="C151" t="s">
        <v>562</v>
      </c>
      <c r="D151">
        <v>9721</v>
      </c>
      <c r="E151" t="s">
        <v>564</v>
      </c>
      <c r="F151" t="s">
        <v>24</v>
      </c>
      <c r="G151">
        <v>25</v>
      </c>
      <c r="H151" t="s">
        <v>25</v>
      </c>
      <c r="I151" t="s">
        <v>60</v>
      </c>
      <c r="L151">
        <v>0</v>
      </c>
      <c r="M151">
        <v>1985</v>
      </c>
      <c r="O151" t="s">
        <v>27</v>
      </c>
      <c r="R151">
        <v>46.669879000000002</v>
      </c>
      <c r="S151">
        <v>13.725482</v>
      </c>
      <c r="T151" t="s">
        <v>700</v>
      </c>
      <c r="U151">
        <v>9.3000000000000007</v>
      </c>
      <c r="V151">
        <v>320</v>
      </c>
      <c r="W151">
        <v>96</v>
      </c>
      <c r="X151" s="6">
        <f>125/$U151*$G151</f>
        <v>336.02150537634407</v>
      </c>
    </row>
    <row r="152" spans="1:37" x14ac:dyDescent="0.25">
      <c r="A152" t="s">
        <v>233</v>
      </c>
      <c r="B152" t="s">
        <v>349</v>
      </c>
      <c r="C152" t="s">
        <v>579</v>
      </c>
      <c r="D152">
        <v>4085</v>
      </c>
      <c r="E152" t="s">
        <v>580</v>
      </c>
      <c r="F152" t="s">
        <v>24</v>
      </c>
      <c r="G152">
        <v>19</v>
      </c>
      <c r="H152" t="s">
        <v>25</v>
      </c>
      <c r="I152" t="s">
        <v>26</v>
      </c>
      <c r="L152">
        <v>0</v>
      </c>
      <c r="M152">
        <v>1954</v>
      </c>
      <c r="O152" t="s">
        <v>581</v>
      </c>
      <c r="R152">
        <v>48.490312000000003</v>
      </c>
      <c r="S152">
        <v>13.75052</v>
      </c>
      <c r="T152" t="s">
        <v>706</v>
      </c>
      <c r="U152">
        <v>202</v>
      </c>
      <c r="V152">
        <v>12</v>
      </c>
      <c r="W152">
        <v>47.7</v>
      </c>
      <c r="X152" s="6">
        <f>125/$U152*$G152</f>
        <v>11.757425742574258</v>
      </c>
      <c r="Y152" s="7">
        <v>2350000</v>
      </c>
      <c r="Z152" s="11">
        <f>Y152/V152/60/60*G152/1000</f>
        <v>1.0335648148148149</v>
      </c>
      <c r="AA152">
        <v>1.6</v>
      </c>
      <c r="AB152">
        <v>13.5</v>
      </c>
      <c r="AD152">
        <f>ROUND(0.95*IF($T152="Pelton",0.875,IF($T152="Kaplan",0.9,0.925))*IF($I152="Pumped Storage",0.875,1),2)</f>
        <v>0.77</v>
      </c>
      <c r="AE152">
        <f>ROUND(SQRT($AD152),3)*0.975</f>
        <v>0.85507500000000003</v>
      </c>
      <c r="AF152">
        <f>ROUND(SQRT($AD152),3)*1.025</f>
        <v>0.89892499999999997</v>
      </c>
    </row>
    <row r="153" spans="1:37" x14ac:dyDescent="0.25">
      <c r="A153" t="s">
        <v>121</v>
      </c>
      <c r="B153" t="s">
        <v>412</v>
      </c>
      <c r="C153" t="s">
        <v>607</v>
      </c>
      <c r="D153">
        <v>9587</v>
      </c>
      <c r="E153" t="s">
        <v>608</v>
      </c>
      <c r="F153" t="s">
        <v>24</v>
      </c>
      <c r="G153">
        <v>14</v>
      </c>
      <c r="H153" t="s">
        <v>25</v>
      </c>
      <c r="I153" t="s">
        <v>60</v>
      </c>
      <c r="L153">
        <v>0</v>
      </c>
      <c r="M153">
        <v>1962</v>
      </c>
      <c r="O153" t="s">
        <v>413</v>
      </c>
      <c r="R153">
        <v>46.56006</v>
      </c>
      <c r="S153">
        <v>13.75853</v>
      </c>
      <c r="U153">
        <v>28</v>
      </c>
      <c r="V153">
        <v>45</v>
      </c>
      <c r="W153">
        <v>61</v>
      </c>
      <c r="X153" s="6">
        <f>125/$U153*$G153</f>
        <v>62.5</v>
      </c>
    </row>
    <row r="154" spans="1:37" x14ac:dyDescent="0.25">
      <c r="A154" s="4" t="s">
        <v>233</v>
      </c>
      <c r="B154" s="4" t="s">
        <v>431</v>
      </c>
      <c r="C154" t="s">
        <v>432</v>
      </c>
      <c r="D154">
        <v>4810</v>
      </c>
      <c r="E154" t="s">
        <v>431</v>
      </c>
      <c r="F154" t="s">
        <v>24</v>
      </c>
      <c r="G154">
        <v>12.2</v>
      </c>
      <c r="H154" t="s">
        <v>25</v>
      </c>
      <c r="I154" t="s">
        <v>60</v>
      </c>
      <c r="L154">
        <v>0</v>
      </c>
      <c r="M154">
        <v>1968</v>
      </c>
      <c r="O154" t="s">
        <v>236</v>
      </c>
      <c r="R154">
        <v>47.933064000000002</v>
      </c>
      <c r="S154">
        <v>13.796685999999999</v>
      </c>
      <c r="T154" t="s">
        <v>700</v>
      </c>
      <c r="U154">
        <v>9.1999999999999993</v>
      </c>
      <c r="V154" s="4">
        <v>150</v>
      </c>
      <c r="W154">
        <v>48</v>
      </c>
      <c r="X154" s="6">
        <f>125/$U154*$G154</f>
        <v>165.76086956521738</v>
      </c>
    </row>
    <row r="155" spans="1:37" x14ac:dyDescent="0.25">
      <c r="A155" s="4" t="s">
        <v>233</v>
      </c>
      <c r="B155" s="4" t="s">
        <v>455</v>
      </c>
      <c r="C155" s="4" t="s">
        <v>633</v>
      </c>
      <c r="D155" s="4">
        <v>4661</v>
      </c>
      <c r="E155" s="4" t="s">
        <v>634</v>
      </c>
      <c r="F155" s="4" t="s">
        <v>24</v>
      </c>
      <c r="G155" s="4">
        <v>9.85</v>
      </c>
      <c r="H155" s="4" t="s">
        <v>25</v>
      </c>
      <c r="I155" s="4" t="s">
        <v>60</v>
      </c>
      <c r="J155" s="4"/>
      <c r="K155" s="4"/>
      <c r="L155" s="4">
        <v>0</v>
      </c>
      <c r="M155" s="4">
        <v>1902</v>
      </c>
      <c r="N155" s="4"/>
      <c r="O155" s="4" t="s">
        <v>236</v>
      </c>
      <c r="P155" s="4"/>
      <c r="Q155" s="4"/>
      <c r="R155" s="4">
        <v>48.013978999999999</v>
      </c>
      <c r="S155" s="4">
        <v>13.797058</v>
      </c>
      <c r="T155" s="4" t="s">
        <v>700</v>
      </c>
      <c r="U155" s="4">
        <v>16.850000000000001</v>
      </c>
      <c r="V155" s="4">
        <v>66</v>
      </c>
      <c r="W155" s="4">
        <v>57.85</v>
      </c>
      <c r="X155" s="6">
        <f>125/$U155*$G155</f>
        <v>73.071216617210666</v>
      </c>
      <c r="Y155" s="9"/>
      <c r="Z155" s="9"/>
      <c r="AA155" s="4"/>
      <c r="AB155" s="4"/>
      <c r="AC155" s="4"/>
      <c r="AD155" s="4"/>
      <c r="AG155" s="4"/>
      <c r="AH155" s="4"/>
      <c r="AI155" s="4"/>
      <c r="AJ155" s="4"/>
      <c r="AK155" s="4"/>
    </row>
    <row r="156" spans="1:37" x14ac:dyDescent="0.25">
      <c r="A156" t="s">
        <v>22</v>
      </c>
      <c r="B156" t="s">
        <v>314</v>
      </c>
      <c r="C156" t="s">
        <v>565</v>
      </c>
      <c r="D156">
        <v>9500</v>
      </c>
      <c r="E156" t="s">
        <v>314</v>
      </c>
      <c r="F156" t="s">
        <v>24</v>
      </c>
      <c r="G156">
        <v>25</v>
      </c>
      <c r="H156" t="s">
        <v>25</v>
      </c>
      <c r="I156" t="s">
        <v>60</v>
      </c>
      <c r="L156">
        <v>0</v>
      </c>
      <c r="M156">
        <v>1983</v>
      </c>
      <c r="O156" t="s">
        <v>27</v>
      </c>
      <c r="R156">
        <v>46.632859000000003</v>
      </c>
      <c r="S156">
        <v>13.829236999999999</v>
      </c>
      <c r="T156" t="s">
        <v>700</v>
      </c>
      <c r="U156">
        <v>9.6999999999999993</v>
      </c>
      <c r="V156">
        <v>320</v>
      </c>
      <c r="W156">
        <v>97</v>
      </c>
      <c r="X156" s="6">
        <f>125/$U156*$G156</f>
        <v>322.16494845360825</v>
      </c>
    </row>
    <row r="157" spans="1:37" x14ac:dyDescent="0.25">
      <c r="A157" t="s">
        <v>233</v>
      </c>
      <c r="B157" t="s">
        <v>416</v>
      </c>
      <c r="C157" t="s">
        <v>417</v>
      </c>
      <c r="D157">
        <v>4650</v>
      </c>
      <c r="E157" t="s">
        <v>416</v>
      </c>
      <c r="F157" t="s">
        <v>24</v>
      </c>
      <c r="G157">
        <v>13.9</v>
      </c>
      <c r="H157" t="s">
        <v>25</v>
      </c>
      <c r="I157" t="s">
        <v>60</v>
      </c>
      <c r="L157">
        <v>0</v>
      </c>
      <c r="M157">
        <v>1999</v>
      </c>
      <c r="O157" t="s">
        <v>236</v>
      </c>
      <c r="R157">
        <v>48.089253999999997</v>
      </c>
      <c r="S157">
        <v>13.885991000000001</v>
      </c>
      <c r="T157" t="s">
        <v>700</v>
      </c>
      <c r="U157">
        <v>9.5</v>
      </c>
      <c r="V157">
        <v>185</v>
      </c>
      <c r="W157">
        <v>73</v>
      </c>
      <c r="X157" s="6">
        <f>125/$U157*$G157</f>
        <v>182.89473684210526</v>
      </c>
    </row>
    <row r="158" spans="1:37" x14ac:dyDescent="0.25">
      <c r="A158" t="s">
        <v>22</v>
      </c>
      <c r="B158" t="s">
        <v>211</v>
      </c>
      <c r="C158" t="s">
        <v>212</v>
      </c>
      <c r="D158">
        <v>8961</v>
      </c>
      <c r="E158" t="s">
        <v>213</v>
      </c>
      <c r="F158" t="s">
        <v>24</v>
      </c>
      <c r="G158">
        <v>61</v>
      </c>
      <c r="H158" t="s">
        <v>25</v>
      </c>
      <c r="I158" t="s">
        <v>36</v>
      </c>
      <c r="J158" t="s">
        <v>540</v>
      </c>
      <c r="L158">
        <v>0</v>
      </c>
      <c r="M158">
        <v>1978</v>
      </c>
      <c r="O158" t="s">
        <v>27</v>
      </c>
      <c r="R158">
        <v>47.433855000000001</v>
      </c>
      <c r="S158">
        <v>13.948905</v>
      </c>
      <c r="T158" t="s">
        <v>703</v>
      </c>
      <c r="U158">
        <v>223.4</v>
      </c>
      <c r="V158">
        <v>34</v>
      </c>
      <c r="W158">
        <v>21</v>
      </c>
      <c r="X158" s="6">
        <f>125/$U158*$G158</f>
        <v>34.131602506714415</v>
      </c>
      <c r="Y158" s="7">
        <v>1500000</v>
      </c>
      <c r="Z158" s="11">
        <f>Y158/V158/60/60*G158/1000</f>
        <v>0.74754901960784326</v>
      </c>
      <c r="AB158">
        <v>0</v>
      </c>
      <c r="AD158">
        <f>ROUND(0.95*IF($T158="Pelton",0.875,IF($T158="Kaplan",0.9,0.925))*IF($I158="Pumped Storage",0.875,1),2)</f>
        <v>0.88</v>
      </c>
      <c r="AE158">
        <f>ROUND(SQRT($AD158),3)*0.975</f>
        <v>0.91454999999999997</v>
      </c>
      <c r="AF158">
        <f>ROUND(SQRT($AD158),3)*1.025</f>
        <v>0.9614499999999998</v>
      </c>
    </row>
    <row r="159" spans="1:37" x14ac:dyDescent="0.25">
      <c r="A159" s="3" t="s">
        <v>22</v>
      </c>
      <c r="B159" s="3" t="s">
        <v>483</v>
      </c>
      <c r="C159" t="s">
        <v>647</v>
      </c>
      <c r="D159">
        <v>8954</v>
      </c>
      <c r="E159" t="s">
        <v>648</v>
      </c>
      <c r="F159" t="s">
        <v>24</v>
      </c>
      <c r="G159">
        <v>8</v>
      </c>
      <c r="H159" t="s">
        <v>25</v>
      </c>
      <c r="I159" t="s">
        <v>36</v>
      </c>
      <c r="L159">
        <v>0</v>
      </c>
      <c r="M159">
        <v>1949</v>
      </c>
      <c r="O159" t="s">
        <v>27</v>
      </c>
      <c r="R159">
        <v>47.491345000000003</v>
      </c>
      <c r="S159">
        <v>13.956943000000001</v>
      </c>
      <c r="T159" s="4" t="s">
        <v>703</v>
      </c>
      <c r="U159" s="3"/>
      <c r="V159" s="3"/>
      <c r="W159">
        <v>28.5</v>
      </c>
      <c r="X159" s="6" t="e">
        <f>125/$U159*$G159</f>
        <v>#DIV/0!</v>
      </c>
      <c r="Z159" s="11"/>
      <c r="AB159">
        <v>0</v>
      </c>
      <c r="AD159">
        <f>ROUND(0.95*IF($T159="Pelton",0.875,IF($T159="Kaplan",0.9,0.925))*IF($I159="Pumped Storage",0.875,1),2)</f>
        <v>0.88</v>
      </c>
      <c r="AE159">
        <f>ROUND(SQRT($AD159),3)*0.975</f>
        <v>0.91454999999999997</v>
      </c>
      <c r="AF159">
        <f>ROUND(SQRT($AD159),3)*1.025</f>
        <v>0.9614499999999998</v>
      </c>
    </row>
    <row r="160" spans="1:37" x14ac:dyDescent="0.25">
      <c r="A160" t="s">
        <v>233</v>
      </c>
      <c r="B160" t="s">
        <v>269</v>
      </c>
      <c r="C160" t="s">
        <v>555</v>
      </c>
      <c r="D160">
        <v>4114</v>
      </c>
      <c r="E160" t="s">
        <v>556</v>
      </c>
      <c r="F160" t="s">
        <v>24</v>
      </c>
      <c r="G160">
        <v>33.799999999999997</v>
      </c>
      <c r="H160" t="s">
        <v>25</v>
      </c>
      <c r="I160" t="s">
        <v>36</v>
      </c>
      <c r="J160" t="s">
        <v>557</v>
      </c>
      <c r="L160">
        <v>0</v>
      </c>
      <c r="M160">
        <v>1924</v>
      </c>
      <c r="O160" t="s">
        <v>558</v>
      </c>
      <c r="P160" t="s">
        <v>720</v>
      </c>
      <c r="R160">
        <v>48.433579000000002</v>
      </c>
      <c r="S160">
        <v>13.986131</v>
      </c>
      <c r="T160" t="s">
        <v>706</v>
      </c>
      <c r="U160">
        <v>176</v>
      </c>
      <c r="V160">
        <v>26</v>
      </c>
      <c r="W160">
        <v>12</v>
      </c>
      <c r="X160" s="6">
        <f>125/$U160*$G160</f>
        <v>24.005681818181817</v>
      </c>
      <c r="Y160" s="7">
        <v>736000</v>
      </c>
      <c r="Z160" s="11">
        <f>Y160/V160/60/60*G160/1000</f>
        <v>0.26577777777777778</v>
      </c>
      <c r="AA160">
        <v>0.25</v>
      </c>
      <c r="AB160">
        <v>0</v>
      </c>
      <c r="AD160">
        <f>ROUND(0.95*IF($T160="Pelton",0.875,IF($T160="Kaplan",0.9,0.925))*IF($I160="Pumped Storage",0.875,1),2)</f>
        <v>0.88</v>
      </c>
      <c r="AE160">
        <f>ROUND(SQRT($AD160),3)*0.975</f>
        <v>0.91454999999999997</v>
      </c>
      <c r="AF160">
        <f>ROUND(SQRT($AD160),3)*1.025</f>
        <v>0.9614499999999998</v>
      </c>
    </row>
    <row r="161" spans="1:37" x14ac:dyDescent="0.25">
      <c r="A161" s="4" t="s">
        <v>456</v>
      </c>
      <c r="B161" s="4" t="s">
        <v>457</v>
      </c>
      <c r="C161" s="4" t="s">
        <v>458</v>
      </c>
      <c r="D161" s="4">
        <v>4641</v>
      </c>
      <c r="E161" s="4" t="s">
        <v>459</v>
      </c>
      <c r="F161" s="4" t="s">
        <v>24</v>
      </c>
      <c r="G161" s="4">
        <v>9.6999999999999993</v>
      </c>
      <c r="H161" s="4" t="s">
        <v>25</v>
      </c>
      <c r="I161" s="4" t="s">
        <v>60</v>
      </c>
      <c r="J161" s="4"/>
      <c r="K161" s="4"/>
      <c r="L161" s="4">
        <v>0</v>
      </c>
      <c r="M161" s="4" t="s">
        <v>595</v>
      </c>
      <c r="N161" s="4"/>
      <c r="O161" s="4" t="s">
        <v>460</v>
      </c>
      <c r="P161" s="4"/>
      <c r="Q161" s="4"/>
      <c r="R161" s="4">
        <v>48.136615999999997</v>
      </c>
      <c r="S161" s="4">
        <v>13.986291</v>
      </c>
      <c r="T161" s="4"/>
      <c r="U161" s="4">
        <v>13</v>
      </c>
      <c r="V161" s="4">
        <v>8</v>
      </c>
      <c r="W161" s="4">
        <v>49.1</v>
      </c>
      <c r="X161" s="6">
        <f>125/$U161*$G161</f>
        <v>93.269230769230759</v>
      </c>
      <c r="Y161" s="9"/>
      <c r="Z161" s="9"/>
      <c r="AA161" s="4"/>
      <c r="AB161" s="4"/>
      <c r="AC161" s="4"/>
      <c r="AD161" s="4"/>
      <c r="AG161" s="4"/>
      <c r="AH161" s="4"/>
      <c r="AI161" s="4"/>
      <c r="AJ161" s="4"/>
      <c r="AK161" s="4"/>
    </row>
    <row r="162" spans="1:37" x14ac:dyDescent="0.25">
      <c r="A162" t="s">
        <v>22</v>
      </c>
      <c r="B162" t="s">
        <v>72</v>
      </c>
      <c r="C162" t="s">
        <v>73</v>
      </c>
      <c r="D162">
        <v>4082</v>
      </c>
      <c r="E162" t="s">
        <v>74</v>
      </c>
      <c r="F162" t="s">
        <v>24</v>
      </c>
      <c r="G162">
        <v>287</v>
      </c>
      <c r="H162" t="s">
        <v>25</v>
      </c>
      <c r="I162" t="s">
        <v>60</v>
      </c>
      <c r="L162">
        <v>0</v>
      </c>
      <c r="M162">
        <v>1964</v>
      </c>
      <c r="O162" t="s">
        <v>27</v>
      </c>
      <c r="Q162" t="s">
        <v>75</v>
      </c>
      <c r="R162">
        <v>48.385413999999997</v>
      </c>
      <c r="S162">
        <v>14.0227</v>
      </c>
      <c r="T162" s="4" t="s">
        <v>700</v>
      </c>
      <c r="U162">
        <v>15.3</v>
      </c>
      <c r="V162">
        <v>2480</v>
      </c>
      <c r="W162">
        <v>1686.4</v>
      </c>
      <c r="X162" s="6">
        <f>125/$U162*$G162</f>
        <v>2344.7712418300653</v>
      </c>
    </row>
    <row r="163" spans="1:37" x14ac:dyDescent="0.25">
      <c r="A163" t="s">
        <v>22</v>
      </c>
      <c r="B163" t="s">
        <v>176</v>
      </c>
      <c r="C163" t="s">
        <v>536</v>
      </c>
      <c r="D163">
        <v>9232</v>
      </c>
      <c r="E163" t="s">
        <v>177</v>
      </c>
      <c r="F163" t="s">
        <v>24</v>
      </c>
      <c r="G163">
        <v>80</v>
      </c>
      <c r="H163" t="s">
        <v>25</v>
      </c>
      <c r="I163" t="s">
        <v>60</v>
      </c>
      <c r="L163">
        <v>0</v>
      </c>
      <c r="M163">
        <v>1974</v>
      </c>
      <c r="O163" t="s">
        <v>27</v>
      </c>
      <c r="P163" t="s">
        <v>701</v>
      </c>
      <c r="R163">
        <v>46.569737000000003</v>
      </c>
      <c r="S163">
        <v>14.026774</v>
      </c>
      <c r="T163" t="s">
        <v>700</v>
      </c>
      <c r="U163">
        <v>22.7</v>
      </c>
      <c r="V163">
        <v>395</v>
      </c>
      <c r="W163">
        <v>338</v>
      </c>
      <c r="X163" s="6">
        <f>125/$U163*$G163</f>
        <v>440.52863436123351</v>
      </c>
    </row>
    <row r="164" spans="1:37" x14ac:dyDescent="0.25">
      <c r="A164" s="4" t="s">
        <v>22</v>
      </c>
      <c r="B164" s="4" t="s">
        <v>487</v>
      </c>
      <c r="C164" t="s">
        <v>562</v>
      </c>
      <c r="D164">
        <v>8861</v>
      </c>
      <c r="E164" t="s">
        <v>563</v>
      </c>
      <c r="F164" t="s">
        <v>24</v>
      </c>
      <c r="G164">
        <v>6.6</v>
      </c>
      <c r="H164" t="s">
        <v>25</v>
      </c>
      <c r="I164" t="s">
        <v>60</v>
      </c>
      <c r="L164">
        <v>0</v>
      </c>
      <c r="M164">
        <v>1982</v>
      </c>
      <c r="O164" t="s">
        <v>27</v>
      </c>
      <c r="R164">
        <v>47.107688000000003</v>
      </c>
      <c r="S164">
        <v>14.065071</v>
      </c>
      <c r="T164" t="s">
        <v>700</v>
      </c>
      <c r="U164">
        <v>16</v>
      </c>
      <c r="V164" s="4">
        <v>50</v>
      </c>
      <c r="W164">
        <v>34.4</v>
      </c>
      <c r="X164" s="6">
        <f>125/$U164*$G164</f>
        <v>51.5625</v>
      </c>
    </row>
    <row r="165" spans="1:37" s="4" customFormat="1" x14ac:dyDescent="0.25">
      <c r="A165" t="s">
        <v>22</v>
      </c>
      <c r="B165" t="s">
        <v>307</v>
      </c>
      <c r="C165" t="s">
        <v>562</v>
      </c>
      <c r="D165">
        <v>8861</v>
      </c>
      <c r="E165" t="s">
        <v>563</v>
      </c>
      <c r="F165" t="s">
        <v>24</v>
      </c>
      <c r="G165">
        <v>27</v>
      </c>
      <c r="H165" t="s">
        <v>25</v>
      </c>
      <c r="I165" t="s">
        <v>36</v>
      </c>
      <c r="J165"/>
      <c r="K165"/>
      <c r="L165">
        <v>0</v>
      </c>
      <c r="M165">
        <v>1982</v>
      </c>
      <c r="N165"/>
      <c r="O165" t="s">
        <v>27</v>
      </c>
      <c r="P165"/>
      <c r="Q165"/>
      <c r="R165">
        <v>47.107717000000001</v>
      </c>
      <c r="S165">
        <v>14.065156</v>
      </c>
      <c r="T165" t="s">
        <v>703</v>
      </c>
      <c r="U165">
        <v>35</v>
      </c>
      <c r="V165">
        <v>1</v>
      </c>
      <c r="W165">
        <v>15.2</v>
      </c>
      <c r="X165" s="6">
        <f>125/$U165*$G165</f>
        <v>96.428571428571431</v>
      </c>
      <c r="Y165" s="7">
        <v>220000</v>
      </c>
      <c r="Z165" s="11">
        <f>Y165/V165/60/60*G165/1000</f>
        <v>1.65</v>
      </c>
      <c r="AA165"/>
      <c r="AB165">
        <v>0</v>
      </c>
      <c r="AC165"/>
      <c r="AD165">
        <f>ROUND(0.95*IF($T165="Pelton",0.875,IF($T165="Kaplan",0.9,0.925))*IF($I165="Pumped Storage",0.875,1),2)</f>
        <v>0.88</v>
      </c>
      <c r="AE165">
        <f>ROUND(SQRT($AD165),3)*0.975</f>
        <v>0.91454999999999997</v>
      </c>
      <c r="AF165">
        <f>ROUND(SQRT($AD165),3)*1.025</f>
        <v>0.9614499999999998</v>
      </c>
      <c r="AG165"/>
      <c r="AH165"/>
      <c r="AI165"/>
      <c r="AJ165"/>
      <c r="AK165"/>
    </row>
    <row r="166" spans="1:37" x14ac:dyDescent="0.25">
      <c r="A166" s="3" t="s">
        <v>22</v>
      </c>
      <c r="B166" s="3" t="s">
        <v>495</v>
      </c>
      <c r="C166" t="s">
        <v>667</v>
      </c>
      <c r="D166">
        <v>8861</v>
      </c>
      <c r="E166" t="s">
        <v>668</v>
      </c>
      <c r="F166" t="s">
        <v>24</v>
      </c>
      <c r="G166">
        <v>6</v>
      </c>
      <c r="H166" t="s">
        <v>25</v>
      </c>
      <c r="I166" t="s">
        <v>60</v>
      </c>
      <c r="L166">
        <v>0</v>
      </c>
      <c r="M166">
        <v>1985</v>
      </c>
      <c r="O166" t="s">
        <v>27</v>
      </c>
      <c r="R166">
        <v>47.104452999999999</v>
      </c>
      <c r="S166">
        <v>14.087593</v>
      </c>
      <c r="T166" t="s">
        <v>700</v>
      </c>
      <c r="U166" s="3">
        <v>15</v>
      </c>
      <c r="V166">
        <v>50</v>
      </c>
      <c r="W166">
        <v>32</v>
      </c>
      <c r="X166" s="6">
        <f>125/$U166*$G166</f>
        <v>50</v>
      </c>
    </row>
    <row r="167" spans="1:37" x14ac:dyDescent="0.25">
      <c r="A167" t="s">
        <v>233</v>
      </c>
      <c r="B167" t="s">
        <v>242</v>
      </c>
      <c r="C167" t="s">
        <v>543</v>
      </c>
      <c r="D167">
        <v>4614</v>
      </c>
      <c r="E167" t="s">
        <v>242</v>
      </c>
      <c r="F167" t="s">
        <v>24</v>
      </c>
      <c r="G167">
        <v>42.8</v>
      </c>
      <c r="H167" t="s">
        <v>25</v>
      </c>
      <c r="I167" t="s">
        <v>60</v>
      </c>
      <c r="L167">
        <v>0</v>
      </c>
      <c r="M167">
        <v>1980</v>
      </c>
      <c r="O167" t="s">
        <v>236</v>
      </c>
      <c r="R167">
        <v>48.172339000000001</v>
      </c>
      <c r="S167">
        <v>14.099724</v>
      </c>
      <c r="T167" t="s">
        <v>700</v>
      </c>
      <c r="U167">
        <v>19.5</v>
      </c>
      <c r="V167">
        <v>244</v>
      </c>
      <c r="W167">
        <v>173.3</v>
      </c>
      <c r="X167" s="6">
        <f>125/$U167*$G167</f>
        <v>274.35897435897436</v>
      </c>
    </row>
    <row r="168" spans="1:37" x14ac:dyDescent="0.25">
      <c r="A168" t="s">
        <v>22</v>
      </c>
      <c r="B168" t="s">
        <v>107</v>
      </c>
      <c r="C168" t="s">
        <v>521</v>
      </c>
      <c r="D168">
        <v>4073</v>
      </c>
      <c r="E168" t="s">
        <v>108</v>
      </c>
      <c r="F168" t="s">
        <v>24</v>
      </c>
      <c r="G168">
        <v>179</v>
      </c>
      <c r="H168" t="s">
        <v>25</v>
      </c>
      <c r="I168" t="s">
        <v>60</v>
      </c>
      <c r="L168">
        <v>0</v>
      </c>
      <c r="M168">
        <v>1975</v>
      </c>
      <c r="O168" t="s">
        <v>27</v>
      </c>
      <c r="Q168" t="s">
        <v>109</v>
      </c>
      <c r="R168">
        <v>48.316499999999998</v>
      </c>
      <c r="S168">
        <v>14.151057</v>
      </c>
      <c r="T168" t="s">
        <v>700</v>
      </c>
      <c r="U168">
        <v>10.5</v>
      </c>
      <c r="V168">
        <v>2250</v>
      </c>
      <c r="W168">
        <v>1134.9000000000001</v>
      </c>
      <c r="X168" s="6">
        <f>125/$U168*$G168</f>
        <v>2130.9523809523812</v>
      </c>
    </row>
    <row r="169" spans="1:37" x14ac:dyDescent="0.25">
      <c r="A169" t="s">
        <v>190</v>
      </c>
      <c r="B169" t="s">
        <v>342</v>
      </c>
      <c r="C169" t="s">
        <v>343</v>
      </c>
      <c r="D169">
        <v>4564</v>
      </c>
      <c r="E169" t="s">
        <v>342</v>
      </c>
      <c r="F169" t="s">
        <v>24</v>
      </c>
      <c r="G169">
        <v>19.600000000000001</v>
      </c>
      <c r="H169" t="s">
        <v>25</v>
      </c>
      <c r="I169" t="s">
        <v>60</v>
      </c>
      <c r="L169">
        <v>0</v>
      </c>
      <c r="M169">
        <v>1975</v>
      </c>
      <c r="O169" t="s">
        <v>344</v>
      </c>
      <c r="R169">
        <v>47.828449999999997</v>
      </c>
      <c r="S169">
        <v>14.157216999999999</v>
      </c>
      <c r="T169" t="s">
        <v>700</v>
      </c>
      <c r="U169">
        <v>40.200000000000003</v>
      </c>
      <c r="V169">
        <v>52</v>
      </c>
      <c r="W169">
        <v>74</v>
      </c>
      <c r="X169" s="6">
        <f>125/$U169*$G169</f>
        <v>60.945273631840791</v>
      </c>
    </row>
    <row r="170" spans="1:37" x14ac:dyDescent="0.25">
      <c r="A170" t="s">
        <v>22</v>
      </c>
      <c r="B170" t="s">
        <v>160</v>
      </c>
      <c r="C170" t="s">
        <v>534</v>
      </c>
      <c r="D170">
        <v>9181</v>
      </c>
      <c r="E170" t="s">
        <v>161</v>
      </c>
      <c r="F170" t="s">
        <v>24</v>
      </c>
      <c r="G170">
        <v>88</v>
      </c>
      <c r="H170" t="s">
        <v>25</v>
      </c>
      <c r="I170" t="s">
        <v>60</v>
      </c>
      <c r="L170">
        <v>0</v>
      </c>
      <c r="M170">
        <v>1968</v>
      </c>
      <c r="O170" t="s">
        <v>27</v>
      </c>
      <c r="R170">
        <v>46.534807000000001</v>
      </c>
      <c r="S170">
        <v>14.170814</v>
      </c>
      <c r="T170" t="s">
        <v>700</v>
      </c>
      <c r="U170">
        <v>23.5</v>
      </c>
      <c r="V170" s="4">
        <v>440</v>
      </c>
      <c r="W170">
        <v>354</v>
      </c>
      <c r="X170" s="6">
        <f>125/$U170*$G170</f>
        <v>468.08510638297872</v>
      </c>
    </row>
    <row r="171" spans="1:37" x14ac:dyDescent="0.25">
      <c r="A171" t="s">
        <v>233</v>
      </c>
      <c r="B171" t="s">
        <v>234</v>
      </c>
      <c r="C171" t="s">
        <v>410</v>
      </c>
      <c r="D171">
        <v>4055</v>
      </c>
      <c r="E171" t="s">
        <v>235</v>
      </c>
      <c r="F171" t="s">
        <v>24</v>
      </c>
      <c r="G171">
        <v>45.8</v>
      </c>
      <c r="H171" t="s">
        <v>25</v>
      </c>
      <c r="I171" t="s">
        <v>60</v>
      </c>
      <c r="L171">
        <v>0</v>
      </c>
      <c r="M171">
        <v>1983</v>
      </c>
      <c r="O171" t="s">
        <v>236</v>
      </c>
      <c r="R171">
        <v>48.205914</v>
      </c>
      <c r="S171">
        <v>14.223576</v>
      </c>
      <c r="T171" t="s">
        <v>700</v>
      </c>
      <c r="U171">
        <v>24.8</v>
      </c>
      <c r="V171">
        <v>200</v>
      </c>
      <c r="W171">
        <v>215</v>
      </c>
      <c r="X171" s="6">
        <f>125/$U171*$G171</f>
        <v>230.84677419354836</v>
      </c>
    </row>
    <row r="172" spans="1:37" x14ac:dyDescent="0.25">
      <c r="A172" t="s">
        <v>22</v>
      </c>
      <c r="B172" t="s">
        <v>184</v>
      </c>
      <c r="C172" t="s">
        <v>184</v>
      </c>
      <c r="D172">
        <v>9170</v>
      </c>
      <c r="E172" t="s">
        <v>185</v>
      </c>
      <c r="F172" t="s">
        <v>24</v>
      </c>
      <c r="G172">
        <v>75</v>
      </c>
      <c r="H172" t="s">
        <v>25</v>
      </c>
      <c r="I172" t="s">
        <v>60</v>
      </c>
      <c r="L172">
        <v>0</v>
      </c>
      <c r="M172">
        <v>1975</v>
      </c>
      <c r="O172" t="s">
        <v>27</v>
      </c>
      <c r="R172">
        <v>46.546624999999999</v>
      </c>
      <c r="S172">
        <v>14.298527999999999</v>
      </c>
      <c r="T172" t="s">
        <v>700</v>
      </c>
      <c r="U172">
        <v>21.2</v>
      </c>
      <c r="V172">
        <v>410</v>
      </c>
      <c r="W172">
        <v>318</v>
      </c>
      <c r="X172" s="6">
        <f>125/$U172*$G172</f>
        <v>442.21698113207549</v>
      </c>
    </row>
    <row r="173" spans="1:37" x14ac:dyDescent="0.25">
      <c r="A173" s="3" t="s">
        <v>444</v>
      </c>
      <c r="B173" s="3" t="s">
        <v>445</v>
      </c>
      <c r="C173" t="s">
        <v>624</v>
      </c>
      <c r="D173">
        <v>4030</v>
      </c>
      <c r="E173" t="s">
        <v>625</v>
      </c>
      <c r="F173" t="s">
        <v>24</v>
      </c>
      <c r="G173">
        <v>10.5</v>
      </c>
      <c r="H173" t="s">
        <v>25</v>
      </c>
      <c r="I173" t="s">
        <v>60</v>
      </c>
      <c r="L173">
        <v>0</v>
      </c>
      <c r="M173">
        <v>1978</v>
      </c>
      <c r="O173" t="s">
        <v>446</v>
      </c>
      <c r="R173">
        <v>48.249927</v>
      </c>
      <c r="S173">
        <v>14.319731000000001</v>
      </c>
      <c r="U173" s="3">
        <v>10</v>
      </c>
      <c r="V173">
        <v>116</v>
      </c>
      <c r="W173">
        <v>7</v>
      </c>
      <c r="X173" s="6">
        <f>125/$U173*$G173</f>
        <v>131.25</v>
      </c>
    </row>
    <row r="174" spans="1:37" x14ac:dyDescent="0.25">
      <c r="A174" t="s">
        <v>190</v>
      </c>
      <c r="B174" t="s">
        <v>249</v>
      </c>
      <c r="C174" t="s">
        <v>250</v>
      </c>
      <c r="D174">
        <v>4452</v>
      </c>
      <c r="E174" t="s">
        <v>249</v>
      </c>
      <c r="F174" t="s">
        <v>24</v>
      </c>
      <c r="G174">
        <v>40.4</v>
      </c>
      <c r="H174" t="s">
        <v>25</v>
      </c>
      <c r="I174" t="s">
        <v>60</v>
      </c>
      <c r="L174">
        <v>0</v>
      </c>
      <c r="M174">
        <v>1949</v>
      </c>
      <c r="O174" t="s">
        <v>251</v>
      </c>
      <c r="R174">
        <v>47.941094999999997</v>
      </c>
      <c r="S174">
        <v>14.35266</v>
      </c>
      <c r="T174" t="s">
        <v>700</v>
      </c>
      <c r="U174">
        <v>15</v>
      </c>
      <c r="V174">
        <v>290</v>
      </c>
      <c r="W174">
        <v>169.7</v>
      </c>
      <c r="X174" s="6">
        <f>125/$U174*$G174</f>
        <v>336.66666666666669</v>
      </c>
    </row>
    <row r="175" spans="1:37" x14ac:dyDescent="0.25">
      <c r="A175" t="s">
        <v>190</v>
      </c>
      <c r="B175" t="s">
        <v>266</v>
      </c>
      <c r="C175" t="s">
        <v>267</v>
      </c>
      <c r="D175">
        <v>4451</v>
      </c>
      <c r="E175" t="s">
        <v>263</v>
      </c>
      <c r="F175" t="s">
        <v>24</v>
      </c>
      <c r="G175">
        <v>34</v>
      </c>
      <c r="H175" t="s">
        <v>25</v>
      </c>
      <c r="I175" t="s">
        <v>60</v>
      </c>
      <c r="L175">
        <v>0</v>
      </c>
      <c r="M175">
        <v>1953</v>
      </c>
      <c r="O175" t="s">
        <v>268</v>
      </c>
      <c r="R175">
        <v>47.992885999999999</v>
      </c>
      <c r="S175">
        <v>14.376871</v>
      </c>
      <c r="T175" t="s">
        <v>700</v>
      </c>
      <c r="U175">
        <v>12.6</v>
      </c>
      <c r="V175">
        <v>320</v>
      </c>
      <c r="W175">
        <v>145.5</v>
      </c>
      <c r="X175" s="6">
        <f>125/$U175*$G175</f>
        <v>337.30158730158729</v>
      </c>
    </row>
    <row r="176" spans="1:37" x14ac:dyDescent="0.25">
      <c r="A176" t="s">
        <v>190</v>
      </c>
      <c r="B176" t="s">
        <v>263</v>
      </c>
      <c r="C176" t="s">
        <v>264</v>
      </c>
      <c r="D176">
        <v>4451</v>
      </c>
      <c r="E176" t="s">
        <v>263</v>
      </c>
      <c r="F176" t="s">
        <v>24</v>
      </c>
      <c r="G176">
        <v>35.299999999999997</v>
      </c>
      <c r="H176" t="s">
        <v>25</v>
      </c>
      <c r="I176" t="s">
        <v>60</v>
      </c>
      <c r="L176">
        <v>0</v>
      </c>
      <c r="M176">
        <v>1967</v>
      </c>
      <c r="O176" t="s">
        <v>265</v>
      </c>
      <c r="R176">
        <v>48.018487999999998</v>
      </c>
      <c r="S176">
        <v>14.411714</v>
      </c>
      <c r="T176" s="4" t="s">
        <v>700</v>
      </c>
      <c r="U176">
        <v>13.3</v>
      </c>
      <c r="V176">
        <v>286</v>
      </c>
      <c r="W176">
        <v>157</v>
      </c>
      <c r="X176" s="6">
        <f>125/$U176*$G176</f>
        <v>331.76691729323301</v>
      </c>
    </row>
    <row r="177" spans="1:37" x14ac:dyDescent="0.25">
      <c r="A177" t="s">
        <v>22</v>
      </c>
      <c r="B177" t="s">
        <v>114</v>
      </c>
      <c r="C177" t="s">
        <v>115</v>
      </c>
      <c r="D177">
        <v>4222</v>
      </c>
      <c r="E177" t="s">
        <v>116</v>
      </c>
      <c r="F177" t="s">
        <v>24</v>
      </c>
      <c r="G177">
        <v>168</v>
      </c>
      <c r="H177" t="s">
        <v>25</v>
      </c>
      <c r="I177" t="s">
        <v>60</v>
      </c>
      <c r="L177">
        <v>0</v>
      </c>
      <c r="M177">
        <v>1980</v>
      </c>
      <c r="O177" t="s">
        <v>27</v>
      </c>
      <c r="Q177" t="s">
        <v>117</v>
      </c>
      <c r="R177">
        <v>48.248396999999997</v>
      </c>
      <c r="S177">
        <v>14.430869</v>
      </c>
      <c r="T177" t="s">
        <v>700</v>
      </c>
      <c r="U177">
        <v>9.3000000000000007</v>
      </c>
      <c r="V177">
        <v>2475</v>
      </c>
      <c r="W177">
        <v>995.7</v>
      </c>
      <c r="X177" s="6">
        <f>125/$U177*$G177</f>
        <v>2258.0645161290322</v>
      </c>
    </row>
    <row r="178" spans="1:37" x14ac:dyDescent="0.25">
      <c r="A178" t="s">
        <v>190</v>
      </c>
      <c r="B178" t="s">
        <v>252</v>
      </c>
      <c r="C178" t="s">
        <v>253</v>
      </c>
      <c r="D178">
        <v>4460</v>
      </c>
      <c r="E178" t="s">
        <v>252</v>
      </c>
      <c r="F178" t="s">
        <v>24</v>
      </c>
      <c r="G178">
        <v>39.4</v>
      </c>
      <c r="H178" t="s">
        <v>25</v>
      </c>
      <c r="I178" t="s">
        <v>60</v>
      </c>
      <c r="L178">
        <v>0</v>
      </c>
      <c r="M178">
        <v>1962</v>
      </c>
      <c r="O178" t="s">
        <v>254</v>
      </c>
      <c r="R178">
        <v>47.923315000000002</v>
      </c>
      <c r="S178">
        <v>14.433857</v>
      </c>
      <c r="T178" s="4" t="s">
        <v>700</v>
      </c>
      <c r="U178">
        <v>14.7</v>
      </c>
      <c r="V178">
        <v>306</v>
      </c>
      <c r="W178">
        <v>17</v>
      </c>
      <c r="X178" s="6">
        <f>125/$U178*$G178</f>
        <v>335.03401360544223</v>
      </c>
    </row>
    <row r="179" spans="1:37" x14ac:dyDescent="0.25">
      <c r="A179" t="s">
        <v>121</v>
      </c>
      <c r="B179" t="s">
        <v>366</v>
      </c>
      <c r="C179" t="s">
        <v>410</v>
      </c>
      <c r="D179">
        <v>9173</v>
      </c>
      <c r="E179" t="s">
        <v>367</v>
      </c>
      <c r="F179" t="s">
        <v>24</v>
      </c>
      <c r="G179">
        <v>17</v>
      </c>
      <c r="H179" t="s">
        <v>25</v>
      </c>
      <c r="I179" t="s">
        <v>26</v>
      </c>
      <c r="L179">
        <v>0</v>
      </c>
      <c r="M179">
        <v>1955</v>
      </c>
      <c r="N179" t="s">
        <v>368</v>
      </c>
      <c r="O179" t="s">
        <v>369</v>
      </c>
      <c r="R179">
        <v>46.526471000000001</v>
      </c>
      <c r="S179">
        <v>14.454812</v>
      </c>
      <c r="U179">
        <v>322</v>
      </c>
      <c r="V179">
        <v>5.75</v>
      </c>
      <c r="X179" s="6">
        <f>125/$U179*$G179</f>
        <v>6.5993788819875778</v>
      </c>
      <c r="Y179" s="8"/>
      <c r="Z179" s="11"/>
      <c r="AB179" s="3"/>
      <c r="AD179">
        <f>ROUND(0.95*IF($T179="Pelton",0.875,IF($T179="Kaplan",0.9,0.925))*IF($I179="Pumped Storage",0.875,1),2)</f>
        <v>0.77</v>
      </c>
      <c r="AE179">
        <f>ROUND(SQRT($AD179),3)*0.975</f>
        <v>0.85507500000000003</v>
      </c>
      <c r="AF179">
        <f>ROUND(SQRT($AD179),3)*1.025</f>
        <v>0.89892499999999997</v>
      </c>
    </row>
    <row r="180" spans="1:37" x14ac:dyDescent="0.25">
      <c r="A180" t="s">
        <v>190</v>
      </c>
      <c r="B180" t="s">
        <v>238</v>
      </c>
      <c r="C180" t="s">
        <v>239</v>
      </c>
      <c r="D180">
        <v>4431</v>
      </c>
      <c r="E180" t="s">
        <v>240</v>
      </c>
      <c r="F180" t="s">
        <v>24</v>
      </c>
      <c r="G180">
        <v>43.2</v>
      </c>
      <c r="H180" t="s">
        <v>25</v>
      </c>
      <c r="I180" t="s">
        <v>60</v>
      </c>
      <c r="L180">
        <v>0</v>
      </c>
      <c r="M180">
        <v>1946</v>
      </c>
      <c r="O180" t="s">
        <v>241</v>
      </c>
      <c r="R180">
        <v>48.098607000000001</v>
      </c>
      <c r="S180">
        <v>14.468762999999999</v>
      </c>
      <c r="T180" t="s">
        <v>700</v>
      </c>
      <c r="U180">
        <v>14.3</v>
      </c>
      <c r="V180">
        <v>345</v>
      </c>
      <c r="W180">
        <v>23.2</v>
      </c>
      <c r="X180" s="6">
        <f>125/$U180*$G180</f>
        <v>377.62237762237766</v>
      </c>
    </row>
    <row r="181" spans="1:37" x14ac:dyDescent="0.25">
      <c r="A181" s="4" t="s">
        <v>22</v>
      </c>
      <c r="B181" s="4" t="s">
        <v>452</v>
      </c>
      <c r="C181" t="s">
        <v>627</v>
      </c>
      <c r="D181">
        <v>8784</v>
      </c>
      <c r="E181" t="s">
        <v>628</v>
      </c>
      <c r="F181" t="s">
        <v>24</v>
      </c>
      <c r="G181">
        <v>10</v>
      </c>
      <c r="H181" t="s">
        <v>25</v>
      </c>
      <c r="I181" t="s">
        <v>60</v>
      </c>
      <c r="L181">
        <v>0</v>
      </c>
      <c r="M181">
        <v>1995</v>
      </c>
      <c r="N181" t="s">
        <v>680</v>
      </c>
      <c r="O181" t="s">
        <v>27</v>
      </c>
      <c r="R181">
        <v>47.491976999999999</v>
      </c>
      <c r="S181">
        <v>14.472702</v>
      </c>
      <c r="T181" t="s">
        <v>704</v>
      </c>
      <c r="U181">
        <v>228.5</v>
      </c>
      <c r="V181" s="4">
        <v>6</v>
      </c>
      <c r="W181">
        <v>41.7</v>
      </c>
      <c r="X181" s="6">
        <f>125/$U181*$G181</f>
        <v>5.4704595185995615</v>
      </c>
    </row>
    <row r="182" spans="1:37" x14ac:dyDescent="0.25">
      <c r="A182" t="s">
        <v>190</v>
      </c>
      <c r="B182" t="s">
        <v>315</v>
      </c>
      <c r="C182" t="s">
        <v>316</v>
      </c>
      <c r="D182">
        <v>4484</v>
      </c>
      <c r="E182" t="s">
        <v>317</v>
      </c>
      <c r="F182" t="s">
        <v>24</v>
      </c>
      <c r="G182">
        <v>24.8</v>
      </c>
      <c r="H182" t="s">
        <v>25</v>
      </c>
      <c r="I182" t="s">
        <v>60</v>
      </c>
      <c r="L182">
        <v>0</v>
      </c>
      <c r="M182">
        <v>1948</v>
      </c>
      <c r="O182" t="s">
        <v>318</v>
      </c>
      <c r="R182">
        <v>48.131686000000002</v>
      </c>
      <c r="S182">
        <v>14.473996</v>
      </c>
      <c r="T182" t="s">
        <v>700</v>
      </c>
      <c r="U182">
        <v>8</v>
      </c>
      <c r="V182">
        <v>364</v>
      </c>
      <c r="W182">
        <v>111.8</v>
      </c>
      <c r="X182" s="6">
        <f>125/$U182*$G182</f>
        <v>387.5</v>
      </c>
    </row>
    <row r="183" spans="1:37" x14ac:dyDescent="0.25">
      <c r="A183" t="s">
        <v>22</v>
      </c>
      <c r="B183" t="s">
        <v>155</v>
      </c>
      <c r="C183" t="s">
        <v>156</v>
      </c>
      <c r="D183">
        <v>9131</v>
      </c>
      <c r="E183" t="s">
        <v>157</v>
      </c>
      <c r="F183" t="s">
        <v>24</v>
      </c>
      <c r="G183">
        <v>90</v>
      </c>
      <c r="H183" t="s">
        <v>25</v>
      </c>
      <c r="I183" t="s">
        <v>60</v>
      </c>
      <c r="L183">
        <v>0</v>
      </c>
      <c r="M183">
        <v>1981</v>
      </c>
      <c r="O183" t="s">
        <v>27</v>
      </c>
      <c r="R183">
        <v>46.561407000000003</v>
      </c>
      <c r="S183">
        <v>14.479829000000001</v>
      </c>
      <c r="T183" t="s">
        <v>700</v>
      </c>
      <c r="U183">
        <v>25.2</v>
      </c>
      <c r="V183">
        <v>418</v>
      </c>
      <c r="W183" s="4">
        <v>386.5</v>
      </c>
      <c r="X183" s="6">
        <f>125/$U183*$G183</f>
        <v>446.42857142857144</v>
      </c>
    </row>
    <row r="184" spans="1:37" x14ac:dyDescent="0.25">
      <c r="A184" t="s">
        <v>190</v>
      </c>
      <c r="B184" t="s">
        <v>191</v>
      </c>
      <c r="C184" t="s">
        <v>192</v>
      </c>
      <c r="D184">
        <v>4462</v>
      </c>
      <c r="E184" t="s">
        <v>193</v>
      </c>
      <c r="F184" t="s">
        <v>24</v>
      </c>
      <c r="G184">
        <v>72.3</v>
      </c>
      <c r="H184" t="s">
        <v>25</v>
      </c>
      <c r="I184" t="s">
        <v>60</v>
      </c>
      <c r="L184">
        <v>0</v>
      </c>
      <c r="M184">
        <v>1950</v>
      </c>
      <c r="O184" t="s">
        <v>194</v>
      </c>
      <c r="R184">
        <v>47.892954000000003</v>
      </c>
      <c r="S184">
        <v>14.512340999999999</v>
      </c>
      <c r="T184" t="s">
        <v>700</v>
      </c>
      <c r="U184">
        <v>23.3</v>
      </c>
      <c r="V184">
        <v>336</v>
      </c>
      <c r="W184">
        <v>27.7</v>
      </c>
      <c r="X184" s="6">
        <f>125/$U184*$G184</f>
        <v>387.87553648068666</v>
      </c>
    </row>
    <row r="185" spans="1:37" s="4" customFormat="1" x14ac:dyDescent="0.25">
      <c r="A185" t="s">
        <v>190</v>
      </c>
      <c r="B185" t="s">
        <v>219</v>
      </c>
      <c r="C185" t="s">
        <v>220</v>
      </c>
      <c r="D185">
        <v>4303</v>
      </c>
      <c r="E185" t="s">
        <v>221</v>
      </c>
      <c r="F185" t="s">
        <v>24</v>
      </c>
      <c r="G185">
        <v>51.9</v>
      </c>
      <c r="H185" t="s">
        <v>25</v>
      </c>
      <c r="I185" t="s">
        <v>60</v>
      </c>
      <c r="J185"/>
      <c r="K185"/>
      <c r="L185">
        <v>0</v>
      </c>
      <c r="M185">
        <v>1966</v>
      </c>
      <c r="N185"/>
      <c r="O185" t="s">
        <v>222</v>
      </c>
      <c r="P185"/>
      <c r="Q185"/>
      <c r="R185">
        <v>48.224936</v>
      </c>
      <c r="S185">
        <v>14.53116</v>
      </c>
      <c r="T185" t="s">
        <v>703</v>
      </c>
      <c r="U185">
        <v>19.5</v>
      </c>
      <c r="V185">
        <v>342</v>
      </c>
      <c r="W185">
        <v>261.89999999999998</v>
      </c>
      <c r="X185" s="6">
        <f>125/$U185*$G185</f>
        <v>332.69230769230768</v>
      </c>
      <c r="Y185" s="7"/>
      <c r="Z185" s="7"/>
      <c r="AA185"/>
      <c r="AB185"/>
      <c r="AC185"/>
      <c r="AD185"/>
      <c r="AE185"/>
      <c r="AF185"/>
      <c r="AG185"/>
      <c r="AH185"/>
      <c r="AI185"/>
      <c r="AJ185"/>
      <c r="AK185"/>
    </row>
    <row r="186" spans="1:37" x14ac:dyDescent="0.25">
      <c r="A186" t="s">
        <v>190</v>
      </c>
      <c r="B186" t="s">
        <v>255</v>
      </c>
      <c r="C186" t="s">
        <v>256</v>
      </c>
      <c r="D186">
        <v>3335</v>
      </c>
      <c r="E186" t="s">
        <v>255</v>
      </c>
      <c r="F186" t="s">
        <v>24</v>
      </c>
      <c r="G186">
        <v>36.799999999999997</v>
      </c>
      <c r="H186" t="s">
        <v>25</v>
      </c>
      <c r="I186" t="s">
        <v>60</v>
      </c>
      <c r="L186">
        <v>0</v>
      </c>
      <c r="M186">
        <v>1969</v>
      </c>
      <c r="O186" t="s">
        <v>254</v>
      </c>
      <c r="R186">
        <v>47.848514999999999</v>
      </c>
      <c r="S186">
        <v>14.638648999999999</v>
      </c>
      <c r="T186" t="s">
        <v>700</v>
      </c>
      <c r="U186">
        <v>15.7</v>
      </c>
      <c r="V186">
        <v>260</v>
      </c>
      <c r="W186">
        <v>159.69999999999999</v>
      </c>
      <c r="X186" s="6">
        <f>125/$U186*$G186</f>
        <v>292.99363057324842</v>
      </c>
    </row>
    <row r="187" spans="1:37" x14ac:dyDescent="0.25">
      <c r="A187" t="s">
        <v>190</v>
      </c>
      <c r="B187" t="s">
        <v>291</v>
      </c>
      <c r="C187" t="s">
        <v>292</v>
      </c>
      <c r="D187">
        <v>4464</v>
      </c>
      <c r="E187" t="s">
        <v>293</v>
      </c>
      <c r="F187" t="s">
        <v>24</v>
      </c>
      <c r="G187">
        <v>29.8</v>
      </c>
      <c r="H187" t="s">
        <v>25</v>
      </c>
      <c r="I187" t="s">
        <v>60</v>
      </c>
      <c r="L187">
        <v>0</v>
      </c>
      <c r="M187">
        <v>1972</v>
      </c>
      <c r="O187" t="s">
        <v>294</v>
      </c>
      <c r="R187">
        <v>47.775426000000003</v>
      </c>
      <c r="S187">
        <v>14.650605000000001</v>
      </c>
      <c r="T187" t="s">
        <v>700</v>
      </c>
      <c r="U187">
        <v>12.1</v>
      </c>
      <c r="V187">
        <v>286</v>
      </c>
      <c r="W187">
        <v>122.8</v>
      </c>
      <c r="X187" s="6">
        <f>125/$U187*$G187</f>
        <v>307.85123966942149</v>
      </c>
    </row>
    <row r="188" spans="1:37" x14ac:dyDescent="0.25">
      <c r="A188" t="s">
        <v>22</v>
      </c>
      <c r="B188" t="s">
        <v>308</v>
      </c>
      <c r="C188" t="s">
        <v>309</v>
      </c>
      <c r="D188">
        <v>8934</v>
      </c>
      <c r="E188" t="s">
        <v>285</v>
      </c>
      <c r="F188" t="s">
        <v>24</v>
      </c>
      <c r="G188">
        <v>26</v>
      </c>
      <c r="H188" t="s">
        <v>25</v>
      </c>
      <c r="I188" t="s">
        <v>60</v>
      </c>
      <c r="L188">
        <v>0</v>
      </c>
      <c r="M188">
        <v>1960</v>
      </c>
      <c r="O188" t="s">
        <v>27</v>
      </c>
      <c r="R188">
        <v>47.738413000000001</v>
      </c>
      <c r="S188">
        <v>14.652866</v>
      </c>
      <c r="T188" t="s">
        <v>700</v>
      </c>
      <c r="U188">
        <v>20.5</v>
      </c>
      <c r="V188">
        <v>135</v>
      </c>
      <c r="W188">
        <v>165.9</v>
      </c>
      <c r="X188" s="6">
        <f>125/$U188*$G188</f>
        <v>158.53658536585365</v>
      </c>
    </row>
    <row r="189" spans="1:37" x14ac:dyDescent="0.25">
      <c r="A189" t="s">
        <v>22</v>
      </c>
      <c r="B189" t="s">
        <v>283</v>
      </c>
      <c r="C189" t="s">
        <v>284</v>
      </c>
      <c r="D189">
        <v>8934</v>
      </c>
      <c r="E189" t="s">
        <v>285</v>
      </c>
      <c r="F189" t="s">
        <v>24</v>
      </c>
      <c r="G189" s="4">
        <v>30</v>
      </c>
      <c r="H189" t="s">
        <v>25</v>
      </c>
      <c r="I189" t="s">
        <v>60</v>
      </c>
      <c r="L189">
        <v>0</v>
      </c>
      <c r="M189">
        <v>1965</v>
      </c>
      <c r="O189" t="s">
        <v>27</v>
      </c>
      <c r="R189">
        <v>47.703510999999999</v>
      </c>
      <c r="S189">
        <v>14.689298000000001</v>
      </c>
      <c r="T189" t="s">
        <v>700</v>
      </c>
      <c r="U189">
        <v>23</v>
      </c>
      <c r="V189">
        <v>120</v>
      </c>
      <c r="W189">
        <v>174.79</v>
      </c>
      <c r="X189" s="6">
        <f>125/$U189*$G189</f>
        <v>163.04347826086956</v>
      </c>
    </row>
    <row r="190" spans="1:37" x14ac:dyDescent="0.25">
      <c r="A190" t="s">
        <v>22</v>
      </c>
      <c r="B190" t="s">
        <v>92</v>
      </c>
      <c r="C190" t="s">
        <v>93</v>
      </c>
      <c r="D190">
        <v>3313</v>
      </c>
      <c r="E190" t="s">
        <v>94</v>
      </c>
      <c r="F190" t="s">
        <v>24</v>
      </c>
      <c r="G190">
        <v>210</v>
      </c>
      <c r="H190" t="s">
        <v>25</v>
      </c>
      <c r="I190" t="s">
        <v>60</v>
      </c>
      <c r="L190">
        <v>0</v>
      </c>
      <c r="M190">
        <v>1969</v>
      </c>
      <c r="O190" t="s">
        <v>27</v>
      </c>
      <c r="Q190" t="s">
        <v>95</v>
      </c>
      <c r="R190">
        <v>48.166415000000001</v>
      </c>
      <c r="S190">
        <v>14.695103</v>
      </c>
      <c r="T190" t="s">
        <v>700</v>
      </c>
      <c r="U190" s="4">
        <v>10.8</v>
      </c>
      <c r="V190">
        <v>2700</v>
      </c>
      <c r="W190">
        <v>1318.8</v>
      </c>
      <c r="X190" s="6">
        <f>125/$U190*$G190</f>
        <v>2430.5555555555552</v>
      </c>
    </row>
    <row r="191" spans="1:37" x14ac:dyDescent="0.25">
      <c r="A191" t="s">
        <v>22</v>
      </c>
      <c r="B191" t="s">
        <v>162</v>
      </c>
      <c r="C191" t="s">
        <v>535</v>
      </c>
      <c r="D191">
        <v>9100</v>
      </c>
      <c r="E191" t="s">
        <v>163</v>
      </c>
      <c r="F191" t="s">
        <v>24</v>
      </c>
      <c r="G191">
        <v>87</v>
      </c>
      <c r="H191" t="s">
        <v>25</v>
      </c>
      <c r="I191" t="s">
        <v>60</v>
      </c>
      <c r="L191">
        <v>0</v>
      </c>
      <c r="M191">
        <v>1962</v>
      </c>
      <c r="O191" t="s">
        <v>27</v>
      </c>
      <c r="R191">
        <v>46.628959000000002</v>
      </c>
      <c r="S191">
        <v>14.701371</v>
      </c>
      <c r="T191" t="s">
        <v>700</v>
      </c>
      <c r="U191">
        <v>21.5</v>
      </c>
      <c r="V191" s="4">
        <v>410</v>
      </c>
      <c r="W191" s="4">
        <v>401</v>
      </c>
      <c r="X191" s="6">
        <f>125/$U191*$G191</f>
        <v>505.81395348837208</v>
      </c>
    </row>
    <row r="192" spans="1:37" s="4" customFormat="1" x14ac:dyDescent="0.25">
      <c r="A192" t="s">
        <v>22</v>
      </c>
      <c r="B192" t="s">
        <v>333</v>
      </c>
      <c r="C192" t="s">
        <v>572</v>
      </c>
      <c r="D192">
        <v>8741</v>
      </c>
      <c r="E192" t="s">
        <v>573</v>
      </c>
      <c r="F192" t="s">
        <v>24</v>
      </c>
      <c r="G192">
        <v>22</v>
      </c>
      <c r="H192" t="s">
        <v>25</v>
      </c>
      <c r="I192" t="s">
        <v>60</v>
      </c>
      <c r="J192"/>
      <c r="K192"/>
      <c r="L192">
        <v>0</v>
      </c>
      <c r="M192">
        <v>1994</v>
      </c>
      <c r="N192"/>
      <c r="O192" t="s">
        <v>27</v>
      </c>
      <c r="P192"/>
      <c r="Q192"/>
      <c r="R192">
        <v>47.174300000000002</v>
      </c>
      <c r="S192">
        <v>14.723143</v>
      </c>
      <c r="T192" t="s">
        <v>700</v>
      </c>
      <c r="U192">
        <v>22.86</v>
      </c>
      <c r="V192">
        <v>110.65</v>
      </c>
      <c r="W192">
        <v>74</v>
      </c>
      <c r="X192" s="6">
        <f>125/$U192*$G192</f>
        <v>120.29746281714786</v>
      </c>
      <c r="Y192" s="7"/>
      <c r="Z192" s="7"/>
      <c r="AA192"/>
      <c r="AB192"/>
      <c r="AC192"/>
      <c r="AD192"/>
      <c r="AE192"/>
      <c r="AF192"/>
      <c r="AG192"/>
      <c r="AH192"/>
      <c r="AI192"/>
      <c r="AJ192"/>
      <c r="AK192"/>
    </row>
    <row r="193" spans="1:37" x14ac:dyDescent="0.25">
      <c r="A193" t="s">
        <v>22</v>
      </c>
      <c r="B193" t="s">
        <v>209</v>
      </c>
      <c r="C193" t="s">
        <v>210</v>
      </c>
      <c r="D193">
        <v>8920</v>
      </c>
      <c r="E193" t="s">
        <v>209</v>
      </c>
      <c r="F193" t="s">
        <v>24</v>
      </c>
      <c r="G193">
        <v>63</v>
      </c>
      <c r="H193" t="s">
        <v>25</v>
      </c>
      <c r="I193" t="s">
        <v>36</v>
      </c>
      <c r="J193" t="s">
        <v>539</v>
      </c>
      <c r="L193">
        <v>0</v>
      </c>
      <c r="M193">
        <v>2009</v>
      </c>
      <c r="O193" t="s">
        <v>27</v>
      </c>
      <c r="R193">
        <v>47.605956999999997</v>
      </c>
      <c r="S193">
        <v>14.742820999999999</v>
      </c>
      <c r="T193" t="s">
        <v>703</v>
      </c>
      <c r="U193">
        <v>85</v>
      </c>
      <c r="V193">
        <v>84</v>
      </c>
      <c r="W193">
        <v>369.6</v>
      </c>
      <c r="X193" s="6">
        <f>125/$U193*$G193</f>
        <v>92.64705882352942</v>
      </c>
      <c r="Y193" s="7">
        <v>1650000</v>
      </c>
      <c r="Z193" s="11">
        <f>Y193/V193/60/60*G193/1000</f>
        <v>0.34374999999999994</v>
      </c>
      <c r="AA193">
        <v>0.33</v>
      </c>
      <c r="AB193">
        <v>0</v>
      </c>
      <c r="AD193">
        <f>ROUND(0.95*IF($T193="Pelton",0.875,IF($T193="Kaplan",0.9,0.925))*IF($I193="Pumped Storage",0.875,1),2)</f>
        <v>0.88</v>
      </c>
      <c r="AE193">
        <f>ROUND(SQRT($AD193),3)*0.975</f>
        <v>0.91454999999999997</v>
      </c>
      <c r="AF193">
        <f>ROUND(SQRT($AD193),3)*1.025</f>
        <v>0.9614499999999998</v>
      </c>
    </row>
    <row r="194" spans="1:37" x14ac:dyDescent="0.25">
      <c r="A194" t="s">
        <v>22</v>
      </c>
      <c r="B194" t="s">
        <v>313</v>
      </c>
      <c r="C194" t="s">
        <v>410</v>
      </c>
      <c r="D194">
        <v>8931</v>
      </c>
      <c r="E194" t="s">
        <v>313</v>
      </c>
      <c r="F194" t="s">
        <v>24</v>
      </c>
      <c r="G194">
        <v>25</v>
      </c>
      <c r="H194" t="s">
        <v>25</v>
      </c>
      <c r="I194" t="s">
        <v>60</v>
      </c>
      <c r="L194">
        <v>0</v>
      </c>
      <c r="M194">
        <v>1967</v>
      </c>
      <c r="O194" t="s">
        <v>27</v>
      </c>
      <c r="R194">
        <v>47.651130999999999</v>
      </c>
      <c r="S194">
        <v>14.750285999999999</v>
      </c>
      <c r="T194" t="s">
        <v>700</v>
      </c>
      <c r="U194">
        <v>21.35</v>
      </c>
      <c r="V194">
        <v>120</v>
      </c>
      <c r="W194">
        <v>135.5</v>
      </c>
      <c r="X194" s="6">
        <f>125/$U194*$G194</f>
        <v>146.37002341920373</v>
      </c>
    </row>
    <row r="195" spans="1:37" x14ac:dyDescent="0.25">
      <c r="A195" s="3" t="s">
        <v>468</v>
      </c>
      <c r="B195" s="4" t="s">
        <v>469</v>
      </c>
      <c r="C195" t="s">
        <v>470</v>
      </c>
      <c r="D195">
        <v>3342</v>
      </c>
      <c r="E195" t="s">
        <v>469</v>
      </c>
      <c r="F195" t="s">
        <v>24</v>
      </c>
      <c r="G195">
        <v>12.62</v>
      </c>
      <c r="H195" t="s">
        <v>25</v>
      </c>
      <c r="I195" t="s">
        <v>60</v>
      </c>
      <c r="L195">
        <v>0</v>
      </c>
      <c r="M195">
        <v>1924</v>
      </c>
      <c r="N195" t="s">
        <v>693</v>
      </c>
      <c r="O195" t="s">
        <v>471</v>
      </c>
      <c r="R195">
        <v>47.890349999999998</v>
      </c>
      <c r="S195">
        <v>14.829421999999999</v>
      </c>
      <c r="T195" t="s">
        <v>703</v>
      </c>
      <c r="U195">
        <v>115.18</v>
      </c>
      <c r="V195" s="4">
        <v>12.4</v>
      </c>
      <c r="W195">
        <v>65.599999999999994</v>
      </c>
      <c r="X195" s="6">
        <f>125/$U195*$G195</f>
        <v>13.695954158708107</v>
      </c>
    </row>
    <row r="196" spans="1:37" x14ac:dyDescent="0.25">
      <c r="A196" t="s">
        <v>22</v>
      </c>
      <c r="B196" t="s">
        <v>181</v>
      </c>
      <c r="C196" t="s">
        <v>182</v>
      </c>
      <c r="D196">
        <v>9473</v>
      </c>
      <c r="E196" t="s">
        <v>183</v>
      </c>
      <c r="F196" t="s">
        <v>24</v>
      </c>
      <c r="G196">
        <v>79</v>
      </c>
      <c r="H196" t="s">
        <v>25</v>
      </c>
      <c r="I196" t="s">
        <v>60</v>
      </c>
      <c r="L196">
        <v>0</v>
      </c>
      <c r="M196">
        <v>1943</v>
      </c>
      <c r="O196" t="s">
        <v>27</v>
      </c>
      <c r="R196">
        <v>46.658192999999997</v>
      </c>
      <c r="S196">
        <v>14.873028</v>
      </c>
      <c r="T196" t="s">
        <v>700</v>
      </c>
      <c r="U196">
        <v>20.2</v>
      </c>
      <c r="V196">
        <v>485</v>
      </c>
      <c r="W196">
        <v>378</v>
      </c>
      <c r="X196" s="6">
        <f>125/$U196*$G196</f>
        <v>488.86138613861385</v>
      </c>
    </row>
    <row r="197" spans="1:37" x14ac:dyDescent="0.25">
      <c r="A197" t="s">
        <v>22</v>
      </c>
      <c r="B197" t="s">
        <v>183</v>
      </c>
      <c r="C197" t="s">
        <v>305</v>
      </c>
      <c r="D197">
        <v>9473</v>
      </c>
      <c r="E197" t="s">
        <v>183</v>
      </c>
      <c r="F197" t="s">
        <v>24</v>
      </c>
      <c r="G197">
        <v>28</v>
      </c>
      <c r="H197" t="s">
        <v>25</v>
      </c>
      <c r="I197" t="s">
        <v>60</v>
      </c>
      <c r="L197">
        <v>0</v>
      </c>
      <c r="M197">
        <v>1949</v>
      </c>
      <c r="O197" t="s">
        <v>27</v>
      </c>
      <c r="P197" t="s">
        <v>701</v>
      </c>
      <c r="R197">
        <v>46.643428999999998</v>
      </c>
      <c r="S197">
        <v>14.937028</v>
      </c>
      <c r="T197" t="s">
        <v>700</v>
      </c>
      <c r="U197">
        <v>8.5</v>
      </c>
      <c r="V197">
        <v>385</v>
      </c>
      <c r="W197">
        <v>156</v>
      </c>
      <c r="X197" s="6">
        <f>125/$U197*$G197</f>
        <v>411.76470588235293</v>
      </c>
    </row>
    <row r="198" spans="1:37" x14ac:dyDescent="0.25">
      <c r="A198" t="s">
        <v>121</v>
      </c>
      <c r="B198" t="s">
        <v>223</v>
      </c>
      <c r="C198" t="s">
        <v>224</v>
      </c>
      <c r="D198">
        <v>9473</v>
      </c>
      <c r="E198" t="s">
        <v>225</v>
      </c>
      <c r="F198" t="s">
        <v>24</v>
      </c>
      <c r="G198">
        <v>50</v>
      </c>
      <c r="H198" t="s">
        <v>25</v>
      </c>
      <c r="I198" t="s">
        <v>26</v>
      </c>
      <c r="J198" t="s">
        <v>226</v>
      </c>
      <c r="L198">
        <v>0</v>
      </c>
      <c r="M198">
        <v>1991</v>
      </c>
      <c r="O198" t="s">
        <v>227</v>
      </c>
      <c r="R198">
        <v>46.633766999999999</v>
      </c>
      <c r="S198">
        <v>14.955735000000001</v>
      </c>
      <c r="T198" t="s">
        <v>704</v>
      </c>
      <c r="U198">
        <v>734</v>
      </c>
      <c r="V198">
        <v>8</v>
      </c>
      <c r="W198">
        <v>163.5</v>
      </c>
      <c r="X198" s="6">
        <f>125/$U198*$G198</f>
        <v>8.5149863760217972</v>
      </c>
      <c r="Y198" s="7">
        <v>16200000</v>
      </c>
      <c r="Z198" s="11">
        <f>Y198/V198/60/60*G198/1000</f>
        <v>28.125</v>
      </c>
      <c r="AB198">
        <v>35</v>
      </c>
      <c r="AD198">
        <f>ROUND(0.95*IF($T198="Pelton",0.875,IF($T198="Kaplan",0.9,0.925))*IF($I198="Pumped Storage",0.875,1),2)</f>
        <v>0.73</v>
      </c>
      <c r="AE198">
        <f>ROUND(SQRT($AD198),3)*0.975</f>
        <v>0.83265</v>
      </c>
      <c r="AF198">
        <f>ROUND(SQRT($AD198),3)*1.025</f>
        <v>0.87534999999999985</v>
      </c>
    </row>
    <row r="199" spans="1:37" x14ac:dyDescent="0.25">
      <c r="A199" t="s">
        <v>22</v>
      </c>
      <c r="B199" t="s">
        <v>516</v>
      </c>
      <c r="C199" t="s">
        <v>85</v>
      </c>
      <c r="D199">
        <v>3370</v>
      </c>
      <c r="E199" t="s">
        <v>86</v>
      </c>
      <c r="F199" t="s">
        <v>24</v>
      </c>
      <c r="G199">
        <v>254.5</v>
      </c>
      <c r="H199" t="s">
        <v>25</v>
      </c>
      <c r="I199" t="s">
        <v>60</v>
      </c>
      <c r="L199">
        <v>0</v>
      </c>
      <c r="M199">
        <v>2020</v>
      </c>
      <c r="N199" t="s">
        <v>671</v>
      </c>
      <c r="O199" t="s">
        <v>27</v>
      </c>
      <c r="Q199" t="s">
        <v>87</v>
      </c>
      <c r="R199">
        <v>48.189357000000001</v>
      </c>
      <c r="S199">
        <v>15.067755</v>
      </c>
      <c r="T199" t="s">
        <v>700</v>
      </c>
      <c r="U199">
        <v>10.9</v>
      </c>
      <c r="V199" s="5">
        <v>2800</v>
      </c>
      <c r="W199">
        <v>1396</v>
      </c>
      <c r="X199" s="6">
        <f>125/$U199*$G199</f>
        <v>2918.5779816513764</v>
      </c>
    </row>
    <row r="200" spans="1:37" x14ac:dyDescent="0.25">
      <c r="A200" t="s">
        <v>22</v>
      </c>
      <c r="B200" t="s">
        <v>84</v>
      </c>
      <c r="C200" t="s">
        <v>85</v>
      </c>
      <c r="D200">
        <v>3370</v>
      </c>
      <c r="E200" t="s">
        <v>86</v>
      </c>
      <c r="F200" t="s">
        <v>24</v>
      </c>
      <c r="G200">
        <v>236.5</v>
      </c>
      <c r="H200" t="s">
        <v>25</v>
      </c>
      <c r="I200" t="s">
        <v>60</v>
      </c>
      <c r="L200">
        <v>0</v>
      </c>
      <c r="M200">
        <v>1960</v>
      </c>
      <c r="O200" t="s">
        <v>27</v>
      </c>
      <c r="Q200" t="s">
        <v>87</v>
      </c>
      <c r="R200">
        <v>48.189357000000001</v>
      </c>
      <c r="S200">
        <v>15.067755</v>
      </c>
      <c r="T200" t="s">
        <v>700</v>
      </c>
      <c r="U200">
        <v>10.89</v>
      </c>
      <c r="V200" s="4">
        <v>2650</v>
      </c>
      <c r="W200">
        <v>1335.9</v>
      </c>
      <c r="X200" s="6">
        <f>125/$U200*$G200</f>
        <v>2714.6464646464642</v>
      </c>
    </row>
    <row r="201" spans="1:37" x14ac:dyDescent="0.25">
      <c r="A201" s="3" t="s">
        <v>22</v>
      </c>
      <c r="B201" s="3" t="s">
        <v>451</v>
      </c>
      <c r="C201" t="s">
        <v>629</v>
      </c>
      <c r="D201">
        <v>8580</v>
      </c>
      <c r="E201" t="s">
        <v>630</v>
      </c>
      <c r="F201" t="s">
        <v>24</v>
      </c>
      <c r="G201">
        <v>10</v>
      </c>
      <c r="H201" t="s">
        <v>25</v>
      </c>
      <c r="I201" t="s">
        <v>36</v>
      </c>
      <c r="L201">
        <v>0</v>
      </c>
      <c r="M201">
        <v>1965</v>
      </c>
      <c r="O201" t="s">
        <v>27</v>
      </c>
      <c r="R201">
        <v>46.987392</v>
      </c>
      <c r="S201">
        <v>15.091177999999999</v>
      </c>
      <c r="T201" t="s">
        <v>700</v>
      </c>
      <c r="U201" s="3"/>
      <c r="V201" s="3"/>
      <c r="W201">
        <v>15.5</v>
      </c>
      <c r="X201" s="6" t="e">
        <f>125/$U201*$G201</f>
        <v>#DIV/0!</v>
      </c>
      <c r="Z201" s="11"/>
      <c r="AB201">
        <v>0</v>
      </c>
      <c r="AD201">
        <f>ROUND(0.95*IF($T201="Pelton",0.875,IF($T201="Kaplan",0.9,0.925))*IF($I201="Pumped Storage",0.875,1),2)</f>
        <v>0.86</v>
      </c>
      <c r="AE201">
        <f>ROUND(SQRT($AD201),3)*0.975</f>
        <v>0.90382499999999999</v>
      </c>
      <c r="AF201">
        <f>ROUND(SQRT($AD201),3)*1.025</f>
        <v>0.95017499999999999</v>
      </c>
    </row>
    <row r="202" spans="1:37" x14ac:dyDescent="0.25">
      <c r="A202" s="4" t="s">
        <v>22</v>
      </c>
      <c r="B202" s="4" t="s">
        <v>450</v>
      </c>
      <c r="C202" s="4" t="s">
        <v>626</v>
      </c>
      <c r="D202" s="4">
        <v>8700</v>
      </c>
      <c r="E202" s="4" t="s">
        <v>450</v>
      </c>
      <c r="F202" s="4" t="s">
        <v>24</v>
      </c>
      <c r="G202" s="4">
        <v>10</v>
      </c>
      <c r="H202" s="4" t="s">
        <v>25</v>
      </c>
      <c r="I202" s="4" t="s">
        <v>60</v>
      </c>
      <c r="L202">
        <v>0</v>
      </c>
      <c r="M202" s="4">
        <v>2005</v>
      </c>
      <c r="N202" s="4" t="s">
        <v>680</v>
      </c>
      <c r="O202" s="4" t="s">
        <v>27</v>
      </c>
      <c r="P202" s="4"/>
      <c r="Q202" s="4"/>
      <c r="R202" s="4">
        <v>47.388475999999997</v>
      </c>
      <c r="S202" s="4">
        <v>15.095160999999999</v>
      </c>
      <c r="T202" s="4" t="s">
        <v>700</v>
      </c>
      <c r="U202" s="4">
        <v>7.9</v>
      </c>
      <c r="V202" s="4">
        <v>150</v>
      </c>
      <c r="W202" s="4">
        <v>43</v>
      </c>
      <c r="X202" s="6">
        <f>125/$U202*$G202</f>
        <v>158.22784810126581</v>
      </c>
      <c r="Y202" s="9"/>
      <c r="Z202" s="9"/>
      <c r="AA202" s="4"/>
      <c r="AB202" s="4"/>
      <c r="AC202" s="4"/>
      <c r="AD202" s="4"/>
      <c r="AG202" s="4"/>
      <c r="AH202" s="4"/>
      <c r="AI202" s="4"/>
      <c r="AJ202" s="4"/>
      <c r="AK202" s="4"/>
    </row>
    <row r="203" spans="1:37" x14ac:dyDescent="0.25">
      <c r="A203" t="s">
        <v>22</v>
      </c>
      <c r="B203" t="s">
        <v>280</v>
      </c>
      <c r="C203" t="s">
        <v>281</v>
      </c>
      <c r="D203">
        <v>8564</v>
      </c>
      <c r="E203" t="s">
        <v>282</v>
      </c>
      <c r="F203" t="s">
        <v>24</v>
      </c>
      <c r="G203">
        <v>30</v>
      </c>
      <c r="H203" t="s">
        <v>25</v>
      </c>
      <c r="I203" t="s">
        <v>36</v>
      </c>
      <c r="L203">
        <v>0</v>
      </c>
      <c r="M203">
        <v>1925</v>
      </c>
      <c r="O203" t="s">
        <v>27</v>
      </c>
      <c r="R203">
        <v>47.018219999999999</v>
      </c>
      <c r="S203">
        <v>15.160640000000001</v>
      </c>
      <c r="T203" t="s">
        <v>703</v>
      </c>
      <c r="U203">
        <v>245.5</v>
      </c>
      <c r="V203">
        <v>5.5</v>
      </c>
      <c r="W203">
        <v>5</v>
      </c>
      <c r="X203" s="6">
        <f>125/$U203*$G203</f>
        <v>15.274949083503055</v>
      </c>
      <c r="Y203" s="7">
        <v>320000</v>
      </c>
      <c r="Z203" s="11">
        <f>Y203/V203/60/60*G203/1000</f>
        <v>0.48484848484848486</v>
      </c>
      <c r="AB203">
        <v>0</v>
      </c>
      <c r="AD203">
        <f>ROUND(0.95*IF($T203="Pelton",0.875,IF($T203="Kaplan",0.9,0.925))*IF($I203="Pumped Storage",0.875,1),2)</f>
        <v>0.88</v>
      </c>
      <c r="AE203">
        <f>ROUND(SQRT($AD203),3)*0.975</f>
        <v>0.91454999999999997</v>
      </c>
      <c r="AF203">
        <f>ROUND(SQRT($AD203),3)*1.025</f>
        <v>0.9614499999999998</v>
      </c>
    </row>
    <row r="204" spans="1:37" x14ac:dyDescent="0.25">
      <c r="A204" t="s">
        <v>22</v>
      </c>
      <c r="B204" t="s">
        <v>390</v>
      </c>
      <c r="C204" t="s">
        <v>601</v>
      </c>
      <c r="D204">
        <v>8600</v>
      </c>
      <c r="E204" t="s">
        <v>602</v>
      </c>
      <c r="F204" t="s">
        <v>24</v>
      </c>
      <c r="G204">
        <v>16</v>
      </c>
      <c r="H204" t="s">
        <v>25</v>
      </c>
      <c r="I204" t="s">
        <v>60</v>
      </c>
      <c r="L204">
        <v>0</v>
      </c>
      <c r="M204">
        <v>1949</v>
      </c>
      <c r="O204" t="s">
        <v>27</v>
      </c>
      <c r="R204">
        <v>47.410400000000003</v>
      </c>
      <c r="S204">
        <v>15.2142</v>
      </c>
      <c r="T204" t="s">
        <v>700</v>
      </c>
      <c r="U204">
        <v>13.3</v>
      </c>
      <c r="V204">
        <v>110</v>
      </c>
      <c r="W204">
        <v>85.9</v>
      </c>
      <c r="X204" s="6">
        <f>125/$U204*$G204</f>
        <v>150.37593984962405</v>
      </c>
    </row>
    <row r="205" spans="1:37" x14ac:dyDescent="0.25">
      <c r="A205" t="s">
        <v>243</v>
      </c>
      <c r="B205" t="s">
        <v>649</v>
      </c>
      <c r="C205" t="s">
        <v>650</v>
      </c>
      <c r="D205">
        <v>3223</v>
      </c>
      <c r="E205" t="s">
        <v>651</v>
      </c>
      <c r="F205" t="s">
        <v>24</v>
      </c>
      <c r="G205">
        <v>7.8</v>
      </c>
      <c r="H205" t="s">
        <v>25</v>
      </c>
      <c r="I205" t="s">
        <v>36</v>
      </c>
      <c r="J205" t="s">
        <v>652</v>
      </c>
      <c r="L205">
        <v>0</v>
      </c>
      <c r="M205">
        <v>1911</v>
      </c>
      <c r="O205" t="s">
        <v>653</v>
      </c>
      <c r="R205">
        <v>47.852482999999999</v>
      </c>
      <c r="S205">
        <v>15.288009000000001</v>
      </c>
      <c r="U205">
        <v>165</v>
      </c>
      <c r="V205" s="3"/>
      <c r="W205" s="3"/>
      <c r="X205" s="3"/>
      <c r="Z205" s="11"/>
      <c r="AB205">
        <v>0</v>
      </c>
      <c r="AD205">
        <f>ROUND(0.95*IF($T205="Pelton",0.875,IF($T205="Kaplan",0.9,0.925))*IF($I205="Pumped Storage",0.875,1),2)</f>
        <v>0.88</v>
      </c>
      <c r="AE205">
        <f>ROUND(SQRT($AD205),3)*0.975</f>
        <v>0.91454999999999997</v>
      </c>
      <c r="AF205">
        <f>ROUND(SQRT($AD205),3)*1.025</f>
        <v>0.9614499999999998</v>
      </c>
    </row>
    <row r="206" spans="1:37" x14ac:dyDescent="0.25">
      <c r="A206" t="s">
        <v>22</v>
      </c>
      <c r="B206" t="s">
        <v>103</v>
      </c>
      <c r="C206" t="s">
        <v>104</v>
      </c>
      <c r="D206">
        <v>1221</v>
      </c>
      <c r="E206" t="s">
        <v>105</v>
      </c>
      <c r="F206" t="s">
        <v>24</v>
      </c>
      <c r="G206">
        <v>187</v>
      </c>
      <c r="H206" t="s">
        <v>25</v>
      </c>
      <c r="I206" t="s">
        <v>60</v>
      </c>
      <c r="L206">
        <v>0</v>
      </c>
      <c r="M206">
        <v>1983</v>
      </c>
      <c r="O206" t="s">
        <v>27</v>
      </c>
      <c r="Q206" t="s">
        <v>106</v>
      </c>
      <c r="R206">
        <v>48.223472000000001</v>
      </c>
      <c r="S206">
        <v>15.304143</v>
      </c>
      <c r="T206" t="s">
        <v>700</v>
      </c>
      <c r="U206">
        <v>9.84</v>
      </c>
      <c r="V206">
        <v>2700</v>
      </c>
      <c r="W206">
        <v>1221.5999999999999</v>
      </c>
      <c r="X206" s="6">
        <f>125/$U206*$G206</f>
        <v>2375.5081300813008</v>
      </c>
    </row>
    <row r="207" spans="1:37" x14ac:dyDescent="0.25">
      <c r="A207" t="s">
        <v>22</v>
      </c>
      <c r="B207" t="s">
        <v>415</v>
      </c>
      <c r="C207" t="s">
        <v>604</v>
      </c>
      <c r="D207">
        <v>8130</v>
      </c>
      <c r="E207" t="s">
        <v>585</v>
      </c>
      <c r="F207" t="s">
        <v>24</v>
      </c>
      <c r="G207">
        <v>14</v>
      </c>
      <c r="H207" t="s">
        <v>25</v>
      </c>
      <c r="I207" t="s">
        <v>60</v>
      </c>
      <c r="L207">
        <v>0</v>
      </c>
      <c r="M207">
        <v>1987</v>
      </c>
      <c r="O207" t="s">
        <v>27</v>
      </c>
      <c r="R207">
        <v>47.250799999999998</v>
      </c>
      <c r="S207">
        <v>15.31</v>
      </c>
      <c r="T207" t="s">
        <v>700</v>
      </c>
      <c r="U207">
        <v>8.1</v>
      </c>
      <c r="V207">
        <v>180</v>
      </c>
      <c r="W207">
        <v>64.5</v>
      </c>
      <c r="X207" s="6">
        <f>125/$U207*$G207</f>
        <v>216.04938271604939</v>
      </c>
    </row>
    <row r="208" spans="1:37" x14ac:dyDescent="0.25">
      <c r="A208" s="3" t="s">
        <v>22</v>
      </c>
      <c r="B208" s="3" t="s">
        <v>434</v>
      </c>
      <c r="C208" t="s">
        <v>410</v>
      </c>
      <c r="D208">
        <v>8114</v>
      </c>
      <c r="E208" t="s">
        <v>434</v>
      </c>
      <c r="F208" t="s">
        <v>24</v>
      </c>
      <c r="G208">
        <v>12</v>
      </c>
      <c r="H208" t="s">
        <v>25</v>
      </c>
      <c r="I208" t="s">
        <v>60</v>
      </c>
      <c r="L208">
        <v>0</v>
      </c>
      <c r="M208" s="3" t="s">
        <v>43</v>
      </c>
      <c r="O208" t="s">
        <v>27</v>
      </c>
      <c r="R208">
        <v>47.175224999999998</v>
      </c>
      <c r="S208">
        <v>15.320385</v>
      </c>
      <c r="U208" s="3"/>
      <c r="V208" s="3"/>
      <c r="W208">
        <v>57.8</v>
      </c>
      <c r="X208" s="6" t="e">
        <f>125/$U208*$G208</f>
        <v>#DIV/0!</v>
      </c>
    </row>
    <row r="209" spans="1:32" x14ac:dyDescent="0.25">
      <c r="A209" t="s">
        <v>22</v>
      </c>
      <c r="B209" t="s">
        <v>357</v>
      </c>
      <c r="C209" t="s">
        <v>584</v>
      </c>
      <c r="D209">
        <v>8130</v>
      </c>
      <c r="E209" t="s">
        <v>585</v>
      </c>
      <c r="F209" t="s">
        <v>24</v>
      </c>
      <c r="G209">
        <v>18</v>
      </c>
      <c r="H209" t="s">
        <v>25</v>
      </c>
      <c r="I209" t="s">
        <v>60</v>
      </c>
      <c r="L209">
        <v>0</v>
      </c>
      <c r="M209">
        <v>1931</v>
      </c>
      <c r="O209" t="s">
        <v>27</v>
      </c>
      <c r="R209">
        <v>47.292402000000003</v>
      </c>
      <c r="S209">
        <v>15.323134</v>
      </c>
      <c r="T209" t="s">
        <v>700</v>
      </c>
      <c r="U209">
        <v>18.600000000000001</v>
      </c>
      <c r="V209">
        <v>110</v>
      </c>
      <c r="W209">
        <v>121</v>
      </c>
      <c r="X209" s="6">
        <f>125/$U209*$G209</f>
        <v>120.96774193548386</v>
      </c>
    </row>
    <row r="210" spans="1:32" x14ac:dyDescent="0.25">
      <c r="A210" t="s">
        <v>243</v>
      </c>
      <c r="B210" t="s">
        <v>244</v>
      </c>
      <c r="C210" t="s">
        <v>245</v>
      </c>
      <c r="D210">
        <v>3532</v>
      </c>
      <c r="E210" t="s">
        <v>246</v>
      </c>
      <c r="F210" t="s">
        <v>24</v>
      </c>
      <c r="G210">
        <v>41.85</v>
      </c>
      <c r="H210" t="s">
        <v>25</v>
      </c>
      <c r="I210" t="s">
        <v>26</v>
      </c>
      <c r="L210">
        <v>0</v>
      </c>
      <c r="M210">
        <v>1957</v>
      </c>
      <c r="O210" t="s">
        <v>247</v>
      </c>
      <c r="R210">
        <v>48.59243</v>
      </c>
      <c r="S210">
        <v>15.331913999999999</v>
      </c>
      <c r="T210" t="s">
        <v>703</v>
      </c>
      <c r="U210">
        <v>58.7</v>
      </c>
      <c r="V210" s="4">
        <v>100</v>
      </c>
      <c r="W210">
        <v>72.5</v>
      </c>
      <c r="X210" s="6">
        <f>125/$U210*$G210</f>
        <v>89.118398637138</v>
      </c>
      <c r="Y210" s="7">
        <v>51000000</v>
      </c>
      <c r="Z210" s="11">
        <f>Y210/V210/60/60*G210/1000</f>
        <v>5.92875</v>
      </c>
      <c r="AB210" s="3"/>
      <c r="AD210">
        <f>ROUND(0.95*IF($T210="Pelton",0.875,IF($T210="Kaplan",0.9,0.925))*IF($I210="Pumped Storage",0.875,1),2)</f>
        <v>0.77</v>
      </c>
      <c r="AE210">
        <f>ROUND(SQRT($AD210),3)*0.975</f>
        <v>0.85507500000000003</v>
      </c>
      <c r="AF210">
        <f>ROUND(SQRT($AD210),3)*1.025</f>
        <v>0.89892499999999997</v>
      </c>
    </row>
    <row r="211" spans="1:32" x14ac:dyDescent="0.25">
      <c r="A211" t="s">
        <v>22</v>
      </c>
      <c r="B211" t="s">
        <v>334</v>
      </c>
      <c r="C211" t="s">
        <v>574</v>
      </c>
      <c r="D211">
        <v>8132</v>
      </c>
      <c r="E211" t="s">
        <v>575</v>
      </c>
      <c r="F211" t="s">
        <v>24</v>
      </c>
      <c r="G211">
        <v>21.9</v>
      </c>
      <c r="H211" t="s">
        <v>25</v>
      </c>
      <c r="I211" t="s">
        <v>60</v>
      </c>
      <c r="L211">
        <v>0</v>
      </c>
      <c r="M211">
        <v>1927</v>
      </c>
      <c r="N211" t="s">
        <v>680</v>
      </c>
      <c r="O211" t="s">
        <v>27</v>
      </c>
      <c r="R211">
        <v>47.365228999999999</v>
      </c>
      <c r="S211">
        <v>15.334486</v>
      </c>
      <c r="T211" t="s">
        <v>700</v>
      </c>
      <c r="U211">
        <v>17.350000000000001</v>
      </c>
      <c r="V211" s="4">
        <v>160</v>
      </c>
      <c r="W211">
        <v>121.4</v>
      </c>
      <c r="X211" s="6">
        <f>125/$U211*$G211</f>
        <v>157.78097982708931</v>
      </c>
    </row>
    <row r="212" spans="1:32" x14ac:dyDescent="0.25">
      <c r="A212" t="s">
        <v>22</v>
      </c>
      <c r="B212" t="s">
        <v>427</v>
      </c>
      <c r="C212" t="s">
        <v>615</v>
      </c>
      <c r="D212">
        <v>8121</v>
      </c>
      <c r="E212" t="s">
        <v>616</v>
      </c>
      <c r="F212" t="s">
        <v>24</v>
      </c>
      <c r="G212">
        <v>13</v>
      </c>
      <c r="H212" t="s">
        <v>25</v>
      </c>
      <c r="I212" t="s">
        <v>60</v>
      </c>
      <c r="L212">
        <v>0</v>
      </c>
      <c r="M212">
        <v>1965</v>
      </c>
      <c r="O212" t="s">
        <v>27</v>
      </c>
      <c r="R212">
        <v>47.20926</v>
      </c>
      <c r="S212">
        <v>15.335656</v>
      </c>
      <c r="T212" t="s">
        <v>700</v>
      </c>
      <c r="U212">
        <v>12.7</v>
      </c>
      <c r="V212">
        <v>110</v>
      </c>
      <c r="W212">
        <v>84.2</v>
      </c>
      <c r="X212" s="6">
        <f>125/$U212*$G212</f>
        <v>127.95275590551182</v>
      </c>
    </row>
    <row r="213" spans="1:32" x14ac:dyDescent="0.25">
      <c r="A213" t="s">
        <v>22</v>
      </c>
      <c r="B213" t="s">
        <v>433</v>
      </c>
      <c r="C213" t="s">
        <v>619</v>
      </c>
      <c r="D213">
        <v>8120</v>
      </c>
      <c r="E213" t="s">
        <v>427</v>
      </c>
      <c r="F213" t="s">
        <v>24</v>
      </c>
      <c r="G213">
        <v>12</v>
      </c>
      <c r="H213" t="s">
        <v>25</v>
      </c>
      <c r="I213" t="s">
        <v>60</v>
      </c>
      <c r="L213">
        <v>0</v>
      </c>
      <c r="M213">
        <v>1998</v>
      </c>
      <c r="N213" t="s">
        <v>680</v>
      </c>
      <c r="O213" t="s">
        <v>27</v>
      </c>
      <c r="R213">
        <v>47.186512999999998</v>
      </c>
      <c r="S213">
        <v>15.336014</v>
      </c>
      <c r="T213" t="s">
        <v>700</v>
      </c>
      <c r="U213">
        <v>11</v>
      </c>
      <c r="V213" s="4">
        <v>190</v>
      </c>
      <c r="W213">
        <v>60</v>
      </c>
      <c r="X213" s="6">
        <f>125/$U213*$G213</f>
        <v>136.36363636363637</v>
      </c>
    </row>
    <row r="214" spans="1:32" x14ac:dyDescent="0.25">
      <c r="A214" s="4" t="s">
        <v>22</v>
      </c>
      <c r="B214" s="4" t="s">
        <v>443</v>
      </c>
      <c r="C214" t="s">
        <v>410</v>
      </c>
      <c r="D214">
        <v>8101</v>
      </c>
      <c r="E214" t="s">
        <v>443</v>
      </c>
      <c r="F214" t="s">
        <v>24</v>
      </c>
      <c r="G214">
        <v>11</v>
      </c>
      <c r="H214" t="s">
        <v>25</v>
      </c>
      <c r="I214" t="s">
        <v>60</v>
      </c>
      <c r="L214">
        <v>0</v>
      </c>
      <c r="M214" t="s">
        <v>43</v>
      </c>
      <c r="O214" t="s">
        <v>623</v>
      </c>
      <c r="R214">
        <v>47.118817</v>
      </c>
      <c r="S214">
        <v>15.368173000000001</v>
      </c>
      <c r="U214">
        <v>6.5</v>
      </c>
      <c r="V214" s="4">
        <v>205</v>
      </c>
      <c r="W214">
        <v>54.2</v>
      </c>
      <c r="X214" s="6">
        <f>125/$U214*$G214</f>
        <v>211.53846153846152</v>
      </c>
    </row>
    <row r="215" spans="1:32" x14ac:dyDescent="0.25">
      <c r="A215" t="s">
        <v>22</v>
      </c>
      <c r="B215" t="s">
        <v>394</v>
      </c>
      <c r="C215" t="s">
        <v>600</v>
      </c>
      <c r="D215">
        <v>8046</v>
      </c>
      <c r="E215" t="s">
        <v>594</v>
      </c>
      <c r="F215" t="s">
        <v>24</v>
      </c>
      <c r="G215">
        <v>16.5</v>
      </c>
      <c r="H215" t="s">
        <v>25</v>
      </c>
      <c r="I215" t="s">
        <v>60</v>
      </c>
      <c r="L215">
        <v>0</v>
      </c>
      <c r="M215">
        <v>1982</v>
      </c>
      <c r="O215" t="s">
        <v>27</v>
      </c>
      <c r="R215">
        <v>47.108387999999998</v>
      </c>
      <c r="S215">
        <v>15.392094</v>
      </c>
      <c r="T215" t="s">
        <v>700</v>
      </c>
      <c r="U215">
        <v>9.8000000000000007</v>
      </c>
      <c r="V215">
        <v>180</v>
      </c>
      <c r="W215">
        <v>63.4</v>
      </c>
      <c r="X215" s="6">
        <f>125/$U215*$G215</f>
        <v>210.45918367346937</v>
      </c>
    </row>
    <row r="216" spans="1:32" x14ac:dyDescent="0.25">
      <c r="A216" s="4" t="s">
        <v>22</v>
      </c>
      <c r="B216" s="4" t="s">
        <v>391</v>
      </c>
      <c r="D216">
        <v>8041</v>
      </c>
      <c r="E216" t="s">
        <v>594</v>
      </c>
      <c r="F216" t="s">
        <v>24</v>
      </c>
      <c r="G216">
        <v>17.7</v>
      </c>
      <c r="H216" t="s">
        <v>25</v>
      </c>
      <c r="I216" t="s">
        <v>60</v>
      </c>
      <c r="L216">
        <v>0</v>
      </c>
      <c r="M216" t="s">
        <v>595</v>
      </c>
      <c r="O216" t="s">
        <v>27</v>
      </c>
      <c r="R216">
        <v>47.039749</v>
      </c>
      <c r="S216">
        <v>15.442537</v>
      </c>
      <c r="U216">
        <v>9.65</v>
      </c>
      <c r="V216" s="4">
        <v>200</v>
      </c>
      <c r="W216">
        <v>82</v>
      </c>
      <c r="X216" s="6">
        <f>125/$U216*$G216</f>
        <v>229.27461139896371</v>
      </c>
    </row>
    <row r="217" spans="1:32" x14ac:dyDescent="0.25">
      <c r="A217" t="s">
        <v>243</v>
      </c>
      <c r="B217" t="s">
        <v>371</v>
      </c>
      <c r="C217" t="s">
        <v>590</v>
      </c>
      <c r="D217">
        <v>3543</v>
      </c>
      <c r="E217" t="s">
        <v>591</v>
      </c>
      <c r="F217" t="s">
        <v>24</v>
      </c>
      <c r="G217">
        <v>16.8</v>
      </c>
      <c r="H217" t="s">
        <v>25</v>
      </c>
      <c r="I217" t="s">
        <v>36</v>
      </c>
      <c r="J217" t="s">
        <v>372</v>
      </c>
      <c r="L217">
        <v>0</v>
      </c>
      <c r="M217">
        <v>1953</v>
      </c>
      <c r="O217" t="s">
        <v>373</v>
      </c>
      <c r="R217">
        <v>48.589275000000001</v>
      </c>
      <c r="S217">
        <v>15.443194</v>
      </c>
      <c r="T217" t="s">
        <v>703</v>
      </c>
      <c r="U217">
        <v>66.2</v>
      </c>
      <c r="V217">
        <v>30</v>
      </c>
      <c r="W217" s="3"/>
      <c r="X217" s="6">
        <f>125/$U217*$G217</f>
        <v>31.722054380664652</v>
      </c>
      <c r="Y217" s="7">
        <v>18600000</v>
      </c>
      <c r="Z217" s="11">
        <f>Y217/V217/60/60*G217/1000</f>
        <v>2.8933333333333335</v>
      </c>
      <c r="AB217">
        <v>0</v>
      </c>
      <c r="AD217">
        <f>ROUND(0.95*IF($T217="Pelton",0.875,IF($T217="Kaplan",0.9,0.925))*IF($I217="Pumped Storage",0.875,1),2)</f>
        <v>0.88</v>
      </c>
      <c r="AE217">
        <f>ROUND(SQRT($AD217),3)*0.975</f>
        <v>0.91454999999999997</v>
      </c>
      <c r="AF217">
        <f>ROUND(SQRT($AD217),3)*1.025</f>
        <v>0.9614499999999998</v>
      </c>
    </row>
    <row r="218" spans="1:32" x14ac:dyDescent="0.25">
      <c r="A218" t="s">
        <v>22</v>
      </c>
      <c r="B218" t="s">
        <v>350</v>
      </c>
      <c r="C218" t="s">
        <v>410</v>
      </c>
      <c r="D218">
        <v>8077</v>
      </c>
      <c r="E218" t="s">
        <v>350</v>
      </c>
      <c r="F218" t="s">
        <v>24</v>
      </c>
      <c r="G218">
        <v>18.75</v>
      </c>
      <c r="H218" t="s">
        <v>25</v>
      </c>
      <c r="I218" t="s">
        <v>60</v>
      </c>
      <c r="L218">
        <v>0</v>
      </c>
      <c r="M218">
        <v>2012</v>
      </c>
      <c r="O218" t="s">
        <v>27</v>
      </c>
      <c r="R218">
        <v>46.997841000000001</v>
      </c>
      <c r="S218">
        <v>15.467518999999999</v>
      </c>
      <c r="T218" t="s">
        <v>700</v>
      </c>
      <c r="U218">
        <v>11.18</v>
      </c>
      <c r="V218">
        <v>200</v>
      </c>
      <c r="W218">
        <v>88.6</v>
      </c>
      <c r="X218" s="6">
        <f>125/$U218*$G218</f>
        <v>209.63774597495529</v>
      </c>
    </row>
    <row r="219" spans="1:32" x14ac:dyDescent="0.25">
      <c r="A219" t="s">
        <v>22</v>
      </c>
      <c r="B219" t="s">
        <v>392</v>
      </c>
      <c r="C219" t="s">
        <v>598</v>
      </c>
      <c r="D219">
        <v>8410</v>
      </c>
      <c r="E219" t="s">
        <v>599</v>
      </c>
      <c r="F219" t="s">
        <v>24</v>
      </c>
      <c r="G219">
        <v>16</v>
      </c>
      <c r="H219" t="s">
        <v>25</v>
      </c>
      <c r="I219" t="s">
        <v>60</v>
      </c>
      <c r="L219">
        <v>0</v>
      </c>
      <c r="M219">
        <v>1985</v>
      </c>
      <c r="N219" t="s">
        <v>680</v>
      </c>
      <c r="O219" t="s">
        <v>27</v>
      </c>
      <c r="R219">
        <v>46.911628999999998</v>
      </c>
      <c r="S219">
        <v>15.486243</v>
      </c>
      <c r="T219" t="s">
        <v>700</v>
      </c>
      <c r="U219">
        <v>9.6</v>
      </c>
      <c r="V219" s="4">
        <v>180</v>
      </c>
      <c r="W219">
        <v>73.400000000000006</v>
      </c>
      <c r="X219" s="6">
        <f>125/$U219*$G219</f>
        <v>208.33333333333334</v>
      </c>
    </row>
    <row r="220" spans="1:32" x14ac:dyDescent="0.25">
      <c r="A220" t="s">
        <v>22</v>
      </c>
      <c r="B220" t="s">
        <v>351</v>
      </c>
      <c r="C220" t="s">
        <v>410</v>
      </c>
      <c r="D220">
        <v>8072</v>
      </c>
      <c r="E220" t="s">
        <v>351</v>
      </c>
      <c r="F220" t="s">
        <v>24</v>
      </c>
      <c r="G220">
        <v>18.5</v>
      </c>
      <c r="H220" t="s">
        <v>25</v>
      </c>
      <c r="I220" t="s">
        <v>60</v>
      </c>
      <c r="L220">
        <v>0</v>
      </c>
      <c r="M220">
        <v>2013</v>
      </c>
      <c r="O220" t="s">
        <v>27</v>
      </c>
      <c r="R220">
        <v>46.944096999999999</v>
      </c>
      <c r="S220">
        <v>15.503629999999999</v>
      </c>
      <c r="T220" t="s">
        <v>700</v>
      </c>
      <c r="U220">
        <v>11.21</v>
      </c>
      <c r="V220">
        <v>200</v>
      </c>
      <c r="W220">
        <v>81.209999999999994</v>
      </c>
      <c r="X220" s="6">
        <f>125/$U220*$G220</f>
        <v>206.28902765388045</v>
      </c>
    </row>
    <row r="221" spans="1:32" x14ac:dyDescent="0.25">
      <c r="A221" s="4" t="s">
        <v>22</v>
      </c>
      <c r="B221" s="4" t="s">
        <v>341</v>
      </c>
      <c r="C221" t="s">
        <v>410</v>
      </c>
      <c r="D221">
        <v>8403</v>
      </c>
      <c r="E221" t="s">
        <v>576</v>
      </c>
      <c r="F221" t="s">
        <v>24</v>
      </c>
      <c r="G221">
        <v>20.2</v>
      </c>
      <c r="H221" t="s">
        <v>25</v>
      </c>
      <c r="I221" t="s">
        <v>60</v>
      </c>
      <c r="L221">
        <v>0</v>
      </c>
      <c r="M221">
        <v>1988</v>
      </c>
      <c r="N221" t="s">
        <v>679</v>
      </c>
      <c r="O221" t="s">
        <v>27</v>
      </c>
      <c r="R221">
        <v>46.857847</v>
      </c>
      <c r="S221">
        <v>15.5373</v>
      </c>
      <c r="T221" t="s">
        <v>700</v>
      </c>
      <c r="U221" s="4">
        <v>10.199999999999999</v>
      </c>
      <c r="V221">
        <v>200</v>
      </c>
      <c r="W221">
        <v>83.9</v>
      </c>
      <c r="X221" s="6">
        <f>125/$U221*$G221</f>
        <v>247.54901960784315</v>
      </c>
    </row>
    <row r="222" spans="1:32" x14ac:dyDescent="0.25">
      <c r="A222" t="s">
        <v>22</v>
      </c>
      <c r="B222" t="s">
        <v>408</v>
      </c>
      <c r="C222" t="s">
        <v>603</v>
      </c>
      <c r="D222">
        <v>8403</v>
      </c>
      <c r="E222" t="s">
        <v>408</v>
      </c>
      <c r="F222" t="s">
        <v>24</v>
      </c>
      <c r="G222">
        <v>15</v>
      </c>
      <c r="H222" t="s">
        <v>25</v>
      </c>
      <c r="I222" t="s">
        <v>60</v>
      </c>
      <c r="L222">
        <v>0</v>
      </c>
      <c r="M222">
        <v>2012</v>
      </c>
      <c r="O222" t="s">
        <v>27</v>
      </c>
      <c r="R222">
        <v>46.828285000000001</v>
      </c>
      <c r="S222">
        <v>15.566222</v>
      </c>
      <c r="T222" t="s">
        <v>700</v>
      </c>
      <c r="U222">
        <v>8.3000000000000007</v>
      </c>
      <c r="V222">
        <v>200</v>
      </c>
      <c r="W222">
        <v>71</v>
      </c>
      <c r="X222" s="6">
        <f>125/$U222*$G222</f>
        <v>225.90361445783131</v>
      </c>
    </row>
    <row r="223" spans="1:32" x14ac:dyDescent="0.25">
      <c r="A223" t="s">
        <v>22</v>
      </c>
      <c r="B223" t="s">
        <v>426</v>
      </c>
      <c r="C223" t="s">
        <v>614</v>
      </c>
      <c r="D223">
        <v>8461</v>
      </c>
      <c r="E223" t="s">
        <v>426</v>
      </c>
      <c r="F223" t="s">
        <v>24</v>
      </c>
      <c r="G223">
        <v>13</v>
      </c>
      <c r="H223" t="s">
        <v>25</v>
      </c>
      <c r="I223" t="s">
        <v>60</v>
      </c>
      <c r="L223">
        <v>0</v>
      </c>
      <c r="M223">
        <v>1978</v>
      </c>
      <c r="O223" t="s">
        <v>27</v>
      </c>
      <c r="R223">
        <v>46.745775999999999</v>
      </c>
      <c r="S223">
        <v>15.571427999999999</v>
      </c>
      <c r="T223" t="s">
        <v>700</v>
      </c>
      <c r="U223">
        <v>7.12</v>
      </c>
      <c r="V223">
        <v>240</v>
      </c>
      <c r="W223">
        <v>59.4</v>
      </c>
      <c r="X223" s="6">
        <f>125/$U223*$G223</f>
        <v>228.2303370786517</v>
      </c>
    </row>
    <row r="224" spans="1:32" x14ac:dyDescent="0.25">
      <c r="A224" t="s">
        <v>22</v>
      </c>
      <c r="B224" t="s">
        <v>414</v>
      </c>
      <c r="C224" t="s">
        <v>605</v>
      </c>
      <c r="D224">
        <v>8430</v>
      </c>
      <c r="E224" t="s">
        <v>606</v>
      </c>
      <c r="F224" t="s">
        <v>24</v>
      </c>
      <c r="G224">
        <v>14</v>
      </c>
      <c r="H224" t="s">
        <v>25</v>
      </c>
      <c r="I224" t="s">
        <v>60</v>
      </c>
      <c r="L224">
        <v>0</v>
      </c>
      <c r="M224">
        <v>1974</v>
      </c>
      <c r="N224" t="s">
        <v>680</v>
      </c>
      <c r="O224" t="s">
        <v>27</v>
      </c>
      <c r="R224">
        <v>46.785117999999997</v>
      </c>
      <c r="S224">
        <v>15.585557</v>
      </c>
      <c r="T224" t="s">
        <v>700</v>
      </c>
      <c r="U224">
        <v>8.6</v>
      </c>
      <c r="V224" s="4">
        <v>220</v>
      </c>
      <c r="W224">
        <v>68</v>
      </c>
      <c r="X224" s="6">
        <f>125/$U224*$G224</f>
        <v>203.48837209302326</v>
      </c>
    </row>
    <row r="225" spans="1:29" x14ac:dyDescent="0.25">
      <c r="A225" t="s">
        <v>22</v>
      </c>
      <c r="B225" t="s">
        <v>428</v>
      </c>
      <c r="C225" t="s">
        <v>613</v>
      </c>
      <c r="D225">
        <v>8471</v>
      </c>
      <c r="E225" t="s">
        <v>428</v>
      </c>
      <c r="F225" t="s">
        <v>24</v>
      </c>
      <c r="G225">
        <v>13</v>
      </c>
      <c r="H225" t="s">
        <v>25</v>
      </c>
      <c r="I225" t="s">
        <v>60</v>
      </c>
      <c r="L225">
        <v>0</v>
      </c>
      <c r="M225">
        <v>1982</v>
      </c>
      <c r="N225" t="s">
        <v>680</v>
      </c>
      <c r="O225" t="s">
        <v>27</v>
      </c>
      <c r="R225">
        <v>46.716448999999997</v>
      </c>
      <c r="S225">
        <v>15.621270000000001</v>
      </c>
      <c r="T225" t="s">
        <v>700</v>
      </c>
      <c r="U225">
        <v>6</v>
      </c>
      <c r="V225" s="4">
        <v>240</v>
      </c>
      <c r="W225">
        <v>67</v>
      </c>
      <c r="X225" s="6">
        <f>125/$U225*$G225</f>
        <v>270.83333333333331</v>
      </c>
    </row>
    <row r="226" spans="1:29" x14ac:dyDescent="0.25">
      <c r="A226" t="s">
        <v>22</v>
      </c>
      <c r="B226" t="s">
        <v>58</v>
      </c>
      <c r="C226" t="s">
        <v>511</v>
      </c>
      <c r="D226">
        <v>3470</v>
      </c>
      <c r="E226" t="s">
        <v>59</v>
      </c>
      <c r="F226" t="s">
        <v>24</v>
      </c>
      <c r="G226">
        <v>328</v>
      </c>
      <c r="H226" t="s">
        <v>25</v>
      </c>
      <c r="I226" t="s">
        <v>60</v>
      </c>
      <c r="L226">
        <v>0</v>
      </c>
      <c r="M226">
        <v>1976</v>
      </c>
      <c r="O226" t="s">
        <v>27</v>
      </c>
      <c r="Q226" t="s">
        <v>61</v>
      </c>
      <c r="R226">
        <v>48.374727999999998</v>
      </c>
      <c r="S226">
        <v>15.855343</v>
      </c>
      <c r="T226" t="s">
        <v>700</v>
      </c>
      <c r="U226">
        <v>15.33</v>
      </c>
      <c r="V226">
        <v>2700</v>
      </c>
      <c r="W226" s="4">
        <v>2004</v>
      </c>
      <c r="X226" s="6">
        <f>125/$U226*$G226</f>
        <v>2674.4944553163732</v>
      </c>
    </row>
    <row r="227" spans="1:29" x14ac:dyDescent="0.25">
      <c r="A227" t="s">
        <v>22</v>
      </c>
      <c r="B227" t="s">
        <v>65</v>
      </c>
      <c r="C227" t="s">
        <v>66</v>
      </c>
      <c r="D227">
        <v>3422</v>
      </c>
      <c r="E227" t="s">
        <v>67</v>
      </c>
      <c r="F227" t="s">
        <v>24</v>
      </c>
      <c r="G227">
        <v>293</v>
      </c>
      <c r="H227" t="s">
        <v>25</v>
      </c>
      <c r="I227" t="s">
        <v>60</v>
      </c>
      <c r="L227">
        <v>0</v>
      </c>
      <c r="M227">
        <v>1985</v>
      </c>
      <c r="O227" t="s">
        <v>27</v>
      </c>
      <c r="Q227" t="s">
        <v>68</v>
      </c>
      <c r="R227">
        <v>48.355950999999997</v>
      </c>
      <c r="S227">
        <v>16.241844</v>
      </c>
      <c r="T227" t="s">
        <v>700</v>
      </c>
      <c r="U227">
        <v>12.64</v>
      </c>
      <c r="V227">
        <v>3150</v>
      </c>
      <c r="W227" s="4">
        <v>1752</v>
      </c>
      <c r="X227" s="6">
        <f>125/$U227*$G227</f>
        <v>2897.5474683544303</v>
      </c>
    </row>
    <row r="228" spans="1:29" x14ac:dyDescent="0.25">
      <c r="A228" s="4" t="s">
        <v>22</v>
      </c>
      <c r="B228" s="4" t="s">
        <v>503</v>
      </c>
      <c r="C228" t="s">
        <v>669</v>
      </c>
      <c r="D228">
        <v>1200</v>
      </c>
      <c r="E228" t="s">
        <v>112</v>
      </c>
      <c r="F228" t="s">
        <v>24</v>
      </c>
      <c r="G228">
        <v>5</v>
      </c>
      <c r="H228" t="s">
        <v>25</v>
      </c>
      <c r="I228" t="s">
        <v>60</v>
      </c>
      <c r="L228">
        <v>0</v>
      </c>
      <c r="M228">
        <v>2005</v>
      </c>
      <c r="O228" t="s">
        <v>27</v>
      </c>
      <c r="R228">
        <v>48.259256999999998</v>
      </c>
      <c r="S228">
        <v>16.369185000000002</v>
      </c>
      <c r="T228" t="s">
        <v>700</v>
      </c>
      <c r="U228">
        <v>3.8</v>
      </c>
      <c r="V228">
        <v>132</v>
      </c>
      <c r="W228">
        <v>28.140999999999998</v>
      </c>
      <c r="X228" s="6">
        <f>125/$U228*$G228</f>
        <v>164.47368421052633</v>
      </c>
    </row>
    <row r="229" spans="1:29" x14ac:dyDescent="0.25">
      <c r="A229" t="s">
        <v>22</v>
      </c>
      <c r="B229" t="s">
        <v>110</v>
      </c>
      <c r="C229" t="s">
        <v>111</v>
      </c>
      <c r="D229">
        <v>1020</v>
      </c>
      <c r="E229" t="s">
        <v>112</v>
      </c>
      <c r="F229" t="s">
        <v>24</v>
      </c>
      <c r="G229">
        <v>172</v>
      </c>
      <c r="H229" t="s">
        <v>25</v>
      </c>
      <c r="I229" t="s">
        <v>60</v>
      </c>
      <c r="L229">
        <v>0</v>
      </c>
      <c r="M229">
        <v>1999</v>
      </c>
      <c r="O229" t="s">
        <v>27</v>
      </c>
      <c r="Q229" t="s">
        <v>113</v>
      </c>
      <c r="R229">
        <v>48.176872000000003</v>
      </c>
      <c r="S229">
        <v>16.481753999999999</v>
      </c>
      <c r="T229" t="s">
        <v>700</v>
      </c>
      <c r="U229">
        <v>8.6</v>
      </c>
      <c r="V229">
        <v>3000</v>
      </c>
      <c r="W229" s="4">
        <v>1030</v>
      </c>
      <c r="X229" s="6">
        <f>125/$U229*$G229</f>
        <v>2500</v>
      </c>
    </row>
    <row r="230" spans="1:29" x14ac:dyDescent="0.25">
      <c r="A230" t="s">
        <v>121</v>
      </c>
      <c r="B230" t="s">
        <v>366</v>
      </c>
      <c r="C230" t="s">
        <v>874</v>
      </c>
      <c r="D230">
        <v>9132</v>
      </c>
      <c r="E230" t="s">
        <v>367</v>
      </c>
      <c r="F230" t="s">
        <v>24</v>
      </c>
      <c r="G230">
        <v>16.399999999999999</v>
      </c>
      <c r="H230" t="s">
        <v>25</v>
      </c>
      <c r="I230" t="s">
        <v>36</v>
      </c>
      <c r="J230" t="s">
        <v>875</v>
      </c>
      <c r="L230">
        <v>0</v>
      </c>
      <c r="M230">
        <v>1958</v>
      </c>
      <c r="O230" s="10" t="s">
        <v>877</v>
      </c>
      <c r="P230" s="10" t="s">
        <v>876</v>
      </c>
      <c r="R230">
        <v>46.559386000000003</v>
      </c>
      <c r="S230">
        <v>14.482863625</v>
      </c>
      <c r="U230">
        <v>320</v>
      </c>
      <c r="W230" s="4">
        <v>40</v>
      </c>
      <c r="X230" s="6">
        <f>125/$U230*$G230</f>
        <v>6.4062499999999991</v>
      </c>
      <c r="Y230" s="7">
        <v>5300000</v>
      </c>
    </row>
    <row r="231" spans="1:29" x14ac:dyDescent="0.25">
      <c r="A231" t="s">
        <v>879</v>
      </c>
      <c r="B231" t="s">
        <v>878</v>
      </c>
      <c r="D231">
        <v>6773</v>
      </c>
      <c r="E231" t="s">
        <v>881</v>
      </c>
      <c r="F231" t="s">
        <v>24</v>
      </c>
      <c r="G231">
        <v>12</v>
      </c>
      <c r="H231" t="s">
        <v>25</v>
      </c>
      <c r="I231" t="s">
        <v>26</v>
      </c>
      <c r="L231">
        <v>0</v>
      </c>
      <c r="M231">
        <v>2017</v>
      </c>
      <c r="O231" t="s">
        <v>880</v>
      </c>
      <c r="R231">
        <v>47.076878749999999</v>
      </c>
      <c r="S231">
        <v>9.8019014999999996</v>
      </c>
      <c r="U231">
        <v>522</v>
      </c>
      <c r="V231">
        <v>2.6</v>
      </c>
      <c r="X231" s="6">
        <f>125/$U231*$G231</f>
        <v>2.8735632183908044</v>
      </c>
      <c r="Y231" s="7">
        <v>44000</v>
      </c>
      <c r="AC231">
        <v>15</v>
      </c>
    </row>
    <row r="232" spans="1:29" x14ac:dyDescent="0.25">
      <c r="A232" t="s">
        <v>879</v>
      </c>
      <c r="B232" t="s">
        <v>882</v>
      </c>
      <c r="D232">
        <v>6794</v>
      </c>
      <c r="E232" t="s">
        <v>31</v>
      </c>
      <c r="F232" t="s">
        <v>24</v>
      </c>
      <c r="G232">
        <v>360</v>
      </c>
      <c r="H232" t="s">
        <v>25</v>
      </c>
      <c r="I232" t="s">
        <v>26</v>
      </c>
      <c r="L232">
        <v>0</v>
      </c>
      <c r="M232">
        <v>2019</v>
      </c>
      <c r="O232" s="10" t="s">
        <v>883</v>
      </c>
      <c r="P232" s="10" t="s">
        <v>884</v>
      </c>
      <c r="R232">
        <v>46.934984749999998</v>
      </c>
      <c r="S232">
        <v>10.061124</v>
      </c>
      <c r="U232">
        <v>291</v>
      </c>
      <c r="V232">
        <v>150</v>
      </c>
      <c r="X232" s="6">
        <f>125/$U232*$G232</f>
        <v>154.63917525773195</v>
      </c>
      <c r="AC232">
        <v>360</v>
      </c>
    </row>
  </sheetData>
  <autoFilter ref="A1:AK229" xr:uid="{00000000-0009-0000-0000-000000000000}">
    <sortState xmlns:xlrd2="http://schemas.microsoft.com/office/spreadsheetml/2017/richdata2" ref="A2:AK229">
      <sortCondition ref="S1:S229"/>
    </sortState>
  </autoFilter>
  <hyperlinks>
    <hyperlink ref="O36" r:id="rId1" xr:uid="{00000000-0004-0000-0000-000000000000}"/>
    <hyperlink ref="O42" r:id="rId2" xr:uid="{00000000-0004-0000-0000-000001000000}"/>
    <hyperlink ref="O54" r:id="rId3" xr:uid="{00000000-0004-0000-0000-000002000000}"/>
    <hyperlink ref="P230" r:id="rId4" xr:uid="{4FBE3483-F6B7-4760-9789-314005BE5BB3}"/>
    <hyperlink ref="O230" r:id="rId5" xr:uid="{E021B9E8-66CC-43B5-A00C-6FC0CF6C6ABE}"/>
    <hyperlink ref="O232" r:id="rId6" xr:uid="{7436F8AF-F032-45D2-98C9-96E6474B16ED}"/>
    <hyperlink ref="P232" r:id="rId7" xr:uid="{9CDE8EF9-D6C0-422F-8C0A-E195F9EE072D}"/>
  </hyperlinks>
  <pageMargins left="0.7" right="0.7" top="0.78740157499999996" bottom="0.78740157499999996" header="0.3" footer="0.3"/>
  <pageSetup paperSize="9" orientation="portrait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3FFD-F84D-4D5F-B28C-1A307FDB6FA6}">
  <dimension ref="A1:AK32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3" sqref="A3:AC32"/>
    </sheetView>
  </sheetViews>
  <sheetFormatPr baseColWidth="10" defaultRowHeight="15" x14ac:dyDescent="0.25"/>
  <cols>
    <col min="1" max="1" width="29.85546875" bestFit="1" customWidth="1"/>
    <col min="2" max="2" width="35.5703125" bestFit="1" customWidth="1"/>
    <col min="3" max="3" width="20.42578125" hidden="1" customWidth="1"/>
    <col min="4" max="6" width="0" hidden="1" customWidth="1"/>
    <col min="9" max="9" width="15.42578125" bestFit="1" customWidth="1"/>
    <col min="10" max="12" width="0" hidden="1" customWidth="1"/>
  </cols>
  <sheetData>
    <row r="1" spans="1:37" s="19" customFormat="1" ht="29.2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724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702</v>
      </c>
      <c r="Q1" s="16" t="s">
        <v>14</v>
      </c>
      <c r="R1" s="16" t="s">
        <v>15</v>
      </c>
      <c r="S1" s="16" t="s">
        <v>16</v>
      </c>
      <c r="T1" s="16" t="s">
        <v>699</v>
      </c>
      <c r="U1" s="17" t="s">
        <v>17</v>
      </c>
      <c r="V1" s="17" t="s">
        <v>18</v>
      </c>
      <c r="W1" s="17" t="s">
        <v>19</v>
      </c>
      <c r="X1" s="20" t="s">
        <v>675</v>
      </c>
      <c r="Y1" s="18" t="s">
        <v>20</v>
      </c>
      <c r="Z1" s="18" t="s">
        <v>726</v>
      </c>
      <c r="AA1" s="17" t="s">
        <v>21</v>
      </c>
      <c r="AB1" s="17" t="s">
        <v>725</v>
      </c>
      <c r="AC1" s="17" t="s">
        <v>691</v>
      </c>
      <c r="AD1" s="17" t="s">
        <v>723</v>
      </c>
      <c r="AE1" s="17" t="s">
        <v>727</v>
      </c>
      <c r="AF1" s="17" t="s">
        <v>728</v>
      </c>
      <c r="AG1" s="17" t="s">
        <v>695</v>
      </c>
      <c r="AH1" s="17"/>
      <c r="AI1" s="17"/>
      <c r="AJ1" s="17"/>
      <c r="AK1" s="17"/>
    </row>
    <row r="2" spans="1:37" x14ac:dyDescent="0.25">
      <c r="A2" s="15" t="s">
        <v>0</v>
      </c>
      <c r="B2" s="15" t="s">
        <v>744</v>
      </c>
      <c r="C2" s="15" t="s">
        <v>2</v>
      </c>
      <c r="D2" s="15" t="s">
        <v>3</v>
      </c>
      <c r="E2" s="15" t="s">
        <v>4</v>
      </c>
      <c r="F2" s="15" t="s">
        <v>745</v>
      </c>
      <c r="G2" s="15" t="s">
        <v>746</v>
      </c>
      <c r="H2" s="15" t="s">
        <v>747</v>
      </c>
      <c r="I2" s="15" t="s">
        <v>7</v>
      </c>
      <c r="M2" t="s">
        <v>11</v>
      </c>
      <c r="R2" t="s">
        <v>15</v>
      </c>
      <c r="S2" t="s">
        <v>16</v>
      </c>
      <c r="X2" s="21"/>
    </row>
    <row r="3" spans="1:37" x14ac:dyDescent="0.25">
      <c r="A3" t="s">
        <v>731</v>
      </c>
      <c r="B3" t="s">
        <v>729</v>
      </c>
      <c r="C3" t="s">
        <v>734</v>
      </c>
      <c r="D3" t="s">
        <v>735</v>
      </c>
      <c r="E3" t="s">
        <v>736</v>
      </c>
      <c r="F3" t="s">
        <v>743</v>
      </c>
      <c r="G3">
        <v>15</v>
      </c>
      <c r="H3" t="s">
        <v>25</v>
      </c>
      <c r="I3" t="s">
        <v>36</v>
      </c>
      <c r="M3">
        <v>1965</v>
      </c>
      <c r="O3" s="10" t="s">
        <v>835</v>
      </c>
      <c r="R3">
        <v>51.093173</v>
      </c>
      <c r="S3">
        <v>7.8627199999999986</v>
      </c>
      <c r="T3" t="s">
        <v>703</v>
      </c>
      <c r="U3">
        <v>53</v>
      </c>
      <c r="V3">
        <f>3*10.5+1.5</f>
        <v>33</v>
      </c>
      <c r="W3">
        <v>22</v>
      </c>
      <c r="X3" s="22">
        <f t="shared" ref="X3:X32" si="0">125/$U3*$G3</f>
        <v>35.377358490566039</v>
      </c>
      <c r="Y3" s="7">
        <v>171700000</v>
      </c>
      <c r="Z3" s="14">
        <f>Y3/V3/60/60*G3/1000</f>
        <v>21.679292929292931</v>
      </c>
    </row>
    <row r="4" spans="1:37" x14ac:dyDescent="0.25">
      <c r="A4" t="s">
        <v>765</v>
      </c>
      <c r="B4" t="s">
        <v>809</v>
      </c>
      <c r="C4" t="s">
        <v>810</v>
      </c>
      <c r="D4" t="s">
        <v>811</v>
      </c>
      <c r="E4" t="s">
        <v>812</v>
      </c>
      <c r="F4" t="s">
        <v>743</v>
      </c>
      <c r="G4">
        <v>79.8</v>
      </c>
      <c r="H4" t="s">
        <v>25</v>
      </c>
      <c r="I4" t="s">
        <v>748</v>
      </c>
      <c r="M4">
        <v>1932</v>
      </c>
      <c r="O4" s="10" t="s">
        <v>842</v>
      </c>
      <c r="P4" s="10" t="s">
        <v>859</v>
      </c>
      <c r="R4">
        <v>50.524384820000002</v>
      </c>
      <c r="S4">
        <v>11.714386940000001</v>
      </c>
      <c r="T4" t="s">
        <v>703</v>
      </c>
      <c r="U4">
        <v>49</v>
      </c>
      <c r="V4">
        <f>2*90</f>
        <v>180</v>
      </c>
      <c r="W4">
        <v>40</v>
      </c>
      <c r="X4" s="22">
        <f t="shared" si="0"/>
        <v>203.57142857142856</v>
      </c>
      <c r="Y4" s="7">
        <v>213000000</v>
      </c>
      <c r="Z4" s="14">
        <f t="shared" ref="Z4:Z32" si="1">Y4/V4/60/60*G4/1000</f>
        <v>26.230555555555554</v>
      </c>
      <c r="AA4">
        <v>0.753</v>
      </c>
      <c r="AB4">
        <v>15</v>
      </c>
      <c r="AC4">
        <v>25</v>
      </c>
    </row>
    <row r="5" spans="1:37" x14ac:dyDescent="0.25">
      <c r="A5" t="s">
        <v>790</v>
      </c>
      <c r="B5" t="s">
        <v>789</v>
      </c>
      <c r="D5" t="s">
        <v>793</v>
      </c>
      <c r="E5" t="s">
        <v>795</v>
      </c>
      <c r="F5" t="s">
        <v>743</v>
      </c>
      <c r="G5">
        <v>220</v>
      </c>
      <c r="H5" t="s">
        <v>25</v>
      </c>
      <c r="I5" t="s">
        <v>748</v>
      </c>
      <c r="M5">
        <v>1964</v>
      </c>
      <c r="O5" s="10" t="s">
        <v>849</v>
      </c>
      <c r="R5">
        <v>51.899120000000003</v>
      </c>
      <c r="S5">
        <v>9.9245199999999993</v>
      </c>
      <c r="T5" t="s">
        <v>703</v>
      </c>
      <c r="U5">
        <v>286.7</v>
      </c>
      <c r="V5" s="3">
        <v>96</v>
      </c>
      <c r="X5" s="22">
        <f t="shared" si="0"/>
        <v>95.919079176839901</v>
      </c>
      <c r="Y5" s="7">
        <v>1618000</v>
      </c>
      <c r="Z5" s="14">
        <f t="shared" si="1"/>
        <v>1.0299768518518517</v>
      </c>
      <c r="AA5">
        <v>1.032</v>
      </c>
      <c r="AB5">
        <v>200</v>
      </c>
    </row>
    <row r="6" spans="1:37" x14ac:dyDescent="0.25">
      <c r="A6" t="s">
        <v>765</v>
      </c>
      <c r="B6" t="s">
        <v>762</v>
      </c>
      <c r="C6" t="s">
        <v>767</v>
      </c>
      <c r="D6" t="s">
        <v>769</v>
      </c>
      <c r="E6" t="s">
        <v>762</v>
      </c>
      <c r="F6" t="s">
        <v>743</v>
      </c>
      <c r="G6">
        <v>119.1</v>
      </c>
      <c r="H6" t="s">
        <v>25</v>
      </c>
      <c r="I6" t="s">
        <v>748</v>
      </c>
      <c r="M6">
        <v>1958</v>
      </c>
      <c r="O6" s="10" t="s">
        <v>843</v>
      </c>
      <c r="P6" s="10" t="s">
        <v>859</v>
      </c>
      <c r="R6">
        <v>53.426049999999996</v>
      </c>
      <c r="S6">
        <v>10.335900000000001</v>
      </c>
      <c r="T6" t="s">
        <v>703</v>
      </c>
      <c r="U6">
        <v>80</v>
      </c>
      <c r="V6">
        <f>3*66.3</f>
        <v>198.89999999999998</v>
      </c>
      <c r="X6" s="22">
        <f t="shared" si="0"/>
        <v>186.09375</v>
      </c>
      <c r="Y6" s="7">
        <v>3000000</v>
      </c>
      <c r="Z6" s="14">
        <f t="shared" si="1"/>
        <v>0.49899446958270494</v>
      </c>
      <c r="AA6">
        <v>0.6</v>
      </c>
      <c r="AB6">
        <f>3*32</f>
        <v>96</v>
      </c>
      <c r="AC6">
        <f>3*33</f>
        <v>99</v>
      </c>
    </row>
    <row r="7" spans="1:37" x14ac:dyDescent="0.25">
      <c r="A7" t="s">
        <v>765</v>
      </c>
      <c r="B7" t="s">
        <v>764</v>
      </c>
      <c r="C7" t="s">
        <v>768</v>
      </c>
      <c r="D7" t="s">
        <v>771</v>
      </c>
      <c r="E7" t="s">
        <v>764</v>
      </c>
      <c r="F7" t="s">
        <v>743</v>
      </c>
      <c r="G7">
        <v>1052</v>
      </c>
      <c r="H7" t="s">
        <v>25</v>
      </c>
      <c r="I7" t="s">
        <v>748</v>
      </c>
      <c r="M7">
        <v>2004</v>
      </c>
      <c r="O7" s="10" t="s">
        <v>848</v>
      </c>
      <c r="P7" s="10" t="s">
        <v>860</v>
      </c>
      <c r="R7">
        <v>50.509758640000001</v>
      </c>
      <c r="S7">
        <v>11.02087498</v>
      </c>
      <c r="T7" t="s">
        <v>846</v>
      </c>
      <c r="U7">
        <v>302</v>
      </c>
      <c r="V7">
        <f>4*103.3</f>
        <v>413.2</v>
      </c>
      <c r="X7" s="22">
        <f t="shared" si="0"/>
        <v>435.43046357615896</v>
      </c>
      <c r="Y7" s="7">
        <v>12000000</v>
      </c>
      <c r="Z7" s="14">
        <f t="shared" si="1"/>
        <v>8.4866085834140055</v>
      </c>
      <c r="AA7">
        <v>8.48</v>
      </c>
      <c r="AB7" s="4">
        <f>4*265</f>
        <v>1060</v>
      </c>
      <c r="AC7">
        <f>4*80</f>
        <v>320</v>
      </c>
    </row>
    <row r="8" spans="1:37" x14ac:dyDescent="0.25">
      <c r="A8" t="s">
        <v>733</v>
      </c>
      <c r="B8" t="s">
        <v>773</v>
      </c>
      <c r="C8" t="s">
        <v>775</v>
      </c>
      <c r="D8" t="s">
        <v>777</v>
      </c>
      <c r="E8" t="s">
        <v>773</v>
      </c>
      <c r="F8" t="s">
        <v>743</v>
      </c>
      <c r="G8">
        <v>160</v>
      </c>
      <c r="H8" t="s">
        <v>25</v>
      </c>
      <c r="I8" t="s">
        <v>748</v>
      </c>
      <c r="M8">
        <v>1958</v>
      </c>
      <c r="N8" t="s">
        <v>850</v>
      </c>
      <c r="R8">
        <v>49.487119999999997</v>
      </c>
      <c r="S8">
        <v>11.47479</v>
      </c>
      <c r="T8" t="s">
        <v>703</v>
      </c>
      <c r="U8" s="4">
        <v>209</v>
      </c>
      <c r="V8" s="3">
        <v>96</v>
      </c>
      <c r="X8" s="22">
        <f t="shared" si="0"/>
        <v>95.693779904306226</v>
      </c>
      <c r="Y8" s="9">
        <v>1800000</v>
      </c>
      <c r="Z8" s="14">
        <f t="shared" si="1"/>
        <v>0.83333333333333326</v>
      </c>
      <c r="AA8">
        <v>0.9</v>
      </c>
      <c r="AB8" s="23"/>
    </row>
    <row r="9" spans="1:37" x14ac:dyDescent="0.25">
      <c r="A9" t="s">
        <v>732</v>
      </c>
      <c r="B9" t="s">
        <v>774</v>
      </c>
      <c r="C9" t="s">
        <v>776</v>
      </c>
      <c r="D9" t="s">
        <v>778</v>
      </c>
      <c r="E9" t="s">
        <v>774</v>
      </c>
      <c r="F9" t="s">
        <v>743</v>
      </c>
      <c r="G9">
        <v>100</v>
      </c>
      <c r="H9" t="s">
        <v>25</v>
      </c>
      <c r="I9" t="s">
        <v>748</v>
      </c>
      <c r="M9">
        <v>1931</v>
      </c>
      <c r="O9" s="10" t="s">
        <v>838</v>
      </c>
      <c r="R9">
        <v>47.75459</v>
      </c>
      <c r="S9">
        <v>8.1878700000000002</v>
      </c>
      <c r="T9" t="s">
        <v>703</v>
      </c>
      <c r="U9">
        <v>200</v>
      </c>
      <c r="V9">
        <f>4*21.5</f>
        <v>86</v>
      </c>
      <c r="X9" s="22">
        <f t="shared" si="0"/>
        <v>62.5</v>
      </c>
      <c r="Y9" s="7">
        <v>108000000</v>
      </c>
      <c r="Z9" s="14">
        <f t="shared" si="1"/>
        <v>34.883720930232556</v>
      </c>
      <c r="AA9">
        <v>0.46300000000000002</v>
      </c>
      <c r="AB9">
        <f>4*25</f>
        <v>100</v>
      </c>
      <c r="AC9">
        <v>40</v>
      </c>
    </row>
    <row r="10" spans="1:37" x14ac:dyDescent="0.25">
      <c r="A10" t="s">
        <v>733</v>
      </c>
      <c r="B10" t="s">
        <v>751</v>
      </c>
      <c r="C10" t="s">
        <v>752</v>
      </c>
      <c r="D10" t="s">
        <v>741</v>
      </c>
      <c r="E10" t="s">
        <v>742</v>
      </c>
      <c r="F10" t="s">
        <v>743</v>
      </c>
      <c r="G10">
        <v>20</v>
      </c>
      <c r="H10" t="s">
        <v>25</v>
      </c>
      <c r="I10" t="s">
        <v>36</v>
      </c>
      <c r="M10">
        <v>1915</v>
      </c>
      <c r="R10">
        <v>51.167138999999999</v>
      </c>
      <c r="S10">
        <v>9.0468320000000002</v>
      </c>
      <c r="U10" s="3"/>
      <c r="V10" s="3"/>
      <c r="X10" s="22" t="e">
        <f t="shared" si="0"/>
        <v>#DIV/0!</v>
      </c>
      <c r="Y10" s="8"/>
      <c r="Z10" s="14"/>
    </row>
    <row r="11" spans="1:37" x14ac:dyDescent="0.25">
      <c r="A11" t="s">
        <v>765</v>
      </c>
      <c r="B11" t="s">
        <v>783</v>
      </c>
      <c r="C11" t="s">
        <v>785</v>
      </c>
      <c r="D11" t="s">
        <v>786</v>
      </c>
      <c r="E11" t="s">
        <v>787</v>
      </c>
      <c r="F11" t="s">
        <v>743</v>
      </c>
      <c r="G11">
        <v>62.75</v>
      </c>
      <c r="H11" t="s">
        <v>25</v>
      </c>
      <c r="I11" t="s">
        <v>748</v>
      </c>
      <c r="M11">
        <v>1959</v>
      </c>
      <c r="O11" s="10" t="s">
        <v>851</v>
      </c>
      <c r="P11" s="10" t="s">
        <v>859</v>
      </c>
      <c r="R11">
        <v>50.614334229999997</v>
      </c>
      <c r="S11">
        <v>11.49212837</v>
      </c>
      <c r="U11" s="4">
        <v>56</v>
      </c>
      <c r="V11" s="4">
        <v>120</v>
      </c>
      <c r="X11" s="22">
        <f t="shared" si="0"/>
        <v>140.06696428571428</v>
      </c>
      <c r="Y11" s="9">
        <v>181000000</v>
      </c>
      <c r="Z11" s="14">
        <f t="shared" si="1"/>
        <v>26.291087962962962</v>
      </c>
      <c r="AA11">
        <v>0.79500000000000004</v>
      </c>
      <c r="AB11" s="4">
        <f>2*18</f>
        <v>36</v>
      </c>
      <c r="AC11">
        <v>26</v>
      </c>
    </row>
    <row r="12" spans="1:37" x14ac:dyDescent="0.25">
      <c r="A12" t="s">
        <v>765</v>
      </c>
      <c r="B12" t="s">
        <v>784</v>
      </c>
      <c r="C12" t="s">
        <v>785</v>
      </c>
      <c r="D12" t="s">
        <v>786</v>
      </c>
      <c r="E12" t="s">
        <v>787</v>
      </c>
      <c r="F12" t="s">
        <v>743</v>
      </c>
      <c r="G12">
        <v>317.8</v>
      </c>
      <c r="H12" t="s">
        <v>25</v>
      </c>
      <c r="I12" t="s">
        <v>748</v>
      </c>
      <c r="M12">
        <v>1965</v>
      </c>
      <c r="O12" s="10" t="s">
        <v>847</v>
      </c>
      <c r="P12" s="10" t="s">
        <v>860</v>
      </c>
      <c r="R12">
        <v>50.603848980000002</v>
      </c>
      <c r="S12">
        <v>11.475176810000001</v>
      </c>
      <c r="T12" t="s">
        <v>703</v>
      </c>
      <c r="U12">
        <v>302</v>
      </c>
      <c r="V12">
        <f>8*16.1</f>
        <v>128.80000000000001</v>
      </c>
      <c r="X12" s="22">
        <f t="shared" si="0"/>
        <v>131.53973509933775</v>
      </c>
      <c r="Y12" s="7">
        <v>3280000</v>
      </c>
      <c r="Z12" s="14">
        <f t="shared" si="1"/>
        <v>2.2480676328502414</v>
      </c>
      <c r="AA12">
        <v>2.0870000000000002</v>
      </c>
      <c r="AB12" s="4">
        <f>8*42</f>
        <v>336</v>
      </c>
      <c r="AC12">
        <f>8*11.1</f>
        <v>88.8</v>
      </c>
    </row>
    <row r="13" spans="1:37" x14ac:dyDescent="0.25">
      <c r="A13" t="s">
        <v>780</v>
      </c>
      <c r="B13" t="s">
        <v>779</v>
      </c>
      <c r="D13" t="s">
        <v>781</v>
      </c>
      <c r="E13" t="s">
        <v>782</v>
      </c>
      <c r="F13" t="s">
        <v>743</v>
      </c>
      <c r="G13">
        <v>165</v>
      </c>
      <c r="H13" t="s">
        <v>25</v>
      </c>
      <c r="I13" t="s">
        <v>748</v>
      </c>
      <c r="M13">
        <v>1989</v>
      </c>
      <c r="O13" s="10" t="s">
        <v>853</v>
      </c>
      <c r="P13" s="10" t="s">
        <v>852</v>
      </c>
      <c r="R13">
        <v>51.41048</v>
      </c>
      <c r="S13">
        <v>7.4531399999999994</v>
      </c>
      <c r="U13" s="4">
        <v>155.35</v>
      </c>
      <c r="V13" s="4">
        <v>110</v>
      </c>
      <c r="X13" s="22">
        <f t="shared" si="0"/>
        <v>132.76472481493403</v>
      </c>
      <c r="Y13" s="9">
        <v>1533000</v>
      </c>
      <c r="Z13" s="14">
        <f t="shared" si="1"/>
        <v>0.63875000000000004</v>
      </c>
      <c r="AA13">
        <v>0.59</v>
      </c>
      <c r="AB13">
        <v>154</v>
      </c>
      <c r="AC13">
        <v>102</v>
      </c>
    </row>
    <row r="14" spans="1:37" x14ac:dyDescent="0.25">
      <c r="A14" t="s">
        <v>732</v>
      </c>
      <c r="B14" t="s">
        <v>822</v>
      </c>
      <c r="C14" t="s">
        <v>823</v>
      </c>
      <c r="D14" t="s">
        <v>824</v>
      </c>
      <c r="E14" t="s">
        <v>825</v>
      </c>
      <c r="F14" t="s">
        <v>743</v>
      </c>
      <c r="G14">
        <v>150</v>
      </c>
      <c r="H14" t="s">
        <v>25</v>
      </c>
      <c r="I14" t="s">
        <v>748</v>
      </c>
      <c r="M14">
        <v>1951</v>
      </c>
      <c r="O14" s="10" t="s">
        <v>839</v>
      </c>
      <c r="R14">
        <v>47.61777</v>
      </c>
      <c r="S14">
        <v>8.1926000000000005</v>
      </c>
      <c r="T14" t="s">
        <v>703</v>
      </c>
      <c r="U14">
        <v>160</v>
      </c>
      <c r="V14">
        <f>4*35</f>
        <v>140</v>
      </c>
      <c r="W14">
        <v>170</v>
      </c>
      <c r="X14" s="22">
        <f t="shared" si="0"/>
        <v>117.1875</v>
      </c>
      <c r="Y14" s="7">
        <v>3520000</v>
      </c>
      <c r="Z14" s="14">
        <f t="shared" si="1"/>
        <v>1.0476190476190477</v>
      </c>
      <c r="AA14">
        <v>0.40200000000000002</v>
      </c>
      <c r="AB14">
        <v>80</v>
      </c>
      <c r="AC14">
        <f>4*10</f>
        <v>40</v>
      </c>
    </row>
    <row r="15" spans="1:37" x14ac:dyDescent="0.25">
      <c r="A15" t="s">
        <v>813</v>
      </c>
      <c r="B15" t="s">
        <v>854</v>
      </c>
      <c r="C15" t="s">
        <v>814</v>
      </c>
      <c r="D15" t="s">
        <v>815</v>
      </c>
      <c r="E15" t="s">
        <v>816</v>
      </c>
      <c r="F15" t="s">
        <v>743</v>
      </c>
      <c r="G15">
        <v>99</v>
      </c>
      <c r="H15" t="s">
        <v>25</v>
      </c>
      <c r="I15" t="s">
        <v>748</v>
      </c>
      <c r="M15">
        <v>1955</v>
      </c>
      <c r="O15" s="10" t="s">
        <v>857</v>
      </c>
      <c r="P15" s="10" t="s">
        <v>855</v>
      </c>
      <c r="R15">
        <v>49.53002</v>
      </c>
      <c r="S15">
        <v>12.28481</v>
      </c>
      <c r="U15" s="4">
        <v>179.05</v>
      </c>
      <c r="V15" s="3">
        <v>69</v>
      </c>
      <c r="X15" s="22">
        <f t="shared" si="0"/>
        <v>69.114772409941352</v>
      </c>
      <c r="Y15" s="9">
        <v>1500000</v>
      </c>
      <c r="Z15" s="14">
        <f t="shared" si="1"/>
        <v>0.59782608695652162</v>
      </c>
      <c r="AA15">
        <v>0.40400000000000003</v>
      </c>
      <c r="AB15">
        <f>3*28</f>
        <v>84</v>
      </c>
    </row>
    <row r="16" spans="1:37" x14ac:dyDescent="0.25">
      <c r="A16" t="s">
        <v>813</v>
      </c>
      <c r="B16" t="s">
        <v>856</v>
      </c>
      <c r="C16" t="s">
        <v>814</v>
      </c>
      <c r="D16" t="s">
        <v>815</v>
      </c>
      <c r="E16" t="s">
        <v>816</v>
      </c>
      <c r="F16" t="s">
        <v>743</v>
      </c>
      <c r="G16">
        <v>28</v>
      </c>
      <c r="H16" t="s">
        <v>25</v>
      </c>
      <c r="I16" t="s">
        <v>748</v>
      </c>
      <c r="M16">
        <v>1958</v>
      </c>
      <c r="O16" s="10" t="s">
        <v>857</v>
      </c>
      <c r="R16">
        <v>49.552259999999997</v>
      </c>
      <c r="S16">
        <v>12.281269999999999</v>
      </c>
      <c r="U16" s="4">
        <v>122.45</v>
      </c>
      <c r="V16" s="3">
        <v>28.6</v>
      </c>
      <c r="X16" s="22">
        <f t="shared" si="0"/>
        <v>28.583095140873823</v>
      </c>
      <c r="Y16" s="9">
        <v>1500000</v>
      </c>
      <c r="Z16" s="14">
        <f t="shared" si="1"/>
        <v>0.40792540792540793</v>
      </c>
      <c r="AB16" s="4">
        <v>25</v>
      </c>
    </row>
    <row r="17" spans="1:29" x14ac:dyDescent="0.25">
      <c r="A17" t="s">
        <v>819</v>
      </c>
      <c r="B17" t="s">
        <v>817</v>
      </c>
      <c r="D17" t="s">
        <v>820</v>
      </c>
      <c r="E17" t="s">
        <v>821</v>
      </c>
      <c r="F17" t="s">
        <v>743</v>
      </c>
      <c r="G17">
        <v>48</v>
      </c>
      <c r="H17" t="s">
        <v>25</v>
      </c>
      <c r="I17" t="s">
        <v>748</v>
      </c>
      <c r="M17">
        <v>1983</v>
      </c>
      <c r="O17" s="10" t="s">
        <v>858</v>
      </c>
      <c r="R17">
        <v>47.873938000000003</v>
      </c>
      <c r="S17">
        <v>11.870990000000001</v>
      </c>
      <c r="T17" t="s">
        <v>703</v>
      </c>
      <c r="U17" s="4">
        <v>125</v>
      </c>
      <c r="V17" s="3">
        <v>48</v>
      </c>
      <c r="X17" s="22">
        <f t="shared" si="0"/>
        <v>48</v>
      </c>
      <c r="Y17" s="9">
        <v>1000000</v>
      </c>
      <c r="Z17" s="14">
        <f t="shared" si="1"/>
        <v>0.27777777777777779</v>
      </c>
      <c r="AA17">
        <v>0.55000000000000004</v>
      </c>
      <c r="AB17" s="4">
        <v>45.4</v>
      </c>
    </row>
    <row r="18" spans="1:29" x14ac:dyDescent="0.25">
      <c r="A18" t="s">
        <v>819</v>
      </c>
      <c r="B18" t="s">
        <v>818</v>
      </c>
      <c r="D18" t="s">
        <v>820</v>
      </c>
      <c r="E18" t="s">
        <v>821</v>
      </c>
      <c r="F18" t="s">
        <v>743</v>
      </c>
      <c r="G18">
        <v>44</v>
      </c>
      <c r="H18" t="s">
        <v>25</v>
      </c>
      <c r="I18" t="s">
        <v>748</v>
      </c>
      <c r="M18">
        <v>1960</v>
      </c>
      <c r="O18" s="10" t="s">
        <v>858</v>
      </c>
      <c r="R18">
        <v>47.873938000000003</v>
      </c>
      <c r="S18">
        <v>11.870990000000001</v>
      </c>
      <c r="T18" t="s">
        <v>703</v>
      </c>
      <c r="U18" s="4">
        <v>125</v>
      </c>
      <c r="V18" s="3">
        <v>44</v>
      </c>
      <c r="X18" s="22">
        <f t="shared" si="0"/>
        <v>44</v>
      </c>
      <c r="Y18" s="9">
        <v>1000000</v>
      </c>
      <c r="Z18" s="14">
        <f t="shared" si="1"/>
        <v>0.27777777777777779</v>
      </c>
      <c r="AA18">
        <v>0.55000000000000004</v>
      </c>
      <c r="AB18" s="4">
        <f>2*18.4</f>
        <v>36.799999999999997</v>
      </c>
    </row>
    <row r="19" spans="1:29" x14ac:dyDescent="0.25">
      <c r="A19" t="s">
        <v>765</v>
      </c>
      <c r="B19" t="s">
        <v>796</v>
      </c>
      <c r="C19" t="s">
        <v>797</v>
      </c>
      <c r="D19" t="s">
        <v>798</v>
      </c>
      <c r="E19" t="s">
        <v>796</v>
      </c>
      <c r="F19" t="s">
        <v>743</v>
      </c>
      <c r="G19">
        <v>1045.2</v>
      </c>
      <c r="H19" t="s">
        <v>25</v>
      </c>
      <c r="I19" t="s">
        <v>748</v>
      </c>
      <c r="M19">
        <v>1979</v>
      </c>
      <c r="O19" s="10" t="s">
        <v>845</v>
      </c>
      <c r="P19" s="10" t="s">
        <v>859</v>
      </c>
      <c r="R19">
        <v>50.519379999999998</v>
      </c>
      <c r="S19">
        <v>12.879759999999999</v>
      </c>
      <c r="T19" t="s">
        <v>846</v>
      </c>
      <c r="U19">
        <v>288</v>
      </c>
      <c r="V19">
        <f>6*70</f>
        <v>420</v>
      </c>
      <c r="X19" s="22">
        <f t="shared" si="0"/>
        <v>453.64583333333337</v>
      </c>
      <c r="Y19" s="7">
        <v>6000000</v>
      </c>
      <c r="Z19" s="14">
        <f t="shared" si="1"/>
        <v>4.147619047619048</v>
      </c>
      <c r="AA19">
        <v>4.0179999999999998</v>
      </c>
      <c r="AB19" s="4">
        <f>6*190</f>
        <v>1140</v>
      </c>
      <c r="AC19">
        <v>60</v>
      </c>
    </row>
    <row r="20" spans="1:29" x14ac:dyDescent="0.25">
      <c r="A20" t="s">
        <v>765</v>
      </c>
      <c r="B20" t="s">
        <v>803</v>
      </c>
      <c r="C20" t="s">
        <v>804</v>
      </c>
      <c r="D20" t="s">
        <v>805</v>
      </c>
      <c r="E20" t="s">
        <v>803</v>
      </c>
      <c r="F20" t="s">
        <v>743</v>
      </c>
      <c r="G20">
        <v>120</v>
      </c>
      <c r="H20" t="s">
        <v>25</v>
      </c>
      <c r="I20" t="s">
        <v>748</v>
      </c>
      <c r="M20">
        <v>1960</v>
      </c>
      <c r="O20" s="10" t="s">
        <v>841</v>
      </c>
      <c r="P20" s="10" t="s">
        <v>859</v>
      </c>
      <c r="R20">
        <v>51.091534279999998</v>
      </c>
      <c r="S20">
        <v>13.609828950000001</v>
      </c>
      <c r="T20" t="s">
        <v>703</v>
      </c>
      <c r="U20">
        <v>143</v>
      </c>
      <c r="V20">
        <f>6*18</f>
        <v>108</v>
      </c>
      <c r="X20" s="22">
        <f t="shared" si="0"/>
        <v>104.89510489510491</v>
      </c>
      <c r="Y20" s="7">
        <v>1981000</v>
      </c>
      <c r="Z20" s="14">
        <f t="shared" si="1"/>
        <v>0.61141975308641971</v>
      </c>
      <c r="AA20">
        <v>0.59099999999999997</v>
      </c>
      <c r="AB20" s="4">
        <f>6*20</f>
        <v>120</v>
      </c>
      <c r="AC20">
        <f>6*11</f>
        <v>66</v>
      </c>
    </row>
    <row r="21" spans="1:29" x14ac:dyDescent="0.25">
      <c r="A21" t="s">
        <v>766</v>
      </c>
      <c r="B21" t="s">
        <v>763</v>
      </c>
      <c r="D21" t="s">
        <v>770</v>
      </c>
      <c r="E21" t="s">
        <v>772</v>
      </c>
      <c r="F21" t="s">
        <v>743</v>
      </c>
      <c r="G21">
        <v>164</v>
      </c>
      <c r="H21" t="s">
        <v>25</v>
      </c>
      <c r="I21" t="s">
        <v>748</v>
      </c>
      <c r="M21">
        <v>1974</v>
      </c>
      <c r="P21" s="10" t="s">
        <v>861</v>
      </c>
      <c r="R21">
        <v>50.053130000000003</v>
      </c>
      <c r="S21">
        <v>9.5813699999999997</v>
      </c>
      <c r="U21" s="4">
        <v>320</v>
      </c>
      <c r="V21" s="3">
        <v>64</v>
      </c>
      <c r="X21" s="22">
        <f t="shared" si="0"/>
        <v>64.0625</v>
      </c>
      <c r="Y21" s="9">
        <v>1675000</v>
      </c>
      <c r="Z21" s="14">
        <f t="shared" si="1"/>
        <v>1.1922743055555554</v>
      </c>
      <c r="AA21">
        <v>0.95</v>
      </c>
      <c r="AB21" s="4">
        <v>154</v>
      </c>
    </row>
    <row r="22" spans="1:29" x14ac:dyDescent="0.25">
      <c r="A22" t="s">
        <v>758</v>
      </c>
      <c r="B22" t="s">
        <v>799</v>
      </c>
      <c r="C22" t="s">
        <v>800</v>
      </c>
      <c r="D22" t="s">
        <v>801</v>
      </c>
      <c r="E22" t="s">
        <v>802</v>
      </c>
      <c r="F22" t="s">
        <v>743</v>
      </c>
      <c r="G22">
        <v>90</v>
      </c>
      <c r="H22" t="s">
        <v>25</v>
      </c>
      <c r="I22" t="s">
        <v>748</v>
      </c>
      <c r="M22">
        <v>1964</v>
      </c>
      <c r="O22" s="10" t="s">
        <v>862</v>
      </c>
      <c r="R22">
        <v>48.504989999999999</v>
      </c>
      <c r="S22">
        <v>9.2869200000000003</v>
      </c>
      <c r="T22" t="s">
        <v>703</v>
      </c>
      <c r="U22" s="4">
        <v>283</v>
      </c>
      <c r="V22" s="4">
        <v>36</v>
      </c>
      <c r="X22" s="22">
        <f t="shared" si="0"/>
        <v>39.752650176678443</v>
      </c>
      <c r="Y22" s="9">
        <v>900000</v>
      </c>
      <c r="Z22" s="14">
        <f t="shared" si="1"/>
        <v>0.625</v>
      </c>
      <c r="AA22">
        <v>0.56000000000000005</v>
      </c>
      <c r="AB22" s="4">
        <v>68</v>
      </c>
      <c r="AC22">
        <v>20</v>
      </c>
    </row>
    <row r="23" spans="1:29" x14ac:dyDescent="0.25">
      <c r="A23" t="s">
        <v>754</v>
      </c>
      <c r="B23" t="s">
        <v>753</v>
      </c>
      <c r="D23" t="s">
        <v>755</v>
      </c>
      <c r="E23" t="s">
        <v>756</v>
      </c>
      <c r="F23" t="s">
        <v>743</v>
      </c>
      <c r="G23">
        <v>138</v>
      </c>
      <c r="H23" t="s">
        <v>25</v>
      </c>
      <c r="I23" t="s">
        <v>748</v>
      </c>
      <c r="M23">
        <v>1969</v>
      </c>
      <c r="O23" s="10" t="s">
        <v>863</v>
      </c>
      <c r="R23">
        <v>51.22475</v>
      </c>
      <c r="S23">
        <v>7.9928100000000004</v>
      </c>
      <c r="T23" t="s">
        <v>703</v>
      </c>
      <c r="U23" s="3">
        <v>270</v>
      </c>
      <c r="V23" s="3">
        <v>55</v>
      </c>
      <c r="X23" s="22">
        <f t="shared" si="0"/>
        <v>63.888888888888886</v>
      </c>
      <c r="Y23" s="8">
        <v>1000000</v>
      </c>
      <c r="Z23" s="14">
        <f t="shared" si="1"/>
        <v>0.69696969696969691</v>
      </c>
      <c r="AA23">
        <v>0.69</v>
      </c>
      <c r="AB23" s="23">
        <v>140</v>
      </c>
    </row>
    <row r="24" spans="1:29" x14ac:dyDescent="0.25">
      <c r="A24" t="s">
        <v>733</v>
      </c>
      <c r="B24" t="s">
        <v>806</v>
      </c>
      <c r="C24" t="s">
        <v>807</v>
      </c>
      <c r="D24" t="s">
        <v>808</v>
      </c>
      <c r="E24" t="s">
        <v>806</v>
      </c>
      <c r="F24" t="s">
        <v>743</v>
      </c>
      <c r="G24">
        <v>45.5</v>
      </c>
      <c r="H24" t="s">
        <v>25</v>
      </c>
      <c r="I24" t="s">
        <v>36</v>
      </c>
      <c r="M24">
        <v>1954</v>
      </c>
      <c r="P24" s="10" t="s">
        <v>864</v>
      </c>
      <c r="R24">
        <v>47.651451000000002</v>
      </c>
      <c r="S24">
        <v>10.735525000000001</v>
      </c>
      <c r="T24" t="s">
        <v>700</v>
      </c>
      <c r="U24" s="4">
        <v>35.4</v>
      </c>
      <c r="V24" s="4">
        <v>150</v>
      </c>
      <c r="W24" s="4">
        <v>152.6</v>
      </c>
      <c r="X24" s="22">
        <f t="shared" si="0"/>
        <v>160.66384180790962</v>
      </c>
      <c r="Y24" s="9">
        <v>168000000</v>
      </c>
      <c r="Z24" s="14">
        <f t="shared" si="1"/>
        <v>14.155555555555557</v>
      </c>
      <c r="AB24" s="4">
        <v>0</v>
      </c>
      <c r="AC24">
        <v>0</v>
      </c>
    </row>
    <row r="25" spans="1:29" x14ac:dyDescent="0.25">
      <c r="A25" t="s">
        <v>758</v>
      </c>
      <c r="B25" t="s">
        <v>757</v>
      </c>
      <c r="C25" t="s">
        <v>759</v>
      </c>
      <c r="D25" t="s">
        <v>760</v>
      </c>
      <c r="E25" t="s">
        <v>761</v>
      </c>
      <c r="F25" t="s">
        <v>743</v>
      </c>
      <c r="G25">
        <v>43</v>
      </c>
      <c r="H25" t="s">
        <v>25</v>
      </c>
      <c r="I25" t="s">
        <v>748</v>
      </c>
      <c r="M25">
        <v>1926</v>
      </c>
      <c r="O25" s="10" t="s">
        <v>865</v>
      </c>
      <c r="P25" s="10" t="s">
        <v>866</v>
      </c>
      <c r="R25">
        <v>48.669383500000002</v>
      </c>
      <c r="S25">
        <v>8.3530476169999996</v>
      </c>
      <c r="T25" t="s">
        <v>704</v>
      </c>
      <c r="U25" s="4">
        <v>357</v>
      </c>
      <c r="V25" s="3">
        <v>15</v>
      </c>
      <c r="X25" s="22">
        <f t="shared" si="0"/>
        <v>15.056022408963585</v>
      </c>
      <c r="Y25" s="9">
        <v>14000000</v>
      </c>
      <c r="Z25" s="14">
        <f t="shared" si="1"/>
        <v>11.148148148148149</v>
      </c>
      <c r="AB25" s="4">
        <v>22</v>
      </c>
    </row>
    <row r="26" spans="1:29" x14ac:dyDescent="0.25">
      <c r="A26" t="s">
        <v>732</v>
      </c>
      <c r="B26" t="s">
        <v>730</v>
      </c>
      <c r="C26" t="s">
        <v>737</v>
      </c>
      <c r="D26" t="s">
        <v>738</v>
      </c>
      <c r="E26" t="s">
        <v>739</v>
      </c>
      <c r="F26" t="s">
        <v>743</v>
      </c>
      <c r="G26">
        <v>360</v>
      </c>
      <c r="H26" t="s">
        <v>25</v>
      </c>
      <c r="I26" t="s">
        <v>748</v>
      </c>
      <c r="M26">
        <v>1966</v>
      </c>
      <c r="O26" s="10" t="s">
        <v>836</v>
      </c>
      <c r="R26">
        <v>47.565415999999999</v>
      </c>
      <c r="S26">
        <v>7.9540350000000002</v>
      </c>
      <c r="T26" t="s">
        <v>703</v>
      </c>
      <c r="U26">
        <v>400</v>
      </c>
      <c r="V26">
        <v>96</v>
      </c>
      <c r="W26">
        <v>400</v>
      </c>
      <c r="X26" s="22">
        <f t="shared" si="0"/>
        <v>112.5</v>
      </c>
      <c r="Y26" s="9">
        <v>2100000</v>
      </c>
      <c r="Z26" s="14">
        <f t="shared" si="1"/>
        <v>2.1875</v>
      </c>
      <c r="AA26">
        <v>2.0640000000000001</v>
      </c>
      <c r="AB26">
        <v>296</v>
      </c>
      <c r="AC26">
        <v>67</v>
      </c>
    </row>
    <row r="27" spans="1:29" x14ac:dyDescent="0.25">
      <c r="A27" t="s">
        <v>733</v>
      </c>
      <c r="B27" t="s">
        <v>788</v>
      </c>
      <c r="C27" t="s">
        <v>791</v>
      </c>
      <c r="D27" t="s">
        <v>792</v>
      </c>
      <c r="E27" t="s">
        <v>794</v>
      </c>
      <c r="F27" t="s">
        <v>743</v>
      </c>
      <c r="G27">
        <v>124</v>
      </c>
      <c r="H27" t="s">
        <v>25</v>
      </c>
      <c r="I27" t="s">
        <v>36</v>
      </c>
      <c r="M27">
        <v>1924</v>
      </c>
      <c r="O27" s="10" t="s">
        <v>867</v>
      </c>
      <c r="R27">
        <v>47.631353999999988</v>
      </c>
      <c r="S27">
        <v>11.337054</v>
      </c>
      <c r="T27" t="s">
        <v>705</v>
      </c>
      <c r="U27" s="4">
        <v>200</v>
      </c>
      <c r="V27" s="4">
        <v>84</v>
      </c>
      <c r="W27">
        <v>300</v>
      </c>
      <c r="X27" s="22">
        <f t="shared" si="0"/>
        <v>77.5</v>
      </c>
      <c r="Y27" s="9">
        <v>110000000</v>
      </c>
      <c r="Z27" s="14">
        <f t="shared" si="1"/>
        <v>45.105820105820101</v>
      </c>
      <c r="AB27" s="4">
        <v>0</v>
      </c>
      <c r="AC27">
        <v>0</v>
      </c>
    </row>
    <row r="28" spans="1:29" x14ac:dyDescent="0.25">
      <c r="A28" t="s">
        <v>733</v>
      </c>
      <c r="B28" t="s">
        <v>750</v>
      </c>
      <c r="C28" t="s">
        <v>740</v>
      </c>
      <c r="D28" t="s">
        <v>741</v>
      </c>
      <c r="E28" t="s">
        <v>742</v>
      </c>
      <c r="F28" t="s">
        <v>743</v>
      </c>
      <c r="G28">
        <v>480</v>
      </c>
      <c r="H28" t="s">
        <v>25</v>
      </c>
      <c r="I28" t="s">
        <v>748</v>
      </c>
      <c r="M28">
        <v>1974</v>
      </c>
      <c r="O28" s="10" t="s">
        <v>868</v>
      </c>
      <c r="R28">
        <v>51.167138999999999</v>
      </c>
      <c r="S28">
        <v>9.0468320000000002</v>
      </c>
      <c r="U28" s="4">
        <v>360</v>
      </c>
      <c r="V28" s="3">
        <v>167</v>
      </c>
      <c r="X28" s="22">
        <f t="shared" si="0"/>
        <v>166.66666666666666</v>
      </c>
      <c r="Y28" s="7">
        <v>4400000</v>
      </c>
      <c r="Z28" s="14">
        <f t="shared" si="1"/>
        <v>3.5129740518962076</v>
      </c>
      <c r="AA28">
        <v>3.4279999999999999</v>
      </c>
      <c r="AB28" s="4">
        <v>480</v>
      </c>
    </row>
    <row r="29" spans="1:29" x14ac:dyDescent="0.25">
      <c r="A29" t="s">
        <v>733</v>
      </c>
      <c r="B29" t="s">
        <v>749</v>
      </c>
      <c r="C29" t="s">
        <v>740</v>
      </c>
      <c r="D29" t="s">
        <v>741</v>
      </c>
      <c r="E29" t="s">
        <v>742</v>
      </c>
      <c r="F29" t="s">
        <v>743</v>
      </c>
      <c r="G29">
        <v>145</v>
      </c>
      <c r="H29" t="s">
        <v>25</v>
      </c>
      <c r="I29" t="s">
        <v>748</v>
      </c>
      <c r="M29">
        <v>1931</v>
      </c>
      <c r="R29">
        <v>51.167138999999999</v>
      </c>
      <c r="S29">
        <v>9.0468320000000002</v>
      </c>
      <c r="T29" t="s">
        <v>703</v>
      </c>
      <c r="U29">
        <v>302</v>
      </c>
      <c r="V29">
        <v>15</v>
      </c>
      <c r="X29" s="22">
        <f t="shared" si="0"/>
        <v>60.016556291390728</v>
      </c>
      <c r="Y29" s="7">
        <v>690000</v>
      </c>
      <c r="Z29" s="14">
        <f t="shared" si="1"/>
        <v>1.8527777777777776</v>
      </c>
      <c r="AA29">
        <v>0.47799999999999998</v>
      </c>
      <c r="AB29" s="23">
        <v>140</v>
      </c>
    </row>
    <row r="30" spans="1:29" x14ac:dyDescent="0.25">
      <c r="A30" t="s">
        <v>732</v>
      </c>
      <c r="B30" t="s">
        <v>826</v>
      </c>
      <c r="C30" t="s">
        <v>828</v>
      </c>
      <c r="D30" t="s">
        <v>830</v>
      </c>
      <c r="E30" t="s">
        <v>826</v>
      </c>
      <c r="F30" t="s">
        <v>743</v>
      </c>
      <c r="G30">
        <v>910</v>
      </c>
      <c r="H30" t="s">
        <v>25</v>
      </c>
      <c r="I30" t="s">
        <v>748</v>
      </c>
      <c r="M30">
        <v>1975</v>
      </c>
      <c r="O30" s="10" t="s">
        <v>840</v>
      </c>
      <c r="R30">
        <v>47.64529898</v>
      </c>
      <c r="S30">
        <v>7.9181994500000004</v>
      </c>
      <c r="T30" t="s">
        <v>703</v>
      </c>
      <c r="U30">
        <v>625</v>
      </c>
      <c r="V30">
        <f>4*45</f>
        <v>180</v>
      </c>
      <c r="X30" s="22">
        <f t="shared" si="0"/>
        <v>182</v>
      </c>
      <c r="Y30" s="7">
        <v>4400000</v>
      </c>
      <c r="Z30" s="14">
        <f t="shared" si="1"/>
        <v>6.1790123456790136</v>
      </c>
      <c r="AA30">
        <v>6.0730000000000004</v>
      </c>
      <c r="AB30">
        <v>980</v>
      </c>
      <c r="AC30">
        <f>4*36</f>
        <v>144</v>
      </c>
    </row>
    <row r="31" spans="1:29" x14ac:dyDescent="0.25">
      <c r="A31" t="s">
        <v>765</v>
      </c>
      <c r="B31" t="s">
        <v>827</v>
      </c>
      <c r="C31" t="s">
        <v>829</v>
      </c>
      <c r="D31" t="s">
        <v>831</v>
      </c>
      <c r="E31" t="s">
        <v>827</v>
      </c>
      <c r="F31" t="s">
        <v>743</v>
      </c>
      <c r="G31">
        <v>79.7</v>
      </c>
      <c r="H31" t="s">
        <v>25</v>
      </c>
      <c r="I31" t="s">
        <v>748</v>
      </c>
      <c r="M31">
        <v>1967</v>
      </c>
      <c r="O31" s="10" t="s">
        <v>844</v>
      </c>
      <c r="P31" s="10" t="s">
        <v>859</v>
      </c>
      <c r="R31">
        <v>51.742229999999999</v>
      </c>
      <c r="S31">
        <v>10.91879</v>
      </c>
      <c r="T31" t="s">
        <v>703</v>
      </c>
      <c r="U31">
        <v>126</v>
      </c>
      <c r="V31">
        <f>2*39</f>
        <v>78</v>
      </c>
      <c r="X31" s="22">
        <f t="shared" si="0"/>
        <v>79.067460317460316</v>
      </c>
      <c r="Y31" s="7">
        <v>1800000</v>
      </c>
      <c r="Z31" s="14">
        <f t="shared" si="1"/>
        <v>0.51089743589743597</v>
      </c>
      <c r="AA31">
        <v>0.52300000000000002</v>
      </c>
      <c r="AB31" s="4">
        <f>2*36</f>
        <v>72</v>
      </c>
      <c r="AC31">
        <f>2*26</f>
        <v>52</v>
      </c>
    </row>
    <row r="32" spans="1:29" x14ac:dyDescent="0.25">
      <c r="A32" t="s">
        <v>732</v>
      </c>
      <c r="B32" t="s">
        <v>832</v>
      </c>
      <c r="C32" t="s">
        <v>833</v>
      </c>
      <c r="D32" t="s">
        <v>834</v>
      </c>
      <c r="E32" t="s">
        <v>832</v>
      </c>
      <c r="F32" t="s">
        <v>743</v>
      </c>
      <c r="G32">
        <v>220</v>
      </c>
      <c r="H32" t="s">
        <v>25</v>
      </c>
      <c r="I32" t="s">
        <v>748</v>
      </c>
      <c r="M32">
        <v>1943</v>
      </c>
      <c r="O32" s="10" t="s">
        <v>837</v>
      </c>
      <c r="R32">
        <v>47.687910000000002</v>
      </c>
      <c r="S32">
        <v>8.2515900000000002</v>
      </c>
      <c r="T32" t="s">
        <v>703</v>
      </c>
      <c r="U32">
        <v>250</v>
      </c>
      <c r="V32">
        <f>4*33.25</f>
        <v>133</v>
      </c>
      <c r="W32">
        <v>230</v>
      </c>
      <c r="X32" s="22">
        <f t="shared" si="0"/>
        <v>110</v>
      </c>
      <c r="Y32" s="7">
        <v>1290000</v>
      </c>
      <c r="Z32" s="14">
        <f t="shared" si="1"/>
        <v>0.59273182957393489</v>
      </c>
      <c r="AA32">
        <v>0.626</v>
      </c>
      <c r="AB32">
        <f>4*32</f>
        <v>128</v>
      </c>
      <c r="AC32">
        <v>40</v>
      </c>
    </row>
  </sheetData>
  <autoFilter ref="A2:AK32" xr:uid="{7F3333F7-3DB9-4E3A-922A-BC392614D6EA}">
    <sortState xmlns:xlrd2="http://schemas.microsoft.com/office/spreadsheetml/2017/richdata2" ref="A3:AK32">
      <sortCondition ref="A2"/>
    </sortState>
  </autoFilter>
  <hyperlinks>
    <hyperlink ref="O3" r:id="rId1" xr:uid="{22C62C33-9219-4049-BB57-6BD9BD2806FF}"/>
    <hyperlink ref="O26" r:id="rId2" xr:uid="{AEE3FAFA-BE3A-4716-9097-43EBF78502BB}"/>
    <hyperlink ref="O32" r:id="rId3" xr:uid="{B428337D-38CE-4412-893F-ED9914B66BE6}"/>
    <hyperlink ref="O9" r:id="rId4" xr:uid="{63FA5300-1752-4B2B-8008-631F724962B4}"/>
    <hyperlink ref="O14" r:id="rId5" xr:uid="{FA3C15F5-CE5C-41D1-9947-4103F3BB5A4B}"/>
    <hyperlink ref="O30" r:id="rId6" xr:uid="{FD02196A-A489-4D61-ADF0-12C987B0AB5E}"/>
    <hyperlink ref="O20" r:id="rId7" xr:uid="{ED5CEB3C-4BF8-422C-862F-DA51F8C5FF68}"/>
    <hyperlink ref="O4" r:id="rId8" xr:uid="{AA21F377-171D-4E7F-B489-78080A8F881D}"/>
    <hyperlink ref="O6" r:id="rId9" xr:uid="{60AA9C80-B65D-482B-BCB5-7492F078F7C2}"/>
    <hyperlink ref="O31" r:id="rId10" xr:uid="{D3AF0FEE-6F6E-4E11-B144-C951E6B61AEC}"/>
    <hyperlink ref="O19" r:id="rId11" xr:uid="{653DAE79-FCE3-4E82-B117-8C7D9365A825}"/>
    <hyperlink ref="O12" r:id="rId12" xr:uid="{564CEA70-5AA9-467F-8CD7-274E191A2D96}"/>
    <hyperlink ref="O7" r:id="rId13" xr:uid="{F40B0CE3-DBAB-462E-BCE2-AFA70D7A709D}"/>
    <hyperlink ref="P4" r:id="rId14" xr:uid="{2381DE88-F493-4B57-B1F5-2FF7F29AA3DB}"/>
    <hyperlink ref="O5" r:id="rId15" xr:uid="{B507FBC2-64D9-420A-9E61-699FB23D1CC7}"/>
    <hyperlink ref="O11" r:id="rId16" xr:uid="{C0A5A520-BAF0-4DED-A9CA-2844AA79BC9E}"/>
    <hyperlink ref="P13" r:id="rId17" xr:uid="{B3AD93A3-0697-44E4-8026-B0027A7C79FE}"/>
    <hyperlink ref="O13" r:id="rId18" xr:uid="{341C8F87-A428-4F8F-B6AC-1FE51BF7110A}"/>
    <hyperlink ref="P15" r:id="rId19" xr:uid="{781E91B6-C62A-49ED-B247-9B06FF0536DA}"/>
    <hyperlink ref="O15" r:id="rId20" xr:uid="{0A0E66C0-1DD4-47CE-9293-37338EFBF851}"/>
    <hyperlink ref="O16" r:id="rId21" xr:uid="{82B67C9B-CEE2-403B-B291-A0C3A19B6727}"/>
    <hyperlink ref="O17" r:id="rId22" xr:uid="{4F952F1E-9073-41F1-8753-366AFF7A80E2}"/>
    <hyperlink ref="O18" r:id="rId23" xr:uid="{3681512B-273A-4A17-BE49-5B3B86DEF47A}"/>
    <hyperlink ref="P11" r:id="rId24" xr:uid="{A27335E6-3D52-443D-8C10-409417C8D574}"/>
    <hyperlink ref="P12" r:id="rId25" xr:uid="{34FFE1F6-8CD1-4A24-83EB-A425A2C64DDD}"/>
    <hyperlink ref="P7" r:id="rId26" xr:uid="{2DBB1947-176C-47F6-A8DF-F841888DC06C}"/>
    <hyperlink ref="P19" r:id="rId27" xr:uid="{7E7FC829-EE08-4021-A51E-2A2DAC2E9303}"/>
    <hyperlink ref="P20" r:id="rId28" xr:uid="{18FCA189-5E3E-4D36-8FCF-2B48F78C72D7}"/>
    <hyperlink ref="P31" r:id="rId29" xr:uid="{068C58B8-3E0C-4A87-8416-1DE52305983A}"/>
    <hyperlink ref="P6" r:id="rId30" xr:uid="{597C1834-724C-44BB-A4E6-E5ED367F7F75}"/>
    <hyperlink ref="P21" r:id="rId31" xr:uid="{D5D0AD86-DE48-4705-A5D8-04C2C445070A}"/>
    <hyperlink ref="O22" r:id="rId32" xr:uid="{7AC36BA5-5426-4F46-AE0E-4804D0CEC447}"/>
    <hyperlink ref="O23" r:id="rId33" xr:uid="{9FB7C594-F769-4F82-9C84-59546C79320B}"/>
    <hyperlink ref="P24" r:id="rId34" xr:uid="{23E2945A-714D-4C9E-B9D1-7508639E438E}"/>
    <hyperlink ref="O25" r:id="rId35" xr:uid="{9DCCEDA1-613A-466F-A6CB-0EAEB703013D}"/>
    <hyperlink ref="P25" r:id="rId36" xr:uid="{0A3DAD7B-1B2A-4FFD-9895-C0A16CD55A7A}"/>
    <hyperlink ref="O27" r:id="rId37" xr:uid="{28BB99E5-CC73-4781-8F54-B0FC8BF75726}"/>
    <hyperlink ref="O28" r:id="rId38" location="Waldeck_II" xr:uid="{655DFB49-4C4A-4E3E-98F3-34FC4EF467AA}"/>
  </hyperlinks>
  <pageMargins left="0.7" right="0.7" top="0.78740157499999996" bottom="0.78740157499999996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opsd_hydro</vt:lpstr>
      <vt:lpstr>Tabelle1</vt:lpstr>
    </vt:vector>
  </TitlesOfParts>
  <Company>Wiener Stadtwerke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Wehrle Sebastian</dc:creator>
  <cp:lastModifiedBy>Sebastian</cp:lastModifiedBy>
  <dcterms:created xsi:type="dcterms:W3CDTF">2017-12-05T15:57:47Z</dcterms:created>
  <dcterms:modified xsi:type="dcterms:W3CDTF">2020-01-23T16:47:06Z</dcterms:modified>
</cp:coreProperties>
</file>