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git_repos/medea/data/processed/"/>
    </mc:Choice>
  </mc:AlternateContent>
  <xr:revisionPtr revIDLastSave="0" documentId="13_ncr:1_{D95F5242-6774-EC4F-9F2D-864C444A4F01}" xr6:coauthVersionLast="45" xr6:coauthVersionMax="45" xr10:uidLastSave="{00000000-0000-0000-0000-000000000000}"/>
  <bookViews>
    <workbookView minimized="1" xWindow="31320" yWindow="1360" windowWidth="33080" windowHeight="17380" tabRatio="860" activeTab="8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EFFICIENCY" sheetId="21" r:id="rId9"/>
    <sheet name="FEASIBLE_INPUT-OUTPUT" sheetId="18" r:id="rId10"/>
    <sheet name="FEASIBLE_INPUT-OUTPUT_BAK" sheetId="6" r:id="rId11"/>
    <sheet name="COST_TRANSPORT" sheetId="11" r:id="rId12"/>
    <sheet name="ATC" sheetId="3" r:id="rId13"/>
    <sheet name="KM" sheetId="4" r:id="rId14"/>
    <sheet name="potentials" sheetId="19" r:id="rId15"/>
    <sheet name="AIR_POLLUTION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7" l="1"/>
  <c r="I19" i="17" s="1"/>
  <c r="I9" i="10"/>
  <c r="H9" i="10"/>
  <c r="H10" i="10"/>
  <c r="I10" i="10"/>
  <c r="K19" i="17" l="1"/>
  <c r="M19" i="17"/>
  <c r="N19" i="17"/>
  <c r="L19" i="17"/>
  <c r="S40" i="9" l="1"/>
  <c r="S41" i="9"/>
  <c r="S39" i="9"/>
  <c r="B6" i="20" l="1"/>
  <c r="G8" i="8" l="1"/>
  <c r="G9" i="8"/>
  <c r="G7" i="8"/>
  <c r="G6" i="8"/>
  <c r="G3" i="8"/>
  <c r="G4" i="8"/>
  <c r="G5" i="8"/>
  <c r="G2" i="8"/>
  <c r="S31" i="17" l="1"/>
  <c r="S21" i="17"/>
  <c r="S9" i="17"/>
  <c r="R8" i="9"/>
  <c r="S13" i="17"/>
  <c r="S11" i="17"/>
  <c r="R11" i="9"/>
  <c r="Q3" i="9"/>
  <c r="Q4" i="9"/>
  <c r="Q5" i="9"/>
  <c r="Q6" i="9"/>
  <c r="Q7" i="9"/>
  <c r="Q8" i="9"/>
  <c r="Q9" i="9"/>
  <c r="Q10" i="9"/>
  <c r="Q11" i="9"/>
  <c r="S11" i="9" s="1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7" i="9"/>
  <c r="P38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7" i="9"/>
  <c r="O38" i="9"/>
  <c r="O2" i="9"/>
  <c r="R5" i="9"/>
  <c r="R6" i="9"/>
  <c r="R7" i="9"/>
  <c r="R9" i="9"/>
  <c r="R10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" i="9"/>
  <c r="R4" i="9"/>
  <c r="R2" i="9"/>
  <c r="E46" i="18"/>
  <c r="C46" i="18"/>
  <c r="D44" i="18"/>
  <c r="C44" i="18"/>
  <c r="D43" i="18"/>
  <c r="C43" i="18"/>
  <c r="C42" i="18"/>
  <c r="E42" i="18" s="1"/>
  <c r="D40" i="18"/>
  <c r="C40" i="18"/>
  <c r="D39" i="18"/>
  <c r="C39" i="18"/>
  <c r="E39" i="18" s="1"/>
  <c r="C38" i="18"/>
  <c r="E38" i="18" s="1"/>
  <c r="D36" i="18"/>
  <c r="C36" i="18"/>
  <c r="D35" i="18"/>
  <c r="C35" i="18"/>
  <c r="C34" i="18"/>
  <c r="E34" i="18" s="1"/>
  <c r="D32" i="18"/>
  <c r="C32" i="18"/>
  <c r="D31" i="18"/>
  <c r="C31" i="18"/>
  <c r="C30" i="18"/>
  <c r="E30" i="18" s="1"/>
  <c r="D28" i="18"/>
  <c r="C28" i="18"/>
  <c r="D27" i="18"/>
  <c r="C27" i="18"/>
  <c r="C26" i="18"/>
  <c r="E26" i="18" s="1"/>
  <c r="D24" i="18"/>
  <c r="C24" i="18"/>
  <c r="E24" i="18" s="1"/>
  <c r="D23" i="18"/>
  <c r="C23" i="18"/>
  <c r="C22" i="18"/>
  <c r="E22" i="18" s="1"/>
  <c r="C18" i="18"/>
  <c r="E18" i="18" s="1"/>
  <c r="C19" i="18"/>
  <c r="D19" i="18"/>
  <c r="C20" i="18"/>
  <c r="D20" i="18"/>
  <c r="C16" i="18"/>
  <c r="D16" i="18"/>
  <c r="D15" i="18"/>
  <c r="C15" i="18"/>
  <c r="E15" i="18" s="1"/>
  <c r="C14" i="18"/>
  <c r="E14" i="18" s="1"/>
  <c r="D12" i="18"/>
  <c r="C12" i="18"/>
  <c r="E11" i="18"/>
  <c r="D11" i="18"/>
  <c r="C11" i="18"/>
  <c r="C10" i="18"/>
  <c r="E10" i="18" s="1"/>
  <c r="D8" i="18"/>
  <c r="C8" i="18"/>
  <c r="C7" i="18"/>
  <c r="D7" i="18"/>
  <c r="E6" i="18"/>
  <c r="C6" i="18"/>
  <c r="D4" i="18"/>
  <c r="C4" i="18"/>
  <c r="D3" i="18"/>
  <c r="C3" i="18"/>
  <c r="C2" i="18"/>
  <c r="E2" i="18" s="1"/>
  <c r="J36" i="17"/>
  <c r="L36" i="17" s="1"/>
  <c r="V35" i="17"/>
  <c r="U35" i="17"/>
  <c r="P36" i="9" s="1"/>
  <c r="T35" i="17"/>
  <c r="O36" i="9" s="1"/>
  <c r="S35" i="17"/>
  <c r="L31" i="17"/>
  <c r="J31" i="17"/>
  <c r="I31" i="17" s="1"/>
  <c r="L28" i="17"/>
  <c r="J28" i="17"/>
  <c r="I28" i="17" s="1"/>
  <c r="L25" i="17"/>
  <c r="J25" i="17"/>
  <c r="I25" i="17" s="1"/>
  <c r="V24" i="17"/>
  <c r="U24" i="17"/>
  <c r="T24" i="17"/>
  <c r="S24" i="17"/>
  <c r="L23" i="17"/>
  <c r="J23" i="17"/>
  <c r="I23" i="17" s="1"/>
  <c r="V22" i="17"/>
  <c r="U22" i="17"/>
  <c r="T22" i="17"/>
  <c r="S22" i="17"/>
  <c r="L21" i="17"/>
  <c r="J21" i="17"/>
  <c r="I21" i="17" s="1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E4" i="18" l="1"/>
  <c r="E12" i="18"/>
  <c r="E16" i="18"/>
  <c r="E27" i="18"/>
  <c r="E36" i="18"/>
  <c r="E31" i="18"/>
  <c r="E44" i="18"/>
  <c r="E23" i="18"/>
  <c r="E7" i="18"/>
  <c r="E20" i="18"/>
  <c r="E3" i="18"/>
  <c r="E8" i="18"/>
  <c r="E32" i="18"/>
  <c r="E35" i="18"/>
  <c r="E40" i="18"/>
  <c r="E43" i="18"/>
  <c r="I36" i="17"/>
  <c r="D48" i="18" s="1"/>
  <c r="E19" i="18"/>
  <c r="E28" i="18"/>
  <c r="S27" i="9"/>
  <c r="S15" i="9"/>
  <c r="S3" i="9"/>
  <c r="S28" i="9"/>
  <c r="S16" i="9"/>
  <c r="S4" i="9"/>
  <c r="S30" i="9"/>
  <c r="S18" i="9"/>
  <c r="S6" i="9"/>
  <c r="S37" i="9"/>
  <c r="S25" i="9"/>
  <c r="S13" i="9"/>
  <c r="S35" i="9"/>
  <c r="S23" i="9"/>
  <c r="S34" i="9"/>
  <c r="S22" i="9"/>
  <c r="S33" i="9"/>
  <c r="S21" i="9"/>
  <c r="S32" i="9"/>
  <c r="S20" i="9"/>
  <c r="S9" i="9"/>
  <c r="S31" i="9"/>
  <c r="S19" i="9"/>
  <c r="S7" i="9"/>
  <c r="S29" i="9"/>
  <c r="S17" i="9"/>
  <c r="S5" i="9"/>
  <c r="S2" i="9"/>
  <c r="S38" i="9"/>
  <c r="S26" i="9"/>
  <c r="S14" i="9"/>
  <c r="S36" i="9"/>
  <c r="S24" i="9"/>
  <c r="S12" i="9"/>
  <c r="S10" i="9"/>
  <c r="S8" i="9"/>
  <c r="K16" i="17"/>
  <c r="N16" i="17"/>
  <c r="M16" i="17"/>
  <c r="N28" i="17"/>
  <c r="M28" i="17"/>
  <c r="K28" i="17"/>
  <c r="N9" i="17"/>
  <c r="M9" i="17"/>
  <c r="K9" i="17"/>
  <c r="K23" i="17"/>
  <c r="N23" i="17"/>
  <c r="M23" i="17"/>
  <c r="N31" i="17"/>
  <c r="M31" i="17"/>
  <c r="K31" i="17"/>
  <c r="N21" i="17"/>
  <c r="M21" i="17"/>
  <c r="K21" i="17"/>
  <c r="N25" i="17"/>
  <c r="M25" i="17"/>
  <c r="K25" i="17"/>
  <c r="L9" i="17"/>
  <c r="L16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C5" i="8"/>
  <c r="C4" i="8"/>
  <c r="C3" i="8"/>
  <c r="M36" i="17" l="1"/>
  <c r="N36" i="17"/>
  <c r="K36" i="17"/>
  <c r="C47" i="18" s="1"/>
  <c r="D47" i="18"/>
  <c r="C48" i="18"/>
  <c r="E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0C0F7F9B-483C-E44C-8FF4-668DB85233A4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Cavern storage.
</t>
        </r>
        <r>
          <rPr>
            <sz val="10"/>
            <color rgb="FF000000"/>
            <rFont val="Tahoma"/>
            <family val="2"/>
          </rPr>
          <t>In line with cost reported in the documentation, we assume 40% of cost are due to power, 60% for energy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  <comment ref="B36" authorId="1" shapeId="0" xr:uid="{48597382-720A-EF4C-AFF6-0D6B3F47A1A0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Efficiency and financial data as in Wood Chips CHP, medium. c_v and c_b coefficients as in Wood Chips CHP, large, extraction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G15" authorId="0" shapeId="0" xr:uid="{711F9B48-94A2-844F-951B-BE02420E6E3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G16" authorId="0" shapeId="0" xr:uid="{DFE45CF3-E90E-EF4A-88CA-B9DEB2DFD1E2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sharedStrings.xml><?xml version="1.0" encoding="utf-8"?>
<sst xmlns="http://schemas.openxmlformats.org/spreadsheetml/2006/main" count="1210" uniqueCount="284">
  <si>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</si>
  <si>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</si>
  <si>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</si>
  <si>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</si>
  <si>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</si>
  <si>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</si>
  <si>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</si>
  <si>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</si>
  <si>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</si>
  <si>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</si>
  <si>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</si>
  <si>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</si>
  <si>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</si>
  <si>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</si>
  <si>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</si>
  <si>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</si>
  <si>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</si>
  <si>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</si>
  <si>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</si>
  <si>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</si>
  <si>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</si>
  <si>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</si>
  <si>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</si>
  <si>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</si>
  <si>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</si>
  <si>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</si>
  <si>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</si>
  <si>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</si>
  <si>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</si>
  <si>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</si>
  <si>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</si>
  <si>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</si>
  <si>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</si>
  <si>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</si>
  <si>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</si>
  <si>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</si>
  <si>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</si>
  <si>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</si>
  <si>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</si>
  <si>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</si>
  <si>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</si>
  <si>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</si>
  <si>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</si>
  <si>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</si>
  <si>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</si>
  <si>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</si>
  <si>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</si>
  <si>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</si>
  <si>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</si>
  <si>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</si>
  <si>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</si>
  <si>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</si>
  <si>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</si>
  <si>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</si>
  <si>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</si>
  <si>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</si>
  <si>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</si>
  <si>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</si>
  <si>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</si>
  <si>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</si>
  <si>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</si>
  <si>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</si>
  <si>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</si>
  <si>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</si>
  <si>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</si>
  <si>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</si>
  <si>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</si>
  <si>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</si>
  <si>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</si>
  <si>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</si>
  <si>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</si>
  <si>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</si>
  <si>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</si>
  <si>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</si>
  <si>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</si>
  <si>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</si>
  <si>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</si>
  <si>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</si>
  <si>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</si>
  <si>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</si>
  <si>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</si>
  <si>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</si>
  <si>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</si>
  <si>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</si>
  <si>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</si>
  <si>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</si>
  <si>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</si>
  <si>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</si>
  <si>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</si>
  <si>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</si>
  <si>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</si>
  <si>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</si>
  <si>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</si>
  <si>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</si>
  <si>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</si>
  <si>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</si>
  <si>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</si>
  <si>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</si>
  <si>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</si>
  <si>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</si>
  <si>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</si>
  <si>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</si>
  <si>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</si>
  <si>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</si>
  <si>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</si>
  <si>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</si>
  <si>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</si>
  <si>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</si>
  <si>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</si>
  <si>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</si>
  <si>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</si>
  <si>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</si>
  <si>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</si>
  <si>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</si>
  <si>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</si>
  <si>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</si>
  <si>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</si>
  <si>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</si>
  <si>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</si>
  <si>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</si>
  <si>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</si>
  <si>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</si>
  <si>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</si>
  <si>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</si>
  <si>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</si>
  <si>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</si>
  <si>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</si>
  <si>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</si>
  <si>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</si>
  <si>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</si>
  <si>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</si>
  <si>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</si>
  <si>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</si>
  <si>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</si>
  <si>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</si>
  <si>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</si>
  <si>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</si>
  <si>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</si>
  <si>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</si>
  <si>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</si>
  <si>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</si>
  <si>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</si>
  <si>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</si>
  <si>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</si>
  <si>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</si>
  <si>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</si>
  <si>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</si>
  <si>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</si>
  <si>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</si>
  <si>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</si>
  <si>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</si>
  <si>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</si>
  <si>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</si>
  <si>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</si>
  <si>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</si>
  <si>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</si>
  <si>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</si>
  <si>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</si>
  <si>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</si>
  <si>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</si>
  <si>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</si>
  <si>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</si>
  <si>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</si>
  <si>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</si>
  <si>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</si>
  <si>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</si>
  <si>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</si>
  <si>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</si>
  <si>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</si>
  <si>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</si>
  <si>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</si>
  <si>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</si>
  <si>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</si>
  <si>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</si>
  <si>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</si>
  <si>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</si>
  <si>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</si>
  <si>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</si>
  <si>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</si>
  <si>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</si>
  <si>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</si>
  <si>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</si>
  <si>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</si>
  <si>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</si>
  <si>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</si>
  <si>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</si>
  <si>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</si>
  <si>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</si>
  <si>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</si>
  <si>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</si>
  <si>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</si>
  <si>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</si>
  <si>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</si>
  <si>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</si>
  <si>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</si>
  <si>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</si>
  <si>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</si>
  <si>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</si>
  <si>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</si>
  <si>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</si>
  <si>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</si>
  <si>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</si>
  <si>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</si>
  <si>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</si>
  <si>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</si>
  <si>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</si>
  <si>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</si>
  <si>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</si>
  <si>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</si>
  <si>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</si>
  <si>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</si>
  <si>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</si>
  <si>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</si>
  <si>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</si>
  <si>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</si>
  <si>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</si>
  <si>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</si>
  <si>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</si>
  <si>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</si>
  <si>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</si>
  <si>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</si>
  <si>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</si>
  <si>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</si>
  <si>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</si>
  <si>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</si>
  <si>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</si>
  <si>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</si>
  <si>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</si>
  <si>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</si>
  <si>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</si>
  <si>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</si>
  <si>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</si>
  <si>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</si>
  <si>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</si>
  <si>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</si>
  <si>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</si>
  <si>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</si>
  <si>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</si>
  <si>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</si>
  <si>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</si>
  <si>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</si>
  <si>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</si>
  <si>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</si>
  <si>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</si>
  <si>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</si>
  <si>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</si>
  <si>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</si>
  <si>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</si>
  <si>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</si>
  <si>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</si>
  <si>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</si>
  <si>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</si>
  <si>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</si>
  <si>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</si>
  <si>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</si>
  <si>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</si>
  <si>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</si>
  <si>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</si>
  <si>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</si>
  <si>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elys_alka</t>
  </si>
  <si>
    <t>elys_pem</t>
  </si>
  <si>
    <t>elys_soec</t>
  </si>
  <si>
    <t>Technology Data for Renewable Fuels, Update February 2019</t>
  </si>
  <si>
    <t>https://ens.dk/en/our-services/projections-and-models/technology-data/technology-data-renewable-fuels</t>
  </si>
  <si>
    <t>eta</t>
  </si>
  <si>
    <t>eta_ht</t>
  </si>
  <si>
    <t>strg_hydrogn</t>
  </si>
  <si>
    <t>strg_syng</t>
  </si>
  <si>
    <t>product</t>
  </si>
  <si>
    <t>h2</t>
  </si>
  <si>
    <t>ch4</t>
  </si>
  <si>
    <t>energy carrier feedstock</t>
  </si>
  <si>
    <t>Power - Alkaline Electrolyser</t>
  </si>
  <si>
    <t>Power - PEM Electrolyser</t>
  </si>
  <si>
    <t>Power - SOEC</t>
  </si>
  <si>
    <t>Hydrogen - Methanation</t>
  </si>
  <si>
    <t>methn</t>
  </si>
  <si>
    <t>conversion efficiency</t>
  </si>
  <si>
    <t>Lig</t>
  </si>
  <si>
    <t>Hydrogen</t>
  </si>
  <si>
    <t>el, ht</t>
  </si>
  <si>
    <t>hpc_pth</t>
  </si>
  <si>
    <t>input share</t>
  </si>
  <si>
    <t>Nat Gas - New OCGT 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</si>
</sst>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164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ens.dk/en/our-services/projections-and-models/technology-data/technology-data-renewable-fuels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6"/>
  <sheetViews>
    <sheetView workbookViewId="0">
      <selection activeCell="F16" sqref="F16"/>
    </sheetView>
  </sheetViews>
  <sheetFormatPr baseColWidth="10" defaultRowHeight="15"/>
  <cols>
    <col min="2" max="2" width="21.6640625" bestFit="1" customWidth="1"/>
    <col min="4" max="4" width="90.5" bestFit="1" customWidth="1"/>
    <col min="5" max="5" width="24.5" customWidth="1"/>
  </cols>
  <sheetData>
    <row r="1" spans="1:6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>
      <c r="A10">
        <v>9</v>
      </c>
      <c r="B10" t="s">
        <v>217</v>
      </c>
      <c r="C10">
        <v>2017</v>
      </c>
      <c r="D10" t="s">
        <v>218</v>
      </c>
      <c r="E10" s="19" t="s">
        <v>219</v>
      </c>
    </row>
    <row r="11" spans="1:6">
      <c r="A11">
        <v>10</v>
      </c>
      <c r="B11" t="s">
        <v>225</v>
      </c>
      <c r="C11">
        <v>2017</v>
      </c>
      <c r="D11" t="s">
        <v>226</v>
      </c>
      <c r="E11" t="s">
        <v>227</v>
      </c>
      <c r="F11" t="s">
        <v>239</v>
      </c>
    </row>
    <row r="12" spans="1:6">
      <c r="A12">
        <v>11</v>
      </c>
      <c r="B12" t="s">
        <v>228</v>
      </c>
      <c r="C12">
        <v>2007</v>
      </c>
      <c r="D12" t="s">
        <v>235</v>
      </c>
      <c r="E12" s="19" t="s">
        <v>233</v>
      </c>
      <c r="F12" t="s">
        <v>234</v>
      </c>
    </row>
    <row r="13" spans="1:6">
      <c r="A13">
        <v>12</v>
      </c>
      <c r="B13" t="s">
        <v>228</v>
      </c>
      <c r="C13">
        <v>2008</v>
      </c>
      <c r="D13" t="s">
        <v>230</v>
      </c>
      <c r="E13" s="19" t="s">
        <v>229</v>
      </c>
    </row>
    <row r="14" spans="1:6">
      <c r="A14">
        <v>13</v>
      </c>
      <c r="B14" t="s">
        <v>228</v>
      </c>
      <c r="C14">
        <v>2008</v>
      </c>
      <c r="D14" t="s">
        <v>231</v>
      </c>
      <c r="E14" t="s">
        <v>232</v>
      </c>
    </row>
    <row r="15" spans="1:6">
      <c r="A15">
        <v>14</v>
      </c>
      <c r="B15" t="s">
        <v>228</v>
      </c>
      <c r="C15">
        <v>2008</v>
      </c>
      <c r="D15" t="s">
        <v>238</v>
      </c>
      <c r="E15" s="19" t="s">
        <v>236</v>
      </c>
      <c r="F15" t="s">
        <v>237</v>
      </c>
    </row>
    <row r="16" spans="1:6">
      <c r="A16">
        <v>15</v>
      </c>
      <c r="B16" t="s">
        <v>157</v>
      </c>
      <c r="C16">
        <v>2017</v>
      </c>
      <c r="D16" t="s">
        <v>262</v>
      </c>
      <c r="E16" s="19" t="s">
        <v>263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6" r:id="rId11" xr:uid="{CCF89DA2-4C6F-C940-BE89-078F5CC773D3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/>
  <cols>
    <col min="1" max="1" width="12.5" style="3" customWidth="1"/>
    <col min="2" max="2" width="11.5" style="3" customWidth="1"/>
  </cols>
  <sheetData>
    <row r="1" spans="1:5" s="3" customFormat="1" ht="16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>
      <c r="A26" s="3">
        <v>43.5</v>
      </c>
      <c r="B26" s="3" t="s">
        <v>59</v>
      </c>
      <c r="C26">
        <f>tech_full!E21</f>
        <v>1</v>
      </c>
      <c r="D26">
        <v>0</v>
      </c>
      <c r="E26">
        <f>C26+tech_full!$G21*D26</f>
        <v>1</v>
      </c>
    </row>
    <row r="27" spans="1:5">
      <c r="A27" s="3">
        <v>43.5</v>
      </c>
      <c r="B27" s="3" t="s">
        <v>60</v>
      </c>
      <c r="C27" s="26">
        <f>tech_full!K21</f>
        <v>0.93846153846153846</v>
      </c>
      <c r="D27" s="26">
        <f>tech_full!I21</f>
        <v>0.41025641025641035</v>
      </c>
      <c r="E27">
        <f>C27+tech_full!$G21*D27</f>
        <v>1</v>
      </c>
    </row>
    <row r="28" spans="1:5">
      <c r="A28" s="3">
        <v>43.5</v>
      </c>
      <c r="B28" s="3" t="s">
        <v>61</v>
      </c>
      <c r="C28">
        <f>tech_full!H21*tech_full!I21</f>
        <v>0.73846153846153861</v>
      </c>
      <c r="D28" s="26">
        <f>tech_full!I21</f>
        <v>0.41025641025641035</v>
      </c>
      <c r="E28">
        <f>C28+tech_full!$G21*D28</f>
        <v>0.80000000000000016</v>
      </c>
    </row>
    <row r="29" spans="1: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>
      <c r="A30" s="3">
        <v>44.5</v>
      </c>
      <c r="B30" s="3" t="s">
        <v>59</v>
      </c>
      <c r="C30">
        <f>tech_full!E23</f>
        <v>1</v>
      </c>
      <c r="D30">
        <v>0</v>
      </c>
      <c r="E30">
        <f>C30+tech_full!$G23*D30</f>
        <v>1</v>
      </c>
    </row>
    <row r="31" spans="1:5">
      <c r="A31" s="3">
        <v>44.5</v>
      </c>
      <c r="B31" s="3" t="s">
        <v>60</v>
      </c>
      <c r="C31" s="26">
        <f>tech_full!K23</f>
        <v>0.94418604651162785</v>
      </c>
      <c r="D31" s="26">
        <f>tech_full!I23</f>
        <v>0.37209302325581395</v>
      </c>
      <c r="E31">
        <f>C31+tech_full!$G23*D31</f>
        <v>1</v>
      </c>
    </row>
    <row r="32" spans="1:5">
      <c r="A32" s="3">
        <v>44.5</v>
      </c>
      <c r="B32" s="3" t="s">
        <v>61</v>
      </c>
      <c r="C32">
        <f>tech_full!H23*tech_full!I23</f>
        <v>0.7441860465116279</v>
      </c>
      <c r="D32" s="26">
        <f>tech_full!I23</f>
        <v>0.37209302325581395</v>
      </c>
      <c r="E32">
        <f>C32+tech_full!$G23*D32</f>
        <v>0.8</v>
      </c>
    </row>
    <row r="33" spans="1: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>
      <c r="A34" s="3">
        <v>45.5</v>
      </c>
      <c r="B34" s="3" t="s">
        <v>59</v>
      </c>
      <c r="C34">
        <f>tech_full!E25</f>
        <v>1</v>
      </c>
      <c r="D34">
        <v>0</v>
      </c>
      <c r="E34">
        <f>C34+tech_full!$G25*D34</f>
        <v>1</v>
      </c>
    </row>
    <row r="35" spans="1:5">
      <c r="A35" s="3">
        <v>45.5</v>
      </c>
      <c r="B35" s="3" t="s">
        <v>60</v>
      </c>
      <c r="C35" s="26">
        <f>tech_full!K25</f>
        <v>1</v>
      </c>
      <c r="D35" s="26">
        <f>tech_full!I25</f>
        <v>0.84210526315789469</v>
      </c>
      <c r="E35">
        <f>C35+tech_full!$G25*D35</f>
        <v>1</v>
      </c>
    </row>
    <row r="36" spans="1:5">
      <c r="A36" s="3">
        <v>45.5</v>
      </c>
      <c r="B36" s="3" t="s">
        <v>61</v>
      </c>
      <c r="C36">
        <f>tech_full!H25*tech_full!I25</f>
        <v>0.79999999999999993</v>
      </c>
      <c r="D36" s="26">
        <f>tech_full!I25</f>
        <v>0.84210526315789469</v>
      </c>
      <c r="E36">
        <f>C36+tech_full!$G25*D36</f>
        <v>0.79999999999999993</v>
      </c>
    </row>
    <row r="37" spans="1: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>
      <c r="A38" s="3">
        <v>50.5</v>
      </c>
      <c r="B38" s="3" t="s">
        <v>59</v>
      </c>
      <c r="C38">
        <f>tech_full!E28</f>
        <v>1</v>
      </c>
      <c r="D38">
        <v>0</v>
      </c>
      <c r="E38">
        <f>C38+tech_full!$G28*D38</f>
        <v>1</v>
      </c>
    </row>
    <row r="39" spans="1:5">
      <c r="A39" s="3">
        <v>50.5</v>
      </c>
      <c r="B39" s="3" t="s">
        <v>60</v>
      </c>
      <c r="C39" s="26">
        <f>tech_full!K28</f>
        <v>0.80689655172413799</v>
      </c>
      <c r="D39" s="26">
        <f>tech_full!I28</f>
        <v>1.103448275862069</v>
      </c>
      <c r="E39">
        <f>C39+tech_full!$G28*D39</f>
        <v>1</v>
      </c>
    </row>
    <row r="40" spans="1:5">
      <c r="A40" s="3">
        <v>50.5</v>
      </c>
      <c r="B40" s="3" t="s">
        <v>61</v>
      </c>
      <c r="C40">
        <f>tech_full!H28*tech_full!I28</f>
        <v>0.60689655172413792</v>
      </c>
      <c r="D40" s="26">
        <f>tech_full!I28</f>
        <v>1.103448275862069</v>
      </c>
      <c r="E40">
        <f>C40+tech_full!$G28*D40</f>
        <v>0.8</v>
      </c>
    </row>
    <row r="41" spans="1: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>
      <c r="A42" s="3">
        <v>52.5</v>
      </c>
      <c r="B42" s="3" t="s">
        <v>59</v>
      </c>
      <c r="C42">
        <f>tech_full!E31</f>
        <v>1</v>
      </c>
      <c r="D42">
        <v>0</v>
      </c>
      <c r="E42">
        <f>C42+tech_full!$G31*D42</f>
        <v>1</v>
      </c>
    </row>
    <row r="43" spans="1:5">
      <c r="A43" s="3">
        <v>52.5</v>
      </c>
      <c r="B43" s="3" t="s">
        <v>60</v>
      </c>
      <c r="C43" s="26">
        <f>tech_full!K31</f>
        <v>0.82126642771804059</v>
      </c>
      <c r="D43" s="26">
        <f>tech_full!I31</f>
        <v>0.95579450418160106</v>
      </c>
      <c r="E43">
        <f>C43+tech_full!$G31*D43</f>
        <v>1</v>
      </c>
    </row>
    <row r="44" spans="1:5">
      <c r="A44" s="3">
        <v>52.5</v>
      </c>
      <c r="B44" s="3" t="s">
        <v>61</v>
      </c>
      <c r="C44">
        <f>tech_full!H31*tech_full!I31</f>
        <v>0.62126642771804075</v>
      </c>
      <c r="D44" s="26">
        <f>tech_full!I31</f>
        <v>0.95579450418160106</v>
      </c>
      <c r="E44">
        <f>C44+tech_full!$G31*D44</f>
        <v>0.80000000000000016</v>
      </c>
    </row>
    <row r="45" spans="1: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>
      <c r="A46" s="3">
        <v>70.5</v>
      </c>
      <c r="B46" s="3" t="s">
        <v>59</v>
      </c>
      <c r="C46">
        <f>tech_full!E36</f>
        <v>1</v>
      </c>
      <c r="D46">
        <v>0</v>
      </c>
      <c r="E46">
        <f>C46+tech_full!$G36*D46</f>
        <v>1</v>
      </c>
    </row>
    <row r="47" spans="1:5">
      <c r="A47" s="3">
        <v>70.5</v>
      </c>
      <c r="B47" s="3" t="s">
        <v>60</v>
      </c>
      <c r="C47" s="26">
        <f>tech_full!K36</f>
        <v>0.8</v>
      </c>
      <c r="D47" s="26">
        <f>tech_full!I36</f>
        <v>1.4285714285714286</v>
      </c>
      <c r="E47">
        <f>C47+tech_full!$G36*D47</f>
        <v>1</v>
      </c>
    </row>
    <row r="48" spans="1:5">
      <c r="A48" s="3">
        <v>70.5</v>
      </c>
      <c r="B48" s="3" t="s">
        <v>61</v>
      </c>
      <c r="C48">
        <f>tech_full!H36*tech_full!I36</f>
        <v>0.6</v>
      </c>
      <c r="D48" s="26">
        <f>tech_full!I36</f>
        <v>1.4285714285714286</v>
      </c>
      <c r="E48">
        <f>C48+tech_full!$G36*D48</f>
        <v>0.8</v>
      </c>
    </row>
    <row r="49" spans="1: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/>
  <cols>
    <col min="1" max="4" width="11.5" style="5"/>
    <col min="5" max="5" width="11.5" style="17"/>
  </cols>
  <sheetData>
    <row r="1" spans="1:6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/>
  <sheetData>
    <row r="1" spans="1:12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/>
  <sheetData>
    <row r="1" spans="1:14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/>
  <sheetData>
    <row r="1" spans="1:3">
      <c r="B1" t="s">
        <v>1</v>
      </c>
      <c r="C1" t="s">
        <v>2</v>
      </c>
    </row>
    <row r="2" spans="1:3">
      <c r="A2" t="s">
        <v>3</v>
      </c>
      <c r="B2" s="10" t="s">
        <v>138</v>
      </c>
      <c r="C2" t="s">
        <v>138</v>
      </c>
    </row>
    <row r="3" spans="1:3">
      <c r="A3" t="s">
        <v>4</v>
      </c>
      <c r="B3" s="10">
        <v>0</v>
      </c>
      <c r="C3">
        <v>0</v>
      </c>
    </row>
    <row r="4" spans="1:3">
      <c r="A4" t="s">
        <v>5</v>
      </c>
      <c r="B4" t="s">
        <v>138</v>
      </c>
      <c r="C4" t="s">
        <v>138</v>
      </c>
    </row>
    <row r="5" spans="1:3">
      <c r="A5" t="s">
        <v>6</v>
      </c>
      <c r="B5">
        <v>0</v>
      </c>
      <c r="C5">
        <v>15</v>
      </c>
    </row>
    <row r="6" spans="1:3">
      <c r="A6" t="s">
        <v>122</v>
      </c>
      <c r="B6">
        <v>0</v>
      </c>
      <c r="C6">
        <v>0</v>
      </c>
    </row>
    <row r="7" spans="1:3">
      <c r="A7" t="s">
        <v>123</v>
      </c>
      <c r="B7">
        <v>0</v>
      </c>
      <c r="C7">
        <v>0</v>
      </c>
    </row>
    <row r="8" spans="1:3">
      <c r="A8" t="s">
        <v>124</v>
      </c>
      <c r="B8">
        <v>0</v>
      </c>
      <c r="C8">
        <v>0</v>
      </c>
    </row>
    <row r="9" spans="1:3">
      <c r="A9" t="s">
        <v>125</v>
      </c>
      <c r="B9">
        <v>0</v>
      </c>
      <c r="C9">
        <v>0</v>
      </c>
    </row>
    <row r="10" spans="1:3">
      <c r="A10" t="s">
        <v>126</v>
      </c>
      <c r="B10">
        <v>0</v>
      </c>
      <c r="C10">
        <v>0</v>
      </c>
    </row>
    <row r="11" spans="1:3">
      <c r="A11" t="s">
        <v>127</v>
      </c>
      <c r="B11">
        <v>0</v>
      </c>
      <c r="C11">
        <v>0</v>
      </c>
    </row>
    <row r="12" spans="1:3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workbookViewId="0">
      <selection activeCell="D15" sqref="D15"/>
    </sheetView>
  </sheetViews>
  <sheetFormatPr baseColWidth="10" defaultRowHeight="15"/>
  <cols>
    <col min="4" max="4" width="40.1640625" bestFit="1" customWidth="1"/>
  </cols>
  <sheetData>
    <row r="1" spans="1:5">
      <c r="A1" s="2" t="s">
        <v>58</v>
      </c>
      <c r="B1" s="2" t="s">
        <v>258</v>
      </c>
      <c r="C1" s="2" t="s">
        <v>247</v>
      </c>
      <c r="D1" s="2" t="s">
        <v>246</v>
      </c>
      <c r="E1" s="2" t="s">
        <v>245</v>
      </c>
    </row>
    <row r="2" spans="1:5">
      <c r="A2" t="s">
        <v>20</v>
      </c>
      <c r="B2">
        <v>0.27</v>
      </c>
      <c r="C2">
        <v>0</v>
      </c>
      <c r="D2" t="s">
        <v>257</v>
      </c>
      <c r="E2" t="s">
        <v>244</v>
      </c>
    </row>
    <row r="3" spans="1:5">
      <c r="A3" t="s">
        <v>128</v>
      </c>
      <c r="B3">
        <v>4.0599999999999996</v>
      </c>
      <c r="C3">
        <v>0</v>
      </c>
      <c r="D3" t="s">
        <v>253</v>
      </c>
      <c r="E3" t="s">
        <v>243</v>
      </c>
    </row>
    <row r="4" spans="1:5">
      <c r="A4" t="s">
        <v>129</v>
      </c>
      <c r="B4">
        <v>6.12</v>
      </c>
      <c r="C4">
        <v>0</v>
      </c>
      <c r="D4" t="s">
        <v>254</v>
      </c>
      <c r="E4" t="s">
        <v>243</v>
      </c>
    </row>
    <row r="5" spans="1:5">
      <c r="A5" t="s">
        <v>130</v>
      </c>
      <c r="B5">
        <v>2.36</v>
      </c>
      <c r="C5">
        <v>0</v>
      </c>
      <c r="D5" t="s">
        <v>255</v>
      </c>
      <c r="E5" t="s">
        <v>243</v>
      </c>
    </row>
    <row r="6" spans="1:5">
      <c r="A6" t="s">
        <v>131</v>
      </c>
      <c r="B6">
        <f>(B5+B3)/2</f>
        <v>3.21</v>
      </c>
      <c r="C6">
        <v>0</v>
      </c>
      <c r="D6" t="s">
        <v>250</v>
      </c>
      <c r="E6">
        <v>8</v>
      </c>
    </row>
    <row r="7" spans="1:5">
      <c r="A7" t="s">
        <v>132</v>
      </c>
      <c r="B7">
        <v>0</v>
      </c>
      <c r="C7">
        <v>0</v>
      </c>
      <c r="D7" t="s">
        <v>251</v>
      </c>
      <c r="E7">
        <v>8</v>
      </c>
    </row>
    <row r="8" spans="1:5">
      <c r="A8" t="s">
        <v>133</v>
      </c>
      <c r="B8">
        <v>4.04</v>
      </c>
      <c r="C8">
        <v>0</v>
      </c>
      <c r="D8" t="s">
        <v>256</v>
      </c>
      <c r="E8" t="s">
        <v>242</v>
      </c>
    </row>
    <row r="9" spans="1:5">
      <c r="A9" t="s">
        <v>134</v>
      </c>
      <c r="B9">
        <v>0</v>
      </c>
      <c r="C9">
        <v>5028</v>
      </c>
      <c r="D9" t="s">
        <v>249</v>
      </c>
      <c r="E9" t="s">
        <v>240</v>
      </c>
    </row>
    <row r="10" spans="1:5">
      <c r="A10" t="s">
        <v>135</v>
      </c>
      <c r="B10">
        <v>0</v>
      </c>
      <c r="C10">
        <v>2831</v>
      </c>
      <c r="D10" t="s">
        <v>248</v>
      </c>
      <c r="E10" t="s">
        <v>241</v>
      </c>
    </row>
    <row r="11" spans="1:5">
      <c r="A11" t="s">
        <v>136</v>
      </c>
      <c r="B11">
        <v>0</v>
      </c>
      <c r="C11">
        <v>0</v>
      </c>
      <c r="D11" t="s">
        <v>251</v>
      </c>
      <c r="E11">
        <v>8</v>
      </c>
    </row>
    <row r="12" spans="1:5">
      <c r="A12" t="s">
        <v>137</v>
      </c>
      <c r="B12">
        <v>0</v>
      </c>
      <c r="C12">
        <v>0</v>
      </c>
      <c r="D12" t="s">
        <v>251</v>
      </c>
      <c r="E12">
        <v>8</v>
      </c>
    </row>
    <row r="13" spans="1:5">
      <c r="A13" t="s">
        <v>252</v>
      </c>
      <c r="B13">
        <v>0</v>
      </c>
      <c r="C13">
        <v>0</v>
      </c>
      <c r="D13" t="s">
        <v>251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D4" sqref="D4"/>
    </sheetView>
  </sheetViews>
  <sheetFormatPr baseColWidth="10" defaultRowHeight="15"/>
  <cols>
    <col min="1" max="1" width="13.83203125" style="3" bestFit="1" customWidth="1"/>
    <col min="2" max="2" width="38.83203125" bestFit="1" customWidth="1"/>
    <col min="3" max="3" width="14.1640625" bestFit="1" customWidth="1"/>
    <col min="6" max="6" width="11.5" style="3"/>
  </cols>
  <sheetData>
    <row r="1" spans="1:6" s="15" customFormat="1" ht="32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>
      <c r="A2" s="3">
        <v>10</v>
      </c>
      <c r="B2" t="s">
        <v>20</v>
      </c>
      <c r="C2" t="s">
        <v>80</v>
      </c>
    </row>
    <row r="3" spans="1:6">
      <c r="A3" s="3">
        <v>20</v>
      </c>
      <c r="B3" t="s">
        <v>21</v>
      </c>
      <c r="C3" t="s">
        <v>81</v>
      </c>
    </row>
    <row r="4" spans="1:6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>
      <c r="A5" s="3">
        <v>21</v>
      </c>
      <c r="B5" t="s">
        <v>23</v>
      </c>
      <c r="C5" t="s">
        <v>83</v>
      </c>
    </row>
    <row r="6" spans="1:6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>
      <c r="A7" s="3">
        <v>30</v>
      </c>
      <c r="B7" t="s">
        <v>25</v>
      </c>
      <c r="C7" t="s">
        <v>85</v>
      </c>
    </row>
    <row r="8" spans="1:6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>
      <c r="A9" s="3">
        <v>31</v>
      </c>
      <c r="B9" t="s">
        <v>27</v>
      </c>
      <c r="C9" t="s">
        <v>87</v>
      </c>
    </row>
    <row r="10" spans="1:6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>
      <c r="A11" s="3">
        <v>32</v>
      </c>
      <c r="B11" t="s">
        <v>29</v>
      </c>
      <c r="C11" t="s">
        <v>89</v>
      </c>
    </row>
    <row r="12" spans="1:6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>
      <c r="A13" s="3">
        <v>33</v>
      </c>
      <c r="B13" t="s">
        <v>31</v>
      </c>
      <c r="C13" t="s">
        <v>91</v>
      </c>
    </row>
    <row r="14" spans="1:6">
      <c r="A14" s="3">
        <v>40</v>
      </c>
      <c r="B14" t="s">
        <v>32</v>
      </c>
      <c r="C14" t="s">
        <v>92</v>
      </c>
    </row>
    <row r="15" spans="1:6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>
      <c r="A16" s="3">
        <v>41</v>
      </c>
      <c r="B16" t="s">
        <v>34</v>
      </c>
      <c r="C16" t="s">
        <v>94</v>
      </c>
    </row>
    <row r="17" spans="1:6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>
      <c r="A18" s="3">
        <v>42</v>
      </c>
      <c r="B18" t="s">
        <v>36</v>
      </c>
      <c r="C18" t="s">
        <v>96</v>
      </c>
    </row>
    <row r="19" spans="1:6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>
      <c r="A20" s="3">
        <v>43</v>
      </c>
      <c r="B20" t="s">
        <v>38</v>
      </c>
      <c r="C20" t="s">
        <v>98</v>
      </c>
    </row>
    <row r="21" spans="1:6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>
      <c r="A22" s="3">
        <v>44</v>
      </c>
      <c r="B22" t="s">
        <v>40</v>
      </c>
      <c r="C22" t="s">
        <v>100</v>
      </c>
    </row>
    <row r="23" spans="1:6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>
      <c r="A24" s="3">
        <v>45</v>
      </c>
      <c r="B24" t="s">
        <v>42</v>
      </c>
      <c r="C24" t="s">
        <v>102</v>
      </c>
    </row>
    <row r="25" spans="1:6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>
      <c r="A26" s="3">
        <v>49.5</v>
      </c>
      <c r="B26" t="s">
        <v>44</v>
      </c>
      <c r="C26" t="s">
        <v>104</v>
      </c>
    </row>
    <row r="27" spans="1:6">
      <c r="A27" s="3">
        <v>50</v>
      </c>
      <c r="B27" t="s">
        <v>45</v>
      </c>
      <c r="C27" t="s">
        <v>105</v>
      </c>
    </row>
    <row r="28" spans="1:6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>
      <c r="A29" s="3">
        <v>51</v>
      </c>
      <c r="B29" t="s">
        <v>47</v>
      </c>
      <c r="C29" t="s">
        <v>107</v>
      </c>
    </row>
    <row r="30" spans="1:6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>
      <c r="A31" s="3">
        <v>52</v>
      </c>
      <c r="B31" t="s">
        <v>49</v>
      </c>
      <c r="C31" t="s">
        <v>109</v>
      </c>
    </row>
    <row r="32" spans="1:6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>
      <c r="A33" s="3">
        <v>60</v>
      </c>
      <c r="B33" t="s">
        <v>50</v>
      </c>
      <c r="C33" t="s">
        <v>111</v>
      </c>
    </row>
    <row r="34" spans="1:6">
      <c r="A34" s="3">
        <v>61</v>
      </c>
      <c r="B34" t="s">
        <v>51</v>
      </c>
      <c r="C34" t="s">
        <v>112</v>
      </c>
    </row>
    <row r="35" spans="1:6">
      <c r="A35" s="3">
        <v>62</v>
      </c>
      <c r="B35" t="s">
        <v>52</v>
      </c>
    </row>
    <row r="36" spans="1:6">
      <c r="A36" s="3">
        <v>63</v>
      </c>
      <c r="B36" t="s">
        <v>53</v>
      </c>
      <c r="C36" t="s">
        <v>113</v>
      </c>
    </row>
    <row r="37" spans="1:6">
      <c r="A37" s="3">
        <v>70</v>
      </c>
      <c r="B37" t="s">
        <v>54</v>
      </c>
      <c r="C37" t="s">
        <v>114</v>
      </c>
    </row>
    <row r="38" spans="1:6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/>
  <sheetData>
    <row r="1" spans="1:2">
      <c r="A1" s="2" t="s">
        <v>149</v>
      </c>
      <c r="B1" s="2" t="s">
        <v>63</v>
      </c>
    </row>
    <row r="2" spans="1:2">
      <c r="A2" t="s">
        <v>1</v>
      </c>
      <c r="B2">
        <v>0.05</v>
      </c>
    </row>
    <row r="3" spans="1:2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RowHeight="15"/>
  <sheetData>
    <row r="1" spans="1:6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>
      <c r="A9" t="s">
        <v>1</v>
      </c>
      <c r="B9">
        <v>2019</v>
      </c>
      <c r="F9">
        <v>0</v>
      </c>
    </row>
    <row r="10" spans="1:6">
      <c r="A10" t="s">
        <v>1</v>
      </c>
      <c r="B10">
        <v>2020</v>
      </c>
      <c r="F10">
        <v>0</v>
      </c>
    </row>
    <row r="11" spans="1:6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>
      <c r="A18" t="s">
        <v>2</v>
      </c>
      <c r="B18">
        <v>2019</v>
      </c>
    </row>
    <row r="19" spans="1:6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/>
  <cols>
    <col min="9" max="9" width="12.1640625" bestFit="1" customWidth="1"/>
  </cols>
  <sheetData>
    <row r="1" spans="1:9" ht="48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224</v>
      </c>
    </row>
    <row r="2" spans="1:9" ht="30" customHeight="1">
      <c r="A2" s="20" t="s">
        <v>1</v>
      </c>
      <c r="B2" s="20" t="s">
        <v>3</v>
      </c>
      <c r="C2" s="1"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ROUND((WACC!$B$2*(1+WACC!$B$2)^$C2)/((1+WACC!$B$2)^$C2-1)*$D2,0)</f>
        <v>36715</v>
      </c>
      <c r="H2" s="30"/>
      <c r="I2" s="31"/>
    </row>
    <row r="3" spans="1:9" ht="30" customHeight="1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ROUND((WACC!$B$2*(1+WACC!$B$2)^$C3)/((1+WACC!$B$2)^$C3-1)*$D3,0)</f>
        <v>153375</v>
      </c>
      <c r="I3" s="25"/>
    </row>
    <row r="4" spans="1:9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ROUND((WACC!$B$3*(1+WACC!$B$3)^$C6)/((1+WACC!$B$3)^$C6-1)*$D6,0)</f>
        <v>27255</v>
      </c>
      <c r="I6" s="25"/>
    </row>
    <row r="7" spans="1:9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ROUND((WACC!$B$3*(1+WACC!$B$3)^$C7)/((1+WACC!$B$3)^$C7-1)*$D7,0)</f>
        <v>108823</v>
      </c>
      <c r="I7" s="25"/>
    </row>
    <row r="8" spans="1:9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RowHeight="15"/>
  <cols>
    <col min="4" max="7" width="11.5" customWidth="1"/>
  </cols>
  <sheetData>
    <row r="1" spans="1:15" s="15" customFormat="1" ht="32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>
      <c r="A9" t="s">
        <v>1</v>
      </c>
      <c r="B9" t="s">
        <v>266</v>
      </c>
      <c r="C9">
        <v>100</v>
      </c>
      <c r="D9" s="1">
        <v>635000</v>
      </c>
      <c r="E9" s="1">
        <v>1080</v>
      </c>
      <c r="F9" s="1">
        <v>40</v>
      </c>
      <c r="G9" s="8">
        <v>20</v>
      </c>
      <c r="H9" s="1">
        <f>D9*(WACC!$B$2*(1+WACC!$B$2)^$C9)/((1+WACC!$B$2)^$C9-1)</f>
        <v>31993.292674139535</v>
      </c>
      <c r="I9" s="1">
        <f>E9*(WACC!$B$3*(1+WACC!$B$3)^$C9)/((1+WACC!$B$3)^$C9-1)</f>
        <v>34.178399170368294</v>
      </c>
    </row>
    <row r="10" spans="1:15">
      <c r="A10" t="s">
        <v>1</v>
      </c>
      <c r="B10" t="s">
        <v>267</v>
      </c>
      <c r="C10">
        <v>100</v>
      </c>
      <c r="D10" s="1">
        <v>29000</v>
      </c>
      <c r="E10" s="1">
        <v>40</v>
      </c>
      <c r="F10" s="1">
        <v>2400</v>
      </c>
      <c r="G10" s="8">
        <v>0.3</v>
      </c>
      <c r="H10" s="1">
        <f>D10*(WACC!$B$2*(1+WACC!$B$2)^$C10)/((1+WACC!$B$2)^$C10-1)</f>
        <v>1461.1110040158212</v>
      </c>
      <c r="I10" s="1">
        <f>E10*(WACC!$B$3*(1+WACC!$B$3)^$C10)/((1+WACC!$B$3)^$C10-1)</f>
        <v>1.2658666359395665</v>
      </c>
    </row>
    <row r="11" spans="1:15">
      <c r="E11" s="9"/>
      <c r="F11" s="9"/>
      <c r="G11" s="9"/>
      <c r="H11" s="7"/>
    </row>
    <row r="13" spans="1:15">
      <c r="G13" s="1"/>
    </row>
    <row r="14" spans="1:15">
      <c r="D14" s="8"/>
      <c r="E14" s="9"/>
      <c r="F14" s="9"/>
      <c r="G14" s="1"/>
      <c r="H14" s="7"/>
    </row>
    <row r="15" spans="1:1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U41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baseColWidth="10" defaultRowHeight="15"/>
  <cols>
    <col min="2" max="2" width="14.1640625" bestFit="1" customWidth="1"/>
  </cols>
  <sheetData>
    <row r="1" spans="1:21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8" t="s">
        <v>264</v>
      </c>
      <c r="N1" s="28" t="s">
        <v>265</v>
      </c>
      <c r="O1" s="2" t="s">
        <v>76</v>
      </c>
      <c r="P1" s="2" t="s">
        <v>77</v>
      </c>
      <c r="Q1" s="2" t="s">
        <v>64</v>
      </c>
      <c r="R1" s="2" t="s">
        <v>78</v>
      </c>
      <c r="S1" s="2" t="s">
        <v>79</v>
      </c>
    </row>
    <row r="2" spans="1:21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18">
        <v>0.34</v>
      </c>
      <c r="N2" s="18">
        <v>0</v>
      </c>
      <c r="O2" s="8">
        <f>LOOKUP($A2,tech_full!$A$3:$A$39,tech_full!$T$3:$T$39)</f>
        <v>2.5</v>
      </c>
      <c r="P2" s="1">
        <f>LOOKUP($A2,tech_full!$A$3:$A$39,tech_full!$U$3:$U$39)</f>
        <v>121800.00000000001</v>
      </c>
      <c r="Q2" s="1">
        <f>LOOKUP($A2,tech_full!$A$3:$A$39,tech_full!$V$3:$V$39)</f>
        <v>40</v>
      </c>
      <c r="R2" s="1">
        <f>LOOKUP($A2,tech_full!$A$3:$A$39,tech_full!$S$3:$S$39)*1000</f>
        <v>5800000</v>
      </c>
      <c r="S2" s="1">
        <f>R2*(WACC!$B$2*(1+WACC!$B$2)^$Q2)/((1+WACC!$B$2)^$Q2-1)</f>
        <v>338013.33476300299</v>
      </c>
      <c r="U2" s="7"/>
    </row>
    <row r="3" spans="1:21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18">
        <v>0.31</v>
      </c>
      <c r="N3" s="18">
        <v>0</v>
      </c>
      <c r="O3" s="8">
        <f>LOOKUP($A3,tech_full!$A$3:$A$39,tech_full!$T$3:$T$39)</f>
        <v>2</v>
      </c>
      <c r="P3" s="1">
        <f>LOOKUP($A3,tech_full!$A$3:$A$39,tech_full!$U$3:$U$39)</f>
        <v>60000</v>
      </c>
      <c r="Q3" s="1">
        <f>LOOKUP($A3,tech_full!$A$3:$A$39,tech_full!$V$3:$V$39)</f>
        <v>40</v>
      </c>
      <c r="R3" s="1">
        <f>LOOKUP($A3,tech_full!$A$3:$A$39,tech_full!$S$3:$S$39)*1000</f>
        <v>1700000</v>
      </c>
      <c r="S3" s="1">
        <f>R3*(WACC!$B$2*(1+WACC!$B$2)^$Q3)/((1+WACC!$B$2)^$Q3-1)</f>
        <v>99072.873982259509</v>
      </c>
      <c r="U3" s="7"/>
    </row>
    <row r="4" spans="1:21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18">
        <v>0.31</v>
      </c>
      <c r="N4" s="18">
        <v>0</v>
      </c>
      <c r="O4" s="8">
        <f>LOOKUP($A4,tech_full!$A$3:$A$39,tech_full!$T$3:$T$39)</f>
        <v>2</v>
      </c>
      <c r="P4" s="1">
        <f>LOOKUP($A4,tech_full!$A$3:$A$39,tech_full!$U$3:$U$39)</f>
        <v>60000</v>
      </c>
      <c r="Q4" s="1">
        <f>LOOKUP($A4,tech_full!$A$3:$A$39,tech_full!$V$3:$V$39)</f>
        <v>40</v>
      </c>
      <c r="R4" s="1">
        <f>LOOKUP($A4,tech_full!$A$3:$A$39,tech_full!$S$3:$S$39)*1000</f>
        <v>1700000</v>
      </c>
      <c r="S4" s="1">
        <f>R4*(WACC!$B$2*(1+WACC!$B$2)^$Q4)/((1+WACC!$B$2)^$Q4-1)</f>
        <v>99072.873982259509</v>
      </c>
      <c r="U4" s="7"/>
    </row>
    <row r="5" spans="1:21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18">
        <v>0.43</v>
      </c>
      <c r="N5" s="18">
        <v>0</v>
      </c>
      <c r="O5" s="8">
        <f>LOOKUP($A5,tech_full!$A$3:$A$39,tech_full!$T$3:$T$39)</f>
        <v>4.5</v>
      </c>
      <c r="P5" s="1">
        <f>LOOKUP($A5,tech_full!$A$3:$A$39,tech_full!$U$3:$U$39)</f>
        <v>50000</v>
      </c>
      <c r="Q5" s="1">
        <f>LOOKUP($A5,tech_full!$A$3:$A$39,tech_full!$V$3:$V$39)</f>
        <v>40</v>
      </c>
      <c r="R5" s="1">
        <f>LOOKUP($A5,tech_full!$A$3:$A$39,tech_full!$S$3:$S$39)*1000</f>
        <v>2000000</v>
      </c>
      <c r="S5" s="1">
        <f>R5*(WACC!$B$2*(1+WACC!$B$2)^$Q5)/((1+WACC!$B$2)^$Q5-1)</f>
        <v>116556.32233207001</v>
      </c>
      <c r="U5" s="7"/>
    </row>
    <row r="6" spans="1:21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18">
        <v>0.43</v>
      </c>
      <c r="N6" s="18">
        <v>0</v>
      </c>
      <c r="O6" s="8">
        <f>LOOKUP($A6,tech_full!$A$3:$A$39,tech_full!$T$3:$T$39)</f>
        <v>4.5</v>
      </c>
      <c r="P6" s="1">
        <f>LOOKUP($A6,tech_full!$A$3:$A$39,tech_full!$U$3:$U$39)</f>
        <v>52625</v>
      </c>
      <c r="Q6" s="1">
        <f>LOOKUP($A6,tech_full!$A$3:$A$39,tech_full!$V$3:$V$39)</f>
        <v>40</v>
      </c>
      <c r="R6" s="1">
        <f>LOOKUP($A6,tech_full!$A$3:$A$39,tech_full!$S$3:$S$39)*1000</f>
        <v>2105000</v>
      </c>
      <c r="S6" s="1">
        <f>R6*(WACC!$B$2*(1+WACC!$B$2)^$Q6)/((1+WACC!$B$2)^$Q6-1)</f>
        <v>122675.52925450366</v>
      </c>
      <c r="U6" s="7"/>
    </row>
    <row r="7" spans="1:21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18">
        <v>0.32</v>
      </c>
      <c r="N7" s="18">
        <v>0</v>
      </c>
      <c r="O7" s="8">
        <f>LOOKUP($A7,tech_full!$A$3:$A$39,tech_full!$T$3:$T$39)</f>
        <v>6</v>
      </c>
      <c r="P7" s="1">
        <f>LOOKUP($A7,tech_full!$A$3:$A$39,tech_full!$U$3:$U$39)</f>
        <v>30000</v>
      </c>
      <c r="Q7" s="1">
        <f>LOOKUP($A7,tech_full!$A$3:$A$39,tech_full!$V$3:$V$39)</f>
        <v>40</v>
      </c>
      <c r="R7" s="1">
        <f>LOOKUP($A7,tech_full!$A$3:$A$39,tech_full!$S$3:$S$39)*1000</f>
        <v>1200000</v>
      </c>
      <c r="S7" s="1">
        <f>R7*(WACC!$B$2*(1+WACC!$B$2)^$Q7)/((1+WACC!$B$2)^$Q7-1)</f>
        <v>69933.793399242</v>
      </c>
      <c r="U7" s="7"/>
    </row>
    <row r="8" spans="1:21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18">
        <v>0.32</v>
      </c>
      <c r="N8" s="18">
        <v>0</v>
      </c>
      <c r="O8" s="8">
        <f>LOOKUP($A8,tech_full!$A$3:$A$39,tech_full!$T$3:$T$39)</f>
        <v>6</v>
      </c>
      <c r="P8" s="1">
        <f>LOOKUP($A8,tech_full!$A$3:$A$39,tech_full!$U$3:$U$39)</f>
        <v>30000</v>
      </c>
      <c r="Q8" s="1">
        <f>LOOKUP($A8,tech_full!$A$3:$A$39,tech_full!$V$3:$V$39)</f>
        <v>40</v>
      </c>
      <c r="R8" s="1">
        <f>LOOKUP($A8,tech_full!$A$3:$A$39,tech_full!$S$3:$S$39)*1000</f>
        <v>1263000</v>
      </c>
      <c r="S8" s="1">
        <f>R8*(WACC!$B$2*(1+WACC!$B$2)^$Q8)/((1+WACC!$B$2)^$Q8-1)</f>
        <v>73605.31755270221</v>
      </c>
      <c r="U8" s="7"/>
    </row>
    <row r="9" spans="1:21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18">
        <v>0.41</v>
      </c>
      <c r="N9" s="18">
        <v>0</v>
      </c>
      <c r="O9" s="8">
        <f>LOOKUP($A9,tech_full!$A$3:$A$39,tech_full!$T$3:$T$39)</f>
        <v>6</v>
      </c>
      <c r="P9" s="1">
        <f>LOOKUP($A9,tech_full!$A$3:$A$39,tech_full!$U$3:$U$39)</f>
        <v>25000</v>
      </c>
      <c r="Q9" s="1">
        <f>LOOKUP($A9,tech_full!$A$3:$A$39,tech_full!$V$3:$V$39)</f>
        <v>40</v>
      </c>
      <c r="R9" s="1">
        <f>LOOKUP($A9,tech_full!$A$3:$A$39,tech_full!$S$3:$S$39)*1000</f>
        <v>1300000</v>
      </c>
      <c r="S9" s="1">
        <f>R9*(WACC!$B$2*(1+WACC!$B$2)^$Q9)/((1+WACC!$B$2)^$Q9-1)</f>
        <v>75761.609515845499</v>
      </c>
      <c r="U9" s="7"/>
    </row>
    <row r="10" spans="1:21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18">
        <v>0.41</v>
      </c>
      <c r="N10" s="18">
        <v>0</v>
      </c>
      <c r="O10" s="8">
        <f>LOOKUP($A10,tech_full!$A$3:$A$39,tech_full!$T$3:$T$39)</f>
        <v>6</v>
      </c>
      <c r="P10" s="1">
        <f>LOOKUP($A10,tech_full!$A$3:$A$39,tech_full!$U$3:$U$39)</f>
        <v>25000</v>
      </c>
      <c r="Q10" s="1">
        <f>LOOKUP($A10,tech_full!$A$3:$A$39,tech_full!$V$3:$V$39)</f>
        <v>40</v>
      </c>
      <c r="R10" s="1">
        <f>LOOKUP($A10,tech_full!$A$3:$A$39,tech_full!$S$3:$S$39)*1000</f>
        <v>1368000</v>
      </c>
      <c r="S10" s="1">
        <f>R10*(WACC!$B$2*(1+WACC!$B$2)^$Q10)/((1+WACC!$B$2)^$Q10-1)</f>
        <v>79724.524475135884</v>
      </c>
      <c r="U10" s="7"/>
    </row>
    <row r="11" spans="1:21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18">
        <v>0.44</v>
      </c>
      <c r="N11" s="18">
        <v>0</v>
      </c>
      <c r="O11" s="8">
        <f>LOOKUP($A11,tech_full!$A$3:$A$39,tech_full!$T$3:$T$39)</f>
        <v>2.9</v>
      </c>
      <c r="P11" s="1">
        <f>LOOKUP($A11,tech_full!$A$3:$A$39,tech_full!$U$3:$U$39)</f>
        <v>31000</v>
      </c>
      <c r="Q11" s="1">
        <f>LOOKUP($A11,tech_full!$A$3:$A$39,tech_full!$V$3:$V$39)</f>
        <v>40</v>
      </c>
      <c r="R11" s="1">
        <f>LOOKUP($A11,tech_full!$A$3:$A$39,tech_full!$S$3:$S$39)*1000</f>
        <v>1900000</v>
      </c>
      <c r="S11" s="1">
        <f>R11*(WACC!$B$2*(1+WACC!$B$2)^$Q11)/((1+WACC!$B$2)^$Q11-1)</f>
        <v>110728.50621546649</v>
      </c>
      <c r="U11" s="7"/>
    </row>
    <row r="12" spans="1:21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18">
        <v>0.44</v>
      </c>
      <c r="N12" s="18">
        <v>0</v>
      </c>
      <c r="O12" s="8">
        <f>LOOKUP($A12,tech_full!$A$3:$A$39,tech_full!$T$3:$T$39)</f>
        <v>2.9</v>
      </c>
      <c r="P12" s="1">
        <f>LOOKUP($A12,tech_full!$A$3:$A$39,tech_full!$U$3:$U$39)</f>
        <v>31000</v>
      </c>
      <c r="Q12" s="1">
        <f>LOOKUP($A12,tech_full!$A$3:$A$39,tech_full!$V$3:$V$39)</f>
        <v>40</v>
      </c>
      <c r="R12" s="1">
        <f>LOOKUP($A12,tech_full!$A$3:$A$39,tech_full!$S$3:$S$39)*1000</f>
        <v>2000000</v>
      </c>
      <c r="S12" s="1">
        <f>R12*(WACC!$B$2*(1+WACC!$B$2)^$Q12)/((1+WACC!$B$2)^$Q12-1)</f>
        <v>116556.32233207001</v>
      </c>
      <c r="U12" s="7"/>
    </row>
    <row r="13" spans="1:21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18">
        <v>0.55000000000000004</v>
      </c>
      <c r="N13" s="18">
        <v>0</v>
      </c>
      <c r="O13" s="8">
        <f>LOOKUP($A13,tech_full!$A$3:$A$39,tech_full!$T$3:$T$39)</f>
        <v>5</v>
      </c>
      <c r="P13" s="1">
        <f>LOOKUP($A13,tech_full!$A$3:$A$39,tech_full!$U$3:$U$39)</f>
        <v>57500</v>
      </c>
      <c r="Q13" s="1">
        <f>LOOKUP($A13,tech_full!$A$3:$A$39,tech_full!$V$3:$V$39)</f>
        <v>35</v>
      </c>
      <c r="R13" s="1">
        <f>LOOKUP($A13,tech_full!$A$3:$A$39,tech_full!$S$3:$S$39)*1000</f>
        <v>2300000</v>
      </c>
      <c r="S13" s="1">
        <f>R13*(WACC!$B$2*(1+WACC!$B$2)^$Q13)/((1+WACC!$B$2)^$Q13-1)</f>
        <v>140464.92663095458</v>
      </c>
      <c r="U13" s="7"/>
    </row>
    <row r="14" spans="1:21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18">
        <v>0.4</v>
      </c>
      <c r="N14" s="18">
        <v>0</v>
      </c>
      <c r="O14" s="8">
        <f>LOOKUP($A14,tech_full!$A$3:$A$39,tech_full!$T$3:$T$39)</f>
        <v>3</v>
      </c>
      <c r="P14" s="1">
        <f>LOOKUP($A14,tech_full!$A$3:$A$39,tech_full!$U$3:$U$39)</f>
        <v>15000</v>
      </c>
      <c r="Q14" s="1">
        <f>LOOKUP($A14,tech_full!$A$3:$A$39,tech_full!$V$3:$V$39)</f>
        <v>30</v>
      </c>
      <c r="R14" s="1">
        <f>LOOKUP($A14,tech_full!$A$3:$A$39,tech_full!$S$3:$S$39)*1000</f>
        <v>400000</v>
      </c>
      <c r="S14" s="1">
        <f>R14*(WACC!$B$2*(1+WACC!$B$2)^$Q14)/((1+WACC!$B$2)^$Q14-1)</f>
        <v>26020.574032110635</v>
      </c>
      <c r="U14" s="7"/>
    </row>
    <row r="15" spans="1:21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18">
        <v>0.4</v>
      </c>
      <c r="N15" s="18">
        <v>0</v>
      </c>
      <c r="O15" s="8">
        <f>LOOKUP($A15,tech_full!$A$3:$A$39,tech_full!$T$3:$T$39)</f>
        <v>3</v>
      </c>
      <c r="P15" s="1">
        <f>LOOKUP($A15,tech_full!$A$3:$A$39,tech_full!$U$3:$U$39)</f>
        <v>15000</v>
      </c>
      <c r="Q15" s="1">
        <f>LOOKUP($A15,tech_full!$A$3:$A$39,tech_full!$V$3:$V$39)</f>
        <v>30</v>
      </c>
      <c r="R15" s="1">
        <f>LOOKUP($A15,tech_full!$A$3:$A$39,tech_full!$S$3:$S$39)*1000</f>
        <v>400000</v>
      </c>
      <c r="S15" s="1">
        <f>R15*(WACC!$B$2*(1+WACC!$B$2)^$Q15)/((1+WACC!$B$2)^$Q15-1)</f>
        <v>26020.574032110635</v>
      </c>
      <c r="U15" s="7"/>
    </row>
    <row r="16" spans="1:21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18">
        <v>0.34</v>
      </c>
      <c r="N16" s="18">
        <v>0</v>
      </c>
      <c r="O16" s="8">
        <f>LOOKUP($A16,tech_full!$A$3:$A$39,tech_full!$T$3:$T$39)</f>
        <v>4.5</v>
      </c>
      <c r="P16" s="1">
        <f>LOOKUP($A16,tech_full!$A$3:$A$39,tech_full!$U$3:$U$39)</f>
        <v>8068</v>
      </c>
      <c r="Q16" s="1">
        <f>LOOKUP($A16,tech_full!$A$3:$A$39,tech_full!$V$3:$V$39)</f>
        <v>25</v>
      </c>
      <c r="R16" s="1">
        <f>LOOKUP($A16,tech_full!$A$3:$A$39,tech_full!$S$3:$S$39)*1000</f>
        <v>454000</v>
      </c>
      <c r="S16" s="1">
        <f>R16*(WACC!$B$2*(1+WACC!$B$2)^$Q16)/((1+WACC!$B$2)^$Q16-1)</f>
        <v>32212.415613850248</v>
      </c>
      <c r="U16" s="7"/>
    </row>
    <row r="17" spans="1:21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18">
        <v>0.34</v>
      </c>
      <c r="N17" s="18">
        <v>0</v>
      </c>
      <c r="O17" s="8">
        <f>LOOKUP($A17,tech_full!$A$3:$A$39,tech_full!$T$3:$T$39)</f>
        <v>4.5</v>
      </c>
      <c r="P17" s="1">
        <f>LOOKUP($A17,tech_full!$A$3:$A$39,tech_full!$U$3:$U$39)</f>
        <v>8068</v>
      </c>
      <c r="Q17" s="1">
        <f>LOOKUP($A17,tech_full!$A$3:$A$39,tech_full!$V$3:$V$39)</f>
        <v>25</v>
      </c>
      <c r="R17" s="1">
        <f>LOOKUP($A17,tech_full!$A$3:$A$39,tech_full!$S$3:$S$39)*1000</f>
        <v>454000</v>
      </c>
      <c r="S17" s="1">
        <f>R17*(WACC!$B$2*(1+WACC!$B$2)^$Q17)/((1+WACC!$B$2)^$Q17-1)</f>
        <v>32212.415613850248</v>
      </c>
      <c r="U17" s="7"/>
    </row>
    <row r="18" spans="1:21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18">
        <v>0.4</v>
      </c>
      <c r="N18" s="18">
        <v>0</v>
      </c>
      <c r="O18" s="8">
        <f>LOOKUP($A18,tech_full!$A$3:$A$39,tech_full!$T$3:$T$39)</f>
        <v>4.4000000000000004</v>
      </c>
      <c r="P18" s="1">
        <f>LOOKUP($A18,tech_full!$A$3:$A$39,tech_full!$U$3:$U$39)</f>
        <v>19500</v>
      </c>
      <c r="Q18" s="1">
        <f>LOOKUP($A18,tech_full!$A$3:$A$39,tech_full!$V$3:$V$39)</f>
        <v>25</v>
      </c>
      <c r="R18" s="1">
        <f>LOOKUP($A18,tech_full!$A$3:$A$39,tech_full!$S$3:$S$39)*1000</f>
        <v>590000</v>
      </c>
      <c r="S18" s="1">
        <f>R18*(WACC!$B$2*(1+WACC!$B$2)^$Q18)/((1+WACC!$B$2)^$Q18-1)</f>
        <v>41861.949806545475</v>
      </c>
      <c r="U18" s="7"/>
    </row>
    <row r="19" spans="1:21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18">
        <v>0.4</v>
      </c>
      <c r="N19" s="18">
        <v>0</v>
      </c>
      <c r="O19" s="8">
        <f>LOOKUP($A19,tech_full!$A$3:$A$39,tech_full!$T$3:$T$39)</f>
        <v>0</v>
      </c>
      <c r="P19" s="1">
        <f>LOOKUP($A19,tech_full!$A$3:$A$39,tech_full!$U$3:$U$39)</f>
        <v>0</v>
      </c>
      <c r="Q19" s="1">
        <f>LOOKUP($A19,tech_full!$A$3:$A$39,tech_full!$V$3:$V$39)</f>
        <v>0</v>
      </c>
      <c r="R19" s="1">
        <f>LOOKUP($A19,tech_full!$A$3:$A$39,tech_full!$S$3:$S$39)*1000</f>
        <v>0</v>
      </c>
      <c r="S19" s="1" t="e">
        <f>R19*(WACC!$B$2*(1+WACC!$B$2)^$Q19)/((1+WACC!$B$2)^$Q19-1)</f>
        <v>#DIV/0!</v>
      </c>
      <c r="U19" s="7"/>
    </row>
    <row r="20" spans="1:21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18">
        <v>0.38</v>
      </c>
      <c r="N20" s="18">
        <v>0</v>
      </c>
      <c r="O20" s="8">
        <f>LOOKUP($A20,tech_full!$A$3:$A$39,tech_full!$T$3:$T$39)</f>
        <v>4</v>
      </c>
      <c r="P20" s="1">
        <f>LOOKUP($A20,tech_full!$A$3:$A$39,tech_full!$U$3:$U$39)</f>
        <v>20000</v>
      </c>
      <c r="Q20" s="1">
        <f>LOOKUP($A20,tech_full!$A$3:$A$39,tech_full!$V$3:$V$39)</f>
        <v>30</v>
      </c>
      <c r="R20" s="1">
        <f>LOOKUP($A20,tech_full!$A$3:$A$39,tech_full!$S$3:$S$39)*1000</f>
        <v>800000</v>
      </c>
      <c r="S20" s="1">
        <f>R20*(WACC!$B$2*(1+WACC!$B$2)^$Q20)/((1+WACC!$B$2)^$Q20-1)</f>
        <v>52041.14806422127</v>
      </c>
      <c r="U20" s="7"/>
    </row>
    <row r="21" spans="1:21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18">
        <v>0.38</v>
      </c>
      <c r="N21" s="18">
        <v>0</v>
      </c>
      <c r="O21" s="8">
        <f>LOOKUP($A21,tech_full!$A$3:$A$39,tech_full!$T$3:$T$39)</f>
        <v>4</v>
      </c>
      <c r="P21" s="1">
        <f>LOOKUP($A21,tech_full!$A$3:$A$39,tech_full!$U$3:$U$39)</f>
        <v>20000</v>
      </c>
      <c r="Q21" s="1">
        <f>LOOKUP($A21,tech_full!$A$3:$A$39,tech_full!$V$3:$V$39)</f>
        <v>30</v>
      </c>
      <c r="R21" s="1">
        <f>LOOKUP($A21,tech_full!$A$3:$A$39,tech_full!$S$3:$S$39)*1000</f>
        <v>842000</v>
      </c>
      <c r="S21" s="1">
        <f>R21*(WACC!$B$2*(1+WACC!$B$2)^$Q21)/((1+WACC!$B$2)^$Q21-1)</f>
        <v>54773.308337592884</v>
      </c>
      <c r="U21" s="7"/>
    </row>
    <row r="22" spans="1:21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18">
        <v>0.55000000000000004</v>
      </c>
      <c r="N22" s="18">
        <v>0</v>
      </c>
      <c r="O22" s="8">
        <f>LOOKUP($A22,tech_full!$A$3:$A$39,tech_full!$T$3:$T$39)</f>
        <v>4.4000000000000004</v>
      </c>
      <c r="P22" s="1">
        <f>LOOKUP($A22,tech_full!$A$3:$A$39,tech_full!$U$3:$U$39)</f>
        <v>27835</v>
      </c>
      <c r="Q22" s="1">
        <f>LOOKUP($A22,tech_full!$A$3:$A$39,tech_full!$V$3:$V$39)</f>
        <v>25</v>
      </c>
      <c r="R22" s="1">
        <f>LOOKUP($A22,tech_full!$A$3:$A$39,tech_full!$S$3:$S$39)*1000</f>
        <v>836000</v>
      </c>
      <c r="S22" s="1">
        <f>R22*(WACC!$B$2*(1+WACC!$B$2)^$Q22)/((1+WACC!$B$2)^$Q22-1)</f>
        <v>59316.254302155969</v>
      </c>
      <c r="U22" s="7"/>
    </row>
    <row r="23" spans="1:21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18">
        <v>0.55000000000000004</v>
      </c>
      <c r="N23" s="18">
        <v>0</v>
      </c>
      <c r="O23" s="8">
        <f>LOOKUP($A23,tech_full!$A$3:$A$39,tech_full!$T$3:$T$39)</f>
        <v>4.4000000000000004</v>
      </c>
      <c r="P23" s="1">
        <f>LOOKUP($A23,tech_full!$A$3:$A$39,tech_full!$U$3:$U$39)</f>
        <v>29300</v>
      </c>
      <c r="Q23" s="1">
        <f>LOOKUP($A23,tech_full!$A$3:$A$39,tech_full!$V$3:$V$39)</f>
        <v>25</v>
      </c>
      <c r="R23" s="1">
        <f>LOOKUP($A23,tech_full!$A$3:$A$39,tech_full!$S$3:$S$39)*1000</f>
        <v>880000</v>
      </c>
      <c r="S23" s="1">
        <f>R23*(WACC!$B$2*(1+WACC!$B$2)^$Q23)/((1+WACC!$B$2)^$Q23-1)</f>
        <v>62438.162423322065</v>
      </c>
      <c r="U23" s="7"/>
    </row>
    <row r="24" spans="1:21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18">
        <v>0.4</v>
      </c>
      <c r="N24" s="18">
        <v>0</v>
      </c>
      <c r="O24" s="8">
        <f>LOOKUP($A24,tech_full!$A$3:$A$39,tech_full!$T$3:$T$39)</f>
        <v>5.4</v>
      </c>
      <c r="P24" s="1">
        <f>LOOKUP($A24,tech_full!$A$3:$A$39,tech_full!$U$3:$U$39)</f>
        <v>9262.5</v>
      </c>
      <c r="Q24" s="1">
        <f>LOOKUP($A24,tech_full!$A$3:$A$39,tech_full!$V$3:$V$39)</f>
        <v>25</v>
      </c>
      <c r="R24" s="1">
        <f>LOOKUP($A24,tech_full!$A$3:$A$39,tech_full!$S$3:$S$39)*1000</f>
        <v>902500</v>
      </c>
      <c r="S24" s="1">
        <f>R24*(WACC!$B$2*(1+WACC!$B$2)^$Q24)/((1+WACC!$B$2)^$Q24-1)</f>
        <v>64034.592712554731</v>
      </c>
      <c r="U24" s="7"/>
    </row>
    <row r="25" spans="1:21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18">
        <v>0.4</v>
      </c>
      <c r="N25" s="18">
        <v>0</v>
      </c>
      <c r="O25" s="8">
        <f>LOOKUP($A25,tech_full!$A$3:$A$39,tech_full!$T$3:$T$39)</f>
        <v>5.4</v>
      </c>
      <c r="P25" s="1">
        <f>LOOKUP($A25,tech_full!$A$3:$A$39,tech_full!$U$3:$U$39)</f>
        <v>9750</v>
      </c>
      <c r="Q25" s="1">
        <f>LOOKUP($A25,tech_full!$A$3:$A$39,tech_full!$V$3:$V$39)</f>
        <v>25</v>
      </c>
      <c r="R25" s="1">
        <f>LOOKUP($A25,tech_full!$A$3:$A$39,tech_full!$S$3:$S$39)*1000</f>
        <v>950000</v>
      </c>
      <c r="S25" s="1">
        <f>R25*(WACC!$B$2*(1+WACC!$B$2)^$Q25)/((1+WACC!$B$2)^$Q25-1)</f>
        <v>67404.834434268138</v>
      </c>
      <c r="U25" s="7"/>
    </row>
    <row r="26" spans="1:21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18">
        <v>0.9</v>
      </c>
      <c r="N26" s="18">
        <v>0.9</v>
      </c>
      <c r="O26" s="8">
        <f>LOOKUP($A26,tech_full!$A$3:$A$39,tech_full!$T$3:$T$39)</f>
        <v>1</v>
      </c>
      <c r="P26" s="1">
        <f>LOOKUP($A26,tech_full!$A$3:$A$39,tech_full!$U$3:$U$39)</f>
        <v>1950</v>
      </c>
      <c r="Q26" s="1">
        <f>LOOKUP($A26,tech_full!$A$3:$A$39,tech_full!$V$3:$V$39)</f>
        <v>25</v>
      </c>
      <c r="R26" s="1">
        <f>LOOKUP($A26,tech_full!$A$3:$A$39,tech_full!$S$3:$S$39)*1000</f>
        <v>60000</v>
      </c>
      <c r="S26" s="1">
        <f>R26*(WACC!$B$2*(1+WACC!$B$2)^$Q26)/((1+WACC!$B$2)^$Q26-1)</f>
        <v>4257.1474379537767</v>
      </c>
      <c r="U26" s="7"/>
    </row>
    <row r="27" spans="1:21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18">
        <v>0.31</v>
      </c>
      <c r="N27" s="18">
        <v>0</v>
      </c>
      <c r="O27" s="8">
        <f>LOOKUP($A27,tech_full!$A$3:$A$39,tech_full!$T$3:$T$39)</f>
        <v>3</v>
      </c>
      <c r="P27" s="1">
        <f>LOOKUP($A27,tech_full!$A$3:$A$39,tech_full!$U$3:$U$39)</f>
        <v>6000</v>
      </c>
      <c r="Q27" s="1">
        <f>LOOKUP($A27,tech_full!$A$3:$A$39,tech_full!$V$3:$V$39)</f>
        <v>30</v>
      </c>
      <c r="R27" s="1">
        <f>LOOKUP($A27,tech_full!$A$3:$A$39,tech_full!$S$3:$S$39)*1000</f>
        <v>400000</v>
      </c>
      <c r="S27" s="1">
        <f>R27*(WACC!$B$2*(1+WACC!$B$2)^$Q27)/((1+WACC!$B$2)^$Q27-1)</f>
        <v>26020.574032110635</v>
      </c>
      <c r="U27" s="7"/>
    </row>
    <row r="28" spans="1:21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18">
        <v>0.31</v>
      </c>
      <c r="N28" s="18">
        <v>0</v>
      </c>
      <c r="O28" s="8">
        <f>LOOKUP($A28,tech_full!$A$3:$A$39,tech_full!$T$3:$T$39)</f>
        <v>3</v>
      </c>
      <c r="P28" s="1">
        <f>LOOKUP($A28,tech_full!$A$3:$A$39,tech_full!$U$3:$U$39)</f>
        <v>6000</v>
      </c>
      <c r="Q28" s="1">
        <f>LOOKUP($A28,tech_full!$A$3:$A$39,tech_full!$V$3:$V$39)</f>
        <v>30</v>
      </c>
      <c r="R28" s="1">
        <f>LOOKUP($A28,tech_full!$A$3:$A$39,tech_full!$S$3:$S$39)*1000</f>
        <v>400000</v>
      </c>
      <c r="S28" s="1">
        <f>R28*(WACC!$B$2*(1+WACC!$B$2)^$Q28)/((1+WACC!$B$2)^$Q28-1)</f>
        <v>26020.574032110635</v>
      </c>
      <c r="U28" s="7"/>
    </row>
    <row r="29" spans="1:21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18">
        <v>0.35</v>
      </c>
      <c r="N29" s="18">
        <v>0</v>
      </c>
      <c r="O29" s="8">
        <f>LOOKUP($A29,tech_full!$A$3:$A$39,tech_full!$T$3:$T$39)</f>
        <v>4.5</v>
      </c>
      <c r="P29" s="1">
        <f>LOOKUP($A29,tech_full!$A$3:$A$39,tech_full!$U$3:$U$39)</f>
        <v>8068</v>
      </c>
      <c r="Q29" s="1">
        <f>LOOKUP($A29,tech_full!$A$3:$A$39,tech_full!$V$3:$V$39)</f>
        <v>25</v>
      </c>
      <c r="R29" s="1">
        <f>LOOKUP($A29,tech_full!$A$3:$A$39,tech_full!$S$3:$S$39)*1000</f>
        <v>378000</v>
      </c>
      <c r="S29" s="1">
        <f>R29*(WACC!$B$2*(1+WACC!$B$2)^$Q29)/((1+WACC!$B$2)^$Q29-1)</f>
        <v>26820.028859108796</v>
      </c>
      <c r="U29" s="7"/>
    </row>
    <row r="30" spans="1:21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18">
        <v>0.35</v>
      </c>
      <c r="N30" s="18">
        <v>0</v>
      </c>
      <c r="O30" s="8">
        <f>LOOKUP($A30,tech_full!$A$3:$A$39,tech_full!$T$3:$T$39)</f>
        <v>4.5</v>
      </c>
      <c r="P30" s="1">
        <f>LOOKUP($A30,tech_full!$A$3:$A$39,tech_full!$U$3:$U$39)</f>
        <v>8068</v>
      </c>
      <c r="Q30" s="1">
        <f>LOOKUP($A30,tech_full!$A$3:$A$39,tech_full!$V$3:$V$39)</f>
        <v>25</v>
      </c>
      <c r="R30" s="1">
        <f>LOOKUP($A30,tech_full!$A$3:$A$39,tech_full!$S$3:$S$39)*1000</f>
        <v>378000</v>
      </c>
      <c r="S30" s="1">
        <f>R30*(WACC!$B$2*(1+WACC!$B$2)^$Q30)/((1+WACC!$B$2)^$Q30-1)</f>
        <v>26820.028859108796</v>
      </c>
      <c r="U30" s="7"/>
    </row>
    <row r="31" spans="1:21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18">
        <v>0.42</v>
      </c>
      <c r="N31" s="18">
        <v>0</v>
      </c>
      <c r="O31" s="8">
        <f>LOOKUP($A31,tech_full!$A$3:$A$39,tech_full!$T$3:$T$39)</f>
        <v>4</v>
      </c>
      <c r="P31" s="1">
        <f>LOOKUP($A31,tech_full!$A$3:$A$39,tech_full!$U$3:$U$39)</f>
        <v>25000</v>
      </c>
      <c r="Q31" s="1">
        <f>LOOKUP($A31,tech_full!$A$3:$A$39,tech_full!$V$3:$V$39)</f>
        <v>25</v>
      </c>
      <c r="R31" s="1">
        <f>LOOKUP($A31,tech_full!$A$3:$A$39,tech_full!$S$3:$S$39)*1000</f>
        <v>800000</v>
      </c>
      <c r="S31" s="1">
        <f>R31*(WACC!$B$2*(1+WACC!$B$2)^$Q31)/((1+WACC!$B$2)^$Q31-1)</f>
        <v>56761.965839383694</v>
      </c>
      <c r="U31" s="7"/>
    </row>
    <row r="32" spans="1:21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18">
        <v>0.42</v>
      </c>
      <c r="N32" s="18">
        <v>0</v>
      </c>
      <c r="O32" s="8">
        <f>LOOKUP($A32,tech_full!$A$3:$A$39,tech_full!$T$3:$T$39)</f>
        <v>4</v>
      </c>
      <c r="P32" s="1">
        <f>LOOKUP($A32,tech_full!$A$3:$A$39,tech_full!$U$3:$U$39)</f>
        <v>25000</v>
      </c>
      <c r="Q32" s="1">
        <f>LOOKUP($A32,tech_full!$A$3:$A$39,tech_full!$V$3:$V$39)</f>
        <v>25</v>
      </c>
      <c r="R32" s="1">
        <f>LOOKUP($A32,tech_full!$A$3:$A$39,tech_full!$S$3:$S$39)*1000</f>
        <v>842000</v>
      </c>
      <c r="S32" s="1">
        <f>R32*(WACC!$B$2*(1+WACC!$B$2)^$Q32)/((1+WACC!$B$2)^$Q32-1)</f>
        <v>59741.969045951344</v>
      </c>
      <c r="U32" s="7"/>
    </row>
    <row r="33" spans="1:21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18" t="s">
        <v>155</v>
      </c>
      <c r="N33" s="18">
        <v>0</v>
      </c>
      <c r="O33" s="8">
        <f>LOOKUP($A33,tech_full!$A$3:$A$39,tech_full!$T$3:$T$39)</f>
        <v>0</v>
      </c>
      <c r="P33" s="1">
        <f>LOOKUP($A33,tech_full!$A$3:$A$39,tech_full!$U$3:$U$39)</f>
        <v>60000</v>
      </c>
      <c r="Q33" s="1">
        <f>LOOKUP($A33,tech_full!$A$3:$A$39,tech_full!$V$3:$V$39)</f>
        <v>60</v>
      </c>
      <c r="R33" s="1">
        <f>LOOKUP($A33,tech_full!$A$3:$A$39,tech_full!$S$3:$S$39)*1000</f>
        <v>3000000</v>
      </c>
      <c r="S33" s="1">
        <f>R33*(WACC!$B$2*(1+WACC!$B$2)^$Q33)/((1+WACC!$B$2)^$Q33-1)</f>
        <v>158484.55358172712</v>
      </c>
      <c r="U33" s="7"/>
    </row>
    <row r="34" spans="1:21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18" t="s">
        <v>155</v>
      </c>
      <c r="N34" s="18">
        <v>0</v>
      </c>
      <c r="O34" s="8">
        <f>LOOKUP($A34,tech_full!$A$3:$A$39,tech_full!$T$3:$T$39)</f>
        <v>0</v>
      </c>
      <c r="P34" s="1">
        <f>LOOKUP($A34,tech_full!$A$3:$A$39,tech_full!$U$3:$U$39)</f>
        <v>20000</v>
      </c>
      <c r="Q34" s="1">
        <f>LOOKUP($A34,tech_full!$A$3:$A$39,tech_full!$V$3:$V$39)</f>
        <v>60</v>
      </c>
      <c r="R34" s="1">
        <f>LOOKUP($A34,tech_full!$A$3:$A$39,tech_full!$S$3:$S$39)*1000</f>
        <v>2000000</v>
      </c>
      <c r="S34" s="1">
        <f>R34*(WACC!$B$2*(1+WACC!$B$2)^$Q34)/((1+WACC!$B$2)^$Q34-1)</f>
        <v>105656.36905448473</v>
      </c>
      <c r="U34" s="7"/>
    </row>
    <row r="35" spans="1:21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18" t="s">
        <v>155</v>
      </c>
      <c r="N35" s="18">
        <v>0</v>
      </c>
      <c r="O35" s="8">
        <f>LOOKUP($A35,tech_full!$A$3:$A$39,tech_full!$T$3:$T$39)</f>
        <v>0</v>
      </c>
      <c r="P35" s="1">
        <f>LOOKUP($A35,tech_full!$A$3:$A$39,tech_full!$U$3:$U$39)</f>
        <v>20000</v>
      </c>
      <c r="Q35" s="1">
        <f>LOOKUP($A35,tech_full!$A$3:$A$39,tech_full!$V$3:$V$39)</f>
        <v>60</v>
      </c>
      <c r="R35" s="1">
        <f>LOOKUP($A35,tech_full!$A$3:$A$39,tech_full!$S$3:$S$39)*1000</f>
        <v>2000000</v>
      </c>
      <c r="S35" s="1">
        <f>R35*(WACC!$B$2*(1+WACC!$B$2)^$Q35)/((1+WACC!$B$2)^$Q35-1)</f>
        <v>105656.36905448473</v>
      </c>
      <c r="U35" s="7"/>
    </row>
    <row r="36" spans="1:21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18">
        <v>0.35</v>
      </c>
      <c r="N36" s="18">
        <v>0</v>
      </c>
      <c r="O36" s="8">
        <f>LOOKUP($A36,tech_full!$A$3:$A$39,tech_full!$T$3:$T$39)</f>
        <v>4.5</v>
      </c>
      <c r="P36" s="1">
        <f>LOOKUP($A36,tech_full!$A$3:$A$39,tech_full!$U$3:$U$39)</f>
        <v>133000</v>
      </c>
      <c r="Q36" s="1">
        <f>LOOKUP($A36,tech_full!$A$3:$A$39,tech_full!$V$3:$V$39)</f>
        <v>25</v>
      </c>
      <c r="R36" s="1">
        <f>LOOKUP($A36,tech_full!$A$3:$A$39,tech_full!$S$3:$S$39)*1000</f>
        <v>3230000</v>
      </c>
      <c r="S36" s="1">
        <f>R36*(WACC!$B$2*(1+WACC!$B$2)^$Q36)/((1+WACC!$B$2)^$Q36-1)</f>
        <v>229176.43707651168</v>
      </c>
      <c r="U36" s="7"/>
    </row>
    <row r="37" spans="1:21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18">
        <v>0.35</v>
      </c>
      <c r="N37" s="18">
        <v>0</v>
      </c>
      <c r="O37" s="8">
        <f>LOOKUP($A37,tech_full!$A$3:$A$39,tech_full!$T$3:$T$39)</f>
        <v>4.5</v>
      </c>
      <c r="P37" s="1">
        <f>LOOKUP($A37,tech_full!$A$3:$A$39,tech_full!$U$3:$U$39)</f>
        <v>140000</v>
      </c>
      <c r="Q37" s="1">
        <f>LOOKUP($A37,tech_full!$A$3:$A$39,tech_full!$V$3:$V$39)</f>
        <v>25</v>
      </c>
      <c r="R37" s="1">
        <f>LOOKUP($A37,tech_full!$A$3:$A$39,tech_full!$S$3:$S$39)*1000</f>
        <v>3400000</v>
      </c>
      <c r="S37" s="1">
        <f>R37*(WACC!$B$2*(1+WACC!$B$2)^$Q37)/((1+WACC!$B$2)^$Q37-1)</f>
        <v>241238.35481738072</v>
      </c>
      <c r="U37" s="7"/>
    </row>
    <row r="38" spans="1:21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18">
        <v>3</v>
      </c>
      <c r="N38" s="18">
        <v>3</v>
      </c>
      <c r="O38" s="8">
        <f>LOOKUP($A38,tech_full!$A$3:$A$39,tech_full!$T$3:$T$39)</f>
        <v>1.8</v>
      </c>
      <c r="P38" s="1">
        <f>LOOKUP($A38,tech_full!$A$3:$A$39,tech_full!$U$3:$U$39)</f>
        <v>2000</v>
      </c>
      <c r="Q38" s="1">
        <f>LOOKUP($A38,tech_full!$A$3:$A$39,tech_full!$V$3:$V$39)</f>
        <v>25</v>
      </c>
      <c r="R38" s="1">
        <f>LOOKUP($A38,tech_full!$A$3:$A$39,tech_full!$S$3:$S$39)*1000</f>
        <v>660000</v>
      </c>
      <c r="S38" s="1">
        <f>R38*(WACC!$B$2*(1+WACC!$B$2)^$Q38)/((1+WACC!$B$2)^$Q38-1)</f>
        <v>46828.621817491548</v>
      </c>
      <c r="U38" s="7"/>
    </row>
    <row r="39" spans="1:21">
      <c r="A39">
        <v>110</v>
      </c>
      <c r="B39" t="s">
        <v>259</v>
      </c>
      <c r="C39" t="s">
        <v>155</v>
      </c>
      <c r="D39" t="s">
        <v>155</v>
      </c>
      <c r="E39" t="s">
        <v>155</v>
      </c>
      <c r="F39" t="s">
        <v>155</v>
      </c>
      <c r="G39" t="s">
        <v>155</v>
      </c>
      <c r="H39" t="s">
        <v>155</v>
      </c>
      <c r="I39" t="s">
        <v>155</v>
      </c>
      <c r="J39" t="s">
        <v>155</v>
      </c>
      <c r="K39" t="s">
        <v>155</v>
      </c>
      <c r="L39">
        <v>1</v>
      </c>
      <c r="M39" s="18">
        <v>0.65900000000000003</v>
      </c>
      <c r="N39">
        <v>0.12</v>
      </c>
      <c r="O39" s="8">
        <v>0</v>
      </c>
      <c r="P39" s="1">
        <v>27500</v>
      </c>
      <c r="Q39" s="1">
        <v>25</v>
      </c>
      <c r="R39" s="1">
        <v>550000</v>
      </c>
      <c r="S39" s="1">
        <f>R39*(WACC!$B$2*(1+WACC!$B$2)^$Q39)/((1+WACC!$B$2)^$Q39-1)</f>
        <v>39023.851514576287</v>
      </c>
    </row>
    <row r="40" spans="1:21">
      <c r="A40">
        <v>111</v>
      </c>
      <c r="B40" t="s">
        <v>260</v>
      </c>
      <c r="C40" t="s">
        <v>155</v>
      </c>
      <c r="D40" t="s">
        <v>155</v>
      </c>
      <c r="E40" t="s">
        <v>155</v>
      </c>
      <c r="F40" t="s">
        <v>155</v>
      </c>
      <c r="G40" t="s">
        <v>155</v>
      </c>
      <c r="H40" t="s">
        <v>155</v>
      </c>
      <c r="I40" t="s">
        <v>155</v>
      </c>
      <c r="J40" t="s">
        <v>155</v>
      </c>
      <c r="K40" t="s">
        <v>155</v>
      </c>
      <c r="L40">
        <v>1</v>
      </c>
      <c r="M40" s="18">
        <v>0.62</v>
      </c>
      <c r="N40">
        <v>0.12</v>
      </c>
      <c r="O40" s="8">
        <v>0</v>
      </c>
      <c r="P40" s="1">
        <v>30000</v>
      </c>
      <c r="Q40" s="1">
        <v>15</v>
      </c>
      <c r="R40" s="1">
        <v>600000</v>
      </c>
      <c r="S40" s="1">
        <f>R40*(WACC!$B$2*(1+WACC!$B$2)^$Q40)/((1+WACC!$B$2)^$Q40-1)</f>
        <v>57805.372565546611</v>
      </c>
    </row>
    <row r="41" spans="1:21">
      <c r="A41">
        <v>112</v>
      </c>
      <c r="B41" t="s">
        <v>261</v>
      </c>
      <c r="C41" t="s">
        <v>155</v>
      </c>
      <c r="D41" t="s">
        <v>155</v>
      </c>
      <c r="E41" t="s">
        <v>155</v>
      </c>
      <c r="F41" t="s">
        <v>155</v>
      </c>
      <c r="G41" t="s">
        <v>155</v>
      </c>
      <c r="H41" t="s">
        <v>155</v>
      </c>
      <c r="I41" t="s">
        <v>155</v>
      </c>
      <c r="J41" t="s">
        <v>155</v>
      </c>
      <c r="K41" t="s">
        <v>155</v>
      </c>
      <c r="L41">
        <v>1</v>
      </c>
      <c r="M41" s="18">
        <v>0.79</v>
      </c>
      <c r="N41">
        <v>1.4999999999999999E-2</v>
      </c>
      <c r="O41" s="8">
        <v>0</v>
      </c>
      <c r="P41" s="1">
        <v>18000</v>
      </c>
      <c r="Q41" s="1">
        <v>20</v>
      </c>
      <c r="R41" s="1">
        <v>600000</v>
      </c>
      <c r="S41" s="1">
        <f>R41*(WACC!$B$2*(1+WACC!$B$2)^$Q41)/((1+WACC!$B$2)^$Q41-1)</f>
        <v>48145.552314414788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42"/>
  <sheetViews>
    <sheetView zoomScale="125" zoomScaleNormal="125" workbookViewId="0">
      <pane xSplit="4" ySplit="2" topLeftCell="E22" activePane="bottomRight" state="frozen"/>
      <selection pane="topRight" activeCell="E1" sqref="E1"/>
      <selection pane="bottomLeft" activeCell="A3" sqref="A3"/>
      <selection pane="bottomRight" activeCell="A19" sqref="A19"/>
    </sheetView>
  </sheetViews>
  <sheetFormatPr baseColWidth="10" defaultRowHeight="15"/>
  <cols>
    <col min="2" max="2" width="38.83203125" bestFit="1" customWidth="1"/>
    <col min="3" max="3" width="15.5" bestFit="1" customWidth="1"/>
    <col min="19" max="24" width="11.5" customWidth="1"/>
  </cols>
  <sheetData>
    <row r="1" spans="1:33" ht="80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216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ht="16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204</v>
      </c>
      <c r="Y7" s="6"/>
      <c r="Z7" s="6"/>
      <c r="AA7" s="6"/>
      <c r="AB7" s="6"/>
      <c r="AC7" s="6"/>
      <c r="AD7" s="6"/>
      <c r="AE7" s="6"/>
      <c r="AF7" s="6"/>
      <c r="AG7" s="6"/>
    </row>
    <row r="8" spans="1:33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220</v>
      </c>
      <c r="Y8" s="6"/>
      <c r="Z8" s="6"/>
      <c r="AA8" s="6"/>
      <c r="AB8" s="6"/>
      <c r="AC8" s="6"/>
      <c r="AD8" s="6"/>
      <c r="AE8" s="6"/>
      <c r="AF8" s="6"/>
      <c r="AG8" s="6"/>
    </row>
    <row r="9" spans="1:33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220</v>
      </c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220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220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220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205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A17">
        <v>41</v>
      </c>
      <c r="B17" t="s">
        <v>206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A18">
        <v>42</v>
      </c>
      <c r="B18" t="s">
        <v>207</v>
      </c>
      <c r="C18" t="s">
        <v>96</v>
      </c>
      <c r="D18">
        <v>2020</v>
      </c>
      <c r="E18">
        <v>1</v>
      </c>
      <c r="F18">
        <v>0.42</v>
      </c>
      <c r="G18" t="s">
        <v>155</v>
      </c>
      <c r="H18" t="s">
        <v>155</v>
      </c>
      <c r="I18" s="27" t="s">
        <v>155</v>
      </c>
      <c r="J18" s="27" t="s">
        <v>155</v>
      </c>
      <c r="K18" s="27" t="s">
        <v>155</v>
      </c>
      <c r="L18" s="27" t="s">
        <v>155</v>
      </c>
      <c r="M18" s="27" t="s">
        <v>155</v>
      </c>
      <c r="N18" s="9" t="s">
        <v>155</v>
      </c>
      <c r="O18" t="s">
        <v>155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A19">
        <v>42.5</v>
      </c>
      <c r="B19" t="s">
        <v>207</v>
      </c>
      <c r="C19" t="s">
        <v>97</v>
      </c>
      <c r="D19">
        <v>2020</v>
      </c>
      <c r="E19">
        <v>1</v>
      </c>
      <c r="F19">
        <v>0.42</v>
      </c>
      <c r="G19">
        <v>0</v>
      </c>
      <c r="H19">
        <v>0.96</v>
      </c>
      <c r="I19" s="27">
        <f>J19*O19</f>
        <v>0.83333333333333348</v>
      </c>
      <c r="J19" s="27">
        <f>E19/(G19+H19)</f>
        <v>1.0416666666666667</v>
      </c>
      <c r="K19" s="27">
        <f>E19-G19*I19</f>
        <v>1</v>
      </c>
      <c r="L19" s="27">
        <f>E19-G19*J19</f>
        <v>1</v>
      </c>
      <c r="M19" s="27">
        <f>(E19+G19*I19)/F19</f>
        <v>2.3809523809523809</v>
      </c>
      <c r="N19" s="9">
        <f>$F19*(1+((1-$G19)/($H19+$G19))*($I19/$J19))</f>
        <v>0.77</v>
      </c>
      <c r="O19">
        <v>0.8</v>
      </c>
      <c r="P19">
        <v>1</v>
      </c>
      <c r="Q19">
        <v>1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>
        <v>43</v>
      </c>
      <c r="B20" t="s">
        <v>38</v>
      </c>
      <c r="C20" t="s">
        <v>98</v>
      </c>
      <c r="D20">
        <v>2020</v>
      </c>
      <c r="E20">
        <v>1</v>
      </c>
      <c r="F20">
        <v>0.56000000000000005</v>
      </c>
      <c r="G20" t="s">
        <v>155</v>
      </c>
      <c r="H20" t="s">
        <v>155</v>
      </c>
      <c r="I20" t="s">
        <v>155</v>
      </c>
      <c r="J20" t="s">
        <v>155</v>
      </c>
      <c r="K20" t="s">
        <v>155</v>
      </c>
      <c r="L20" t="s">
        <v>155</v>
      </c>
      <c r="M20" t="s">
        <v>155</v>
      </c>
      <c r="N20" t="s">
        <v>155</v>
      </c>
      <c r="O20" t="s">
        <v>155</v>
      </c>
      <c r="P20">
        <v>0</v>
      </c>
      <c r="Q20">
        <v>1</v>
      </c>
      <c r="S20">
        <v>800</v>
      </c>
      <c r="T20">
        <v>4</v>
      </c>
      <c r="U20">
        <v>20000</v>
      </c>
      <c r="V20" s="29">
        <v>30</v>
      </c>
      <c r="W20" t="s">
        <v>222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A21">
        <v>43.5</v>
      </c>
      <c r="B21" t="s">
        <v>39</v>
      </c>
      <c r="C21" t="s">
        <v>99</v>
      </c>
      <c r="D21">
        <v>2020</v>
      </c>
      <c r="E21">
        <v>1</v>
      </c>
      <c r="F21">
        <v>0.56000000000000005</v>
      </c>
      <c r="G21">
        <v>0.15</v>
      </c>
      <c r="H21">
        <v>1.8</v>
      </c>
      <c r="I21" s="27">
        <f>J21*O21</f>
        <v>0.41025641025641035</v>
      </c>
      <c r="J21" s="27">
        <f>E21/(G21+H21)</f>
        <v>0.51282051282051289</v>
      </c>
      <c r="K21" s="27">
        <f>E21-G21*I21</f>
        <v>0.93846153846153846</v>
      </c>
      <c r="L21" s="27">
        <f>E21-G21*J21</f>
        <v>0.92307692307692313</v>
      </c>
      <c r="M21" s="27">
        <f>(E21+G21*I21)/F21</f>
        <v>1.8956043956043955</v>
      </c>
      <c r="N21" s="9">
        <f>$F21*(1+((1-$G21)/($H21+$G21))*($I21/$J21))</f>
        <v>0.75528205128205139</v>
      </c>
      <c r="O21">
        <v>0.8</v>
      </c>
      <c r="P21">
        <v>0</v>
      </c>
      <c r="Q21">
        <v>1</v>
      </c>
      <c r="S21">
        <f>ROUND(S20/0.95,0)</f>
        <v>842</v>
      </c>
      <c r="T21">
        <v>4</v>
      </c>
      <c r="U21">
        <v>20000</v>
      </c>
      <c r="V21" s="29">
        <v>30</v>
      </c>
      <c r="W21" t="s">
        <v>221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A22">
        <v>44</v>
      </c>
      <c r="B22" t="s">
        <v>40</v>
      </c>
      <c r="C22" t="s">
        <v>100</v>
      </c>
      <c r="D22">
        <v>2030</v>
      </c>
      <c r="E22">
        <v>1</v>
      </c>
      <c r="F22">
        <v>0.61</v>
      </c>
      <c r="G22" t="s">
        <v>155</v>
      </c>
      <c r="H22" t="s">
        <v>155</v>
      </c>
      <c r="I22" t="s">
        <v>155</v>
      </c>
      <c r="J22" t="s">
        <v>155</v>
      </c>
      <c r="K22" t="s">
        <v>155</v>
      </c>
      <c r="L22" t="s">
        <v>155</v>
      </c>
      <c r="M22" t="s">
        <v>155</v>
      </c>
      <c r="N22" t="s">
        <v>155</v>
      </c>
      <c r="O22" t="s">
        <v>155</v>
      </c>
      <c r="P22">
        <v>1</v>
      </c>
      <c r="Q22">
        <v>1</v>
      </c>
      <c r="S22">
        <f>0.95*S23</f>
        <v>836</v>
      </c>
      <c r="T22">
        <f>T23</f>
        <v>4.4000000000000004</v>
      </c>
      <c r="U22">
        <f>0.95*U23</f>
        <v>27835</v>
      </c>
      <c r="V22">
        <f>V23</f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A23">
        <v>44.5</v>
      </c>
      <c r="B23" t="s">
        <v>41</v>
      </c>
      <c r="C23" t="s">
        <v>101</v>
      </c>
      <c r="D23">
        <v>2030</v>
      </c>
      <c r="E23">
        <v>1</v>
      </c>
      <c r="F23">
        <v>0.61</v>
      </c>
      <c r="G23">
        <v>0.15</v>
      </c>
      <c r="H23">
        <v>2</v>
      </c>
      <c r="I23" s="27">
        <f t="shared" ref="I23" si="0">J23*O23</f>
        <v>0.37209302325581395</v>
      </c>
      <c r="J23" s="27">
        <f t="shared" ref="J23" si="1">E23/(G23+H23)</f>
        <v>0.46511627906976744</v>
      </c>
      <c r="K23" s="27">
        <f t="shared" ref="K23" si="2">E23-G23*I23</f>
        <v>0.94418604651162785</v>
      </c>
      <c r="L23" s="27">
        <f t="shared" ref="L23" si="3">E23-G23*J23</f>
        <v>0.93023255813953487</v>
      </c>
      <c r="M23" s="27">
        <f t="shared" ref="M23" si="4">(E23+G23*I23)/F23</f>
        <v>1.7308425467022495</v>
      </c>
      <c r="N23" s="9">
        <f>$F23*(1+((1-$G23)/($H23+$G23))*($I23/$J23))</f>
        <v>0.80293023255813945</v>
      </c>
      <c r="O23">
        <v>0.8</v>
      </c>
      <c r="P23">
        <v>1</v>
      </c>
      <c r="Q23">
        <v>1</v>
      </c>
      <c r="S23">
        <v>880</v>
      </c>
      <c r="T23">
        <v>4.4000000000000004</v>
      </c>
      <c r="U23">
        <v>29300</v>
      </c>
      <c r="V23"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A24">
        <v>45</v>
      </c>
      <c r="B24" t="s">
        <v>42</v>
      </c>
      <c r="C24" t="s">
        <v>102</v>
      </c>
      <c r="D24">
        <v>2020</v>
      </c>
      <c r="E24">
        <v>1</v>
      </c>
      <c r="F24">
        <v>0.47</v>
      </c>
      <c r="G24" t="s">
        <v>155</v>
      </c>
      <c r="H24" t="s">
        <v>155</v>
      </c>
      <c r="I24" t="s">
        <v>155</v>
      </c>
      <c r="J24" t="s">
        <v>155</v>
      </c>
      <c r="K24" t="s">
        <v>155</v>
      </c>
      <c r="L24" t="s">
        <v>155</v>
      </c>
      <c r="M24" t="s">
        <v>155</v>
      </c>
      <c r="N24" t="s">
        <v>155</v>
      </c>
      <c r="O24" t="s">
        <v>155</v>
      </c>
      <c r="Q24">
        <v>1</v>
      </c>
      <c r="S24">
        <f>0.95*S25</f>
        <v>902.5</v>
      </c>
      <c r="T24">
        <f>T25</f>
        <v>5.4</v>
      </c>
      <c r="U24">
        <f>0.95*U25</f>
        <v>9262.5</v>
      </c>
      <c r="V24">
        <f>V25</f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>
      <c r="A25">
        <v>45.5</v>
      </c>
      <c r="B25" t="s">
        <v>43</v>
      </c>
      <c r="C25" t="s">
        <v>103</v>
      </c>
      <c r="D25">
        <v>2020</v>
      </c>
      <c r="E25">
        <v>1</v>
      </c>
      <c r="F25">
        <v>0.47</v>
      </c>
      <c r="G25">
        <v>0</v>
      </c>
      <c r="H25">
        <v>0.95</v>
      </c>
      <c r="I25" s="27">
        <f>J25*O25</f>
        <v>0.84210526315789469</v>
      </c>
      <c r="J25" s="27">
        <f>E25/(G25+H25)</f>
        <v>1.0526315789473684</v>
      </c>
      <c r="K25" s="27">
        <f>E25-G25*I25</f>
        <v>1</v>
      </c>
      <c r="L25" s="27">
        <f>E25-G25*J25</f>
        <v>1</v>
      </c>
      <c r="M25" s="27">
        <f>(E25+G25*I25)/F25</f>
        <v>2.1276595744680851</v>
      </c>
      <c r="N25" s="9">
        <f>$F25*(1+((1-$G25)/($H25+$G25))*($I25/$J25))</f>
        <v>0.86578947368421044</v>
      </c>
      <c r="O25">
        <v>0.8</v>
      </c>
      <c r="P25">
        <v>1</v>
      </c>
      <c r="Q25">
        <v>1</v>
      </c>
      <c r="S25">
        <v>950</v>
      </c>
      <c r="T25">
        <v>5.4</v>
      </c>
      <c r="U25">
        <v>9750</v>
      </c>
      <c r="V25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>
      <c r="A26">
        <v>49.5</v>
      </c>
      <c r="B26" t="s">
        <v>208</v>
      </c>
      <c r="C26" t="s">
        <v>104</v>
      </c>
      <c r="D26">
        <v>2020</v>
      </c>
      <c r="E26">
        <v>1</v>
      </c>
      <c r="F26">
        <v>0.95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P26">
        <v>1</v>
      </c>
      <c r="Q26">
        <v>1</v>
      </c>
      <c r="S26">
        <v>60</v>
      </c>
      <c r="T26">
        <v>1</v>
      </c>
      <c r="U26">
        <v>1950</v>
      </c>
      <c r="V26" s="29">
        <v>25</v>
      </c>
      <c r="W26">
        <v>1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>
      <c r="A27">
        <v>50</v>
      </c>
      <c r="B27" t="s">
        <v>45</v>
      </c>
      <c r="C27" t="s">
        <v>105</v>
      </c>
      <c r="D27">
        <v>2010</v>
      </c>
      <c r="E27">
        <v>1</v>
      </c>
      <c r="F27">
        <v>0.39600000000000002</v>
      </c>
      <c r="G27" t="s">
        <v>155</v>
      </c>
      <c r="H27" t="s">
        <v>155</v>
      </c>
      <c r="I27" t="s">
        <v>155</v>
      </c>
      <c r="J27" t="s">
        <v>155</v>
      </c>
      <c r="K27" t="s">
        <v>155</v>
      </c>
      <c r="L27" t="s">
        <v>155</v>
      </c>
      <c r="M27" t="s">
        <v>155</v>
      </c>
      <c r="N27" t="s">
        <v>155</v>
      </c>
      <c r="O27" t="s">
        <v>155</v>
      </c>
      <c r="Q27">
        <v>4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>
      <c r="A28">
        <v>50.5</v>
      </c>
      <c r="B28" t="s">
        <v>46</v>
      </c>
      <c r="C28" t="s">
        <v>106</v>
      </c>
      <c r="D28">
        <v>2010</v>
      </c>
      <c r="E28">
        <v>1</v>
      </c>
      <c r="F28">
        <v>0.39600000000000002</v>
      </c>
      <c r="G28">
        <v>0.17499999999999999</v>
      </c>
      <c r="H28">
        <v>0.55000000000000004</v>
      </c>
      <c r="I28" s="26">
        <f>J28*O28</f>
        <v>1.103448275862069</v>
      </c>
      <c r="J28" s="26">
        <f>E28/(G28+H28)</f>
        <v>1.3793103448275861</v>
      </c>
      <c r="K28" s="26">
        <f>E28-G28*I28</f>
        <v>0.80689655172413799</v>
      </c>
      <c r="L28" s="26">
        <f>E28-G28*J28</f>
        <v>0.75862068965517249</v>
      </c>
      <c r="M28" s="27">
        <f>(E28+G28*I28)/F28</f>
        <v>3.0128874956461162</v>
      </c>
      <c r="N28" s="9">
        <f>$F28*(1+((1-$G28)/($H28+$G28))*($I28/$J28))</f>
        <v>0.75649655172413799</v>
      </c>
      <c r="O28" s="15">
        <v>0.8</v>
      </c>
      <c r="Q28" t="s">
        <v>205</v>
      </c>
      <c r="S28">
        <v>400</v>
      </c>
      <c r="T28">
        <v>3</v>
      </c>
      <c r="U28">
        <v>6000</v>
      </c>
      <c r="V28" s="29">
        <v>30</v>
      </c>
      <c r="W28">
        <v>3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>
      <c r="A29">
        <v>51</v>
      </c>
      <c r="B29" t="s">
        <v>209</v>
      </c>
      <c r="C29" t="s">
        <v>107</v>
      </c>
      <c r="D29">
        <v>2020</v>
      </c>
      <c r="E29">
        <v>1</v>
      </c>
      <c r="F29">
        <v>0.41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P29">
        <v>1</v>
      </c>
      <c r="Q29">
        <v>1</v>
      </c>
      <c r="S29">
        <v>378</v>
      </c>
      <c r="T29">
        <v>4.5</v>
      </c>
      <c r="U29">
        <v>8068</v>
      </c>
      <c r="V29">
        <v>25</v>
      </c>
      <c r="W29">
        <v>1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>
      <c r="A30">
        <v>52</v>
      </c>
      <c r="B30" t="s">
        <v>49</v>
      </c>
      <c r="C30" t="s">
        <v>109</v>
      </c>
      <c r="D30">
        <v>2020</v>
      </c>
      <c r="E30">
        <v>1</v>
      </c>
      <c r="F30">
        <v>0.47</v>
      </c>
      <c r="G30" t="s">
        <v>155</v>
      </c>
      <c r="H30" t="s">
        <v>155</v>
      </c>
      <c r="I30" t="s">
        <v>155</v>
      </c>
      <c r="J30" t="s">
        <v>155</v>
      </c>
      <c r="K30" t="s">
        <v>155</v>
      </c>
      <c r="L30" t="s">
        <v>155</v>
      </c>
      <c r="M30" t="s">
        <v>155</v>
      </c>
      <c r="N30" t="s">
        <v>155</v>
      </c>
      <c r="O30" t="s">
        <v>155</v>
      </c>
      <c r="Q30">
        <v>4</v>
      </c>
      <c r="S30">
        <v>800</v>
      </c>
      <c r="T30">
        <v>4</v>
      </c>
      <c r="U30">
        <v>25000</v>
      </c>
      <c r="V30">
        <v>25</v>
      </c>
      <c r="W30">
        <v>8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A31">
        <v>52.5</v>
      </c>
      <c r="B31" t="s">
        <v>141</v>
      </c>
      <c r="C31" t="s">
        <v>110</v>
      </c>
      <c r="D31">
        <v>2020</v>
      </c>
      <c r="E31">
        <v>1</v>
      </c>
      <c r="F31">
        <v>0.47</v>
      </c>
      <c r="G31">
        <v>0.187</v>
      </c>
      <c r="H31">
        <v>0.65</v>
      </c>
      <c r="I31" s="26">
        <f>J31*O31</f>
        <v>0.95579450418160106</v>
      </c>
      <c r="J31" s="26">
        <f>E31/(G31+H31)</f>
        <v>1.1947431302270013</v>
      </c>
      <c r="K31" s="26">
        <f>E31-G31*I31</f>
        <v>0.82126642771804059</v>
      </c>
      <c r="L31" s="26">
        <f>E31-G31*J31</f>
        <v>0.77658303464755074</v>
      </c>
      <c r="M31" s="27">
        <f>(E31+G31*I31)/F31</f>
        <v>2.5079437708126799</v>
      </c>
      <c r="N31" s="9">
        <f>$F31*(1+((1-$G31)/($H31+$G31))*($I31/$J31))</f>
        <v>0.83521863799283147</v>
      </c>
      <c r="O31" s="15">
        <v>0.8</v>
      </c>
      <c r="Q31" t="s">
        <v>205</v>
      </c>
      <c r="S31">
        <f>ROUND(S30/0.95,0)</f>
        <v>842</v>
      </c>
      <c r="T31">
        <v>4</v>
      </c>
      <c r="U31">
        <v>25000</v>
      </c>
      <c r="V31">
        <v>25</v>
      </c>
      <c r="W31" t="s">
        <v>223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A32">
        <v>60</v>
      </c>
      <c r="B32" t="s">
        <v>50</v>
      </c>
      <c r="C32" t="s">
        <v>111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3000</v>
      </c>
      <c r="T32">
        <v>0</v>
      </c>
      <c r="U32">
        <v>60000</v>
      </c>
      <c r="V32">
        <v>60</v>
      </c>
      <c r="W32" t="s">
        <v>222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>
      <c r="A33">
        <v>61</v>
      </c>
      <c r="B33" t="s">
        <v>210</v>
      </c>
      <c r="C33" t="s">
        <v>112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222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>
      <c r="A34">
        <v>63</v>
      </c>
      <c r="B34" t="s">
        <v>53</v>
      </c>
      <c r="C34" t="s">
        <v>113</v>
      </c>
      <c r="E34">
        <v>1</v>
      </c>
      <c r="F34" t="s">
        <v>155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S34">
        <v>2000</v>
      </c>
      <c r="T34">
        <v>0</v>
      </c>
      <c r="U34">
        <v>20000</v>
      </c>
      <c r="V34">
        <v>60</v>
      </c>
      <c r="W34" t="s">
        <v>222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s="29" customFormat="1">
      <c r="A35" s="29">
        <v>70</v>
      </c>
      <c r="B35" s="29" t="s">
        <v>54</v>
      </c>
      <c r="C35" s="29" t="s">
        <v>114</v>
      </c>
      <c r="D35" s="29">
        <v>2030</v>
      </c>
      <c r="E35" s="29">
        <v>1</v>
      </c>
      <c r="F35" s="29">
        <v>0.29799999999999999</v>
      </c>
      <c r="G35" s="29" t="s">
        <v>155</v>
      </c>
      <c r="H35" s="29" t="s">
        <v>155</v>
      </c>
      <c r="I35" s="29" t="s">
        <v>155</v>
      </c>
      <c r="J35" s="29" t="s">
        <v>155</v>
      </c>
      <c r="K35" s="29" t="s">
        <v>155</v>
      </c>
      <c r="L35" s="29" t="s">
        <v>155</v>
      </c>
      <c r="M35" s="29" t="s">
        <v>155</v>
      </c>
      <c r="N35" s="29" t="s">
        <v>155</v>
      </c>
      <c r="O35" s="29" t="s">
        <v>155</v>
      </c>
      <c r="Q35" s="29">
        <v>1</v>
      </c>
      <c r="S35" s="29">
        <f>0.95*S36</f>
        <v>3230</v>
      </c>
      <c r="T35" s="29">
        <f>T36</f>
        <v>4.5</v>
      </c>
      <c r="U35" s="29">
        <f>0.95*U36</f>
        <v>133000</v>
      </c>
      <c r="V35" s="29">
        <f>V36</f>
        <v>25</v>
      </c>
      <c r="W35" s="29">
        <v>1</v>
      </c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" customFormat="1">
      <c r="A36" s="29">
        <v>70.5</v>
      </c>
      <c r="B36" s="29" t="s">
        <v>55</v>
      </c>
      <c r="C36" s="29" t="s">
        <v>115</v>
      </c>
      <c r="D36" s="29">
        <v>2030</v>
      </c>
      <c r="E36" s="29">
        <v>1</v>
      </c>
      <c r="F36" s="29">
        <v>0.29799999999999999</v>
      </c>
      <c r="G36" s="29">
        <v>0.14000000000000001</v>
      </c>
      <c r="H36" s="29">
        <v>0.42</v>
      </c>
      <c r="I36" s="33">
        <f t="shared" ref="I36" si="5">J36*O36</f>
        <v>1.4285714285714286</v>
      </c>
      <c r="J36" s="33">
        <f t="shared" ref="J36" si="6">E36/(G36+H36)</f>
        <v>1.7857142857142856</v>
      </c>
      <c r="K36" s="33">
        <f t="shared" ref="K36" si="7">E36-G36*I36</f>
        <v>0.8</v>
      </c>
      <c r="L36" s="33">
        <f t="shared" ref="L36" si="8">E36-G36*J36</f>
        <v>0.75</v>
      </c>
      <c r="M36" s="33">
        <f t="shared" ref="M36" si="9">(E36+G36*I36)/F36</f>
        <v>4.026845637583893</v>
      </c>
      <c r="N36" s="34">
        <f>$F36*(1+((1-$G36)/($H36+$G36))*($I36/$J36))</f>
        <v>0.66411428571428566</v>
      </c>
      <c r="O36" s="29">
        <v>0.8</v>
      </c>
      <c r="Q36" s="29">
        <v>1</v>
      </c>
      <c r="S36" s="29">
        <v>3400</v>
      </c>
      <c r="T36" s="29">
        <v>4.5</v>
      </c>
      <c r="U36" s="29">
        <v>140000</v>
      </c>
      <c r="V36" s="29">
        <v>25</v>
      </c>
      <c r="W36" s="29">
        <v>1</v>
      </c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>
      <c r="A37">
        <v>100</v>
      </c>
      <c r="B37" t="s">
        <v>211</v>
      </c>
      <c r="C37" t="s">
        <v>116</v>
      </c>
      <c r="D37">
        <v>2020</v>
      </c>
      <c r="E37">
        <v>1</v>
      </c>
      <c r="F37">
        <v>3.6</v>
      </c>
      <c r="G37" t="s">
        <v>155</v>
      </c>
      <c r="H37" t="s">
        <v>155</v>
      </c>
      <c r="I37" t="s">
        <v>155</v>
      </c>
      <c r="J37" t="s">
        <v>155</v>
      </c>
      <c r="K37" t="s">
        <v>155</v>
      </c>
      <c r="L37" t="s">
        <v>155</v>
      </c>
      <c r="M37" t="s">
        <v>155</v>
      </c>
      <c r="N37" t="s">
        <v>155</v>
      </c>
      <c r="O37" t="s">
        <v>155</v>
      </c>
      <c r="P37">
        <v>1</v>
      </c>
      <c r="Q37">
        <v>1</v>
      </c>
      <c r="S37">
        <v>660</v>
      </c>
      <c r="T37">
        <v>1.8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>
      <c r="A38">
        <v>101</v>
      </c>
      <c r="B38" t="s">
        <v>212</v>
      </c>
      <c r="C38" t="s">
        <v>213</v>
      </c>
      <c r="D38">
        <v>2020</v>
      </c>
      <c r="E38">
        <v>1</v>
      </c>
      <c r="F38">
        <v>1.71</v>
      </c>
      <c r="G38" t="s">
        <v>155</v>
      </c>
      <c r="H38" t="s">
        <v>155</v>
      </c>
      <c r="I38" s="27" t="s">
        <v>155</v>
      </c>
      <c r="J38" s="27" t="s">
        <v>155</v>
      </c>
      <c r="K38" s="27" t="s">
        <v>155</v>
      </c>
      <c r="L38" s="27" t="s">
        <v>155</v>
      </c>
      <c r="M38" s="27" t="s">
        <v>155</v>
      </c>
      <c r="N38" s="9" t="s">
        <v>155</v>
      </c>
      <c r="O38" t="s">
        <v>155</v>
      </c>
      <c r="P38">
        <v>1</v>
      </c>
      <c r="Q38">
        <v>1</v>
      </c>
      <c r="S38">
        <v>560</v>
      </c>
      <c r="T38">
        <v>0.28000000000000003</v>
      </c>
      <c r="U38">
        <v>2000</v>
      </c>
      <c r="V38">
        <v>25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  <row r="39" spans="1:33">
      <c r="A39">
        <v>102</v>
      </c>
      <c r="B39" t="s">
        <v>214</v>
      </c>
      <c r="C39" t="s">
        <v>215</v>
      </c>
      <c r="D39">
        <v>2020</v>
      </c>
      <c r="E39">
        <v>1</v>
      </c>
      <c r="F39">
        <v>0.99</v>
      </c>
      <c r="G39" t="s">
        <v>155</v>
      </c>
      <c r="H39" t="s">
        <v>155</v>
      </c>
      <c r="I39" t="s">
        <v>155</v>
      </c>
      <c r="J39" t="s">
        <v>155</v>
      </c>
      <c r="K39" t="s">
        <v>155</v>
      </c>
      <c r="L39" t="s">
        <v>155</v>
      </c>
      <c r="M39" t="s">
        <v>155</v>
      </c>
      <c r="N39" t="s">
        <v>155</v>
      </c>
      <c r="O39" t="s">
        <v>155</v>
      </c>
      <c r="P39">
        <v>1</v>
      </c>
      <c r="Q39">
        <v>1</v>
      </c>
      <c r="S39">
        <v>150</v>
      </c>
      <c r="T39">
        <v>0.5</v>
      </c>
      <c r="U39">
        <v>1070</v>
      </c>
      <c r="W39">
        <v>1</v>
      </c>
      <c r="Y39" s="6"/>
      <c r="Z39" s="6"/>
      <c r="AA39" s="6"/>
      <c r="AB39" s="6"/>
      <c r="AC39" s="6"/>
      <c r="AD39" s="6"/>
      <c r="AE39" s="6"/>
      <c r="AF39" s="6"/>
      <c r="AG39" s="6"/>
    </row>
    <row r="40" spans="1:33">
      <c r="A40">
        <v>110</v>
      </c>
      <c r="B40" t="s">
        <v>272</v>
      </c>
      <c r="C40" t="s">
        <v>259</v>
      </c>
      <c r="D40">
        <v>2030</v>
      </c>
      <c r="P40">
        <v>1</v>
      </c>
      <c r="W40">
        <v>15</v>
      </c>
    </row>
    <row r="41" spans="1:33">
      <c r="A41">
        <v>111</v>
      </c>
      <c r="B41" t="s">
        <v>273</v>
      </c>
      <c r="C41" t="s">
        <v>260</v>
      </c>
      <c r="D41">
        <v>2030</v>
      </c>
      <c r="P41">
        <v>1</v>
      </c>
      <c r="W41">
        <v>15</v>
      </c>
    </row>
    <row r="42" spans="1:33">
      <c r="A42">
        <v>112</v>
      </c>
      <c r="B42" t="s">
        <v>274</v>
      </c>
      <c r="C42" t="s">
        <v>261</v>
      </c>
      <c r="D42">
        <v>2030</v>
      </c>
      <c r="P42">
        <v>1</v>
      </c>
      <c r="W42">
        <v>15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04D4-8D7D-DF44-959D-76A8D1AD837F}">
  <dimension ref="A1:I58"/>
  <sheetViews>
    <sheetView tabSelected="1" zoomScale="115" zoomScaleNormal="130" workbookViewId="0">
      <pane ySplit="1" topLeftCell="A36" activePane="bottomLeft" state="frozen"/>
      <selection pane="bottomLeft" activeCell="D3" sqref="D3"/>
    </sheetView>
  </sheetViews>
  <sheetFormatPr baseColWidth="10" defaultRowHeight="15"/>
  <cols>
    <col min="2" max="2" width="29.6640625" bestFit="1" customWidth="1"/>
    <col min="3" max="3" width="12.5" bestFit="1" customWidth="1"/>
    <col min="4" max="4" width="13" bestFit="1" customWidth="1"/>
    <col min="6" max="6" width="11.6640625" customWidth="1"/>
  </cols>
  <sheetData>
    <row r="1" spans="1:9" ht="48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268</v>
      </c>
      <c r="F1" s="14" t="s">
        <v>271</v>
      </c>
      <c r="G1" s="14" t="s">
        <v>277</v>
      </c>
      <c r="H1" s="14" t="s">
        <v>282</v>
      </c>
      <c r="I1" s="14"/>
    </row>
    <row r="2" spans="1:9">
      <c r="A2">
        <v>10</v>
      </c>
      <c r="B2" t="s">
        <v>20</v>
      </c>
      <c r="C2" t="s">
        <v>80</v>
      </c>
      <c r="D2" t="s">
        <v>155</v>
      </c>
      <c r="E2" t="s">
        <v>139</v>
      </c>
      <c r="F2" t="s">
        <v>20</v>
      </c>
      <c r="G2">
        <v>0.34</v>
      </c>
      <c r="H2" s="7">
        <v>1</v>
      </c>
    </row>
    <row r="3" spans="1:9">
      <c r="A3">
        <v>20</v>
      </c>
      <c r="B3" t="s">
        <v>21</v>
      </c>
      <c r="C3" t="s">
        <v>81</v>
      </c>
      <c r="D3">
        <v>1980</v>
      </c>
      <c r="E3" t="s">
        <v>139</v>
      </c>
      <c r="F3" t="s">
        <v>128</v>
      </c>
      <c r="G3">
        <v>0.35199999999999998</v>
      </c>
      <c r="H3" s="7">
        <v>1</v>
      </c>
    </row>
    <row r="4" spans="1:9">
      <c r="A4">
        <v>20.5</v>
      </c>
      <c r="B4" t="s">
        <v>22</v>
      </c>
      <c r="C4" t="s">
        <v>82</v>
      </c>
      <c r="D4">
        <v>1980</v>
      </c>
      <c r="E4" t="s">
        <v>139</v>
      </c>
      <c r="F4" t="s">
        <v>128</v>
      </c>
      <c r="G4">
        <v>0.35199999999999998</v>
      </c>
      <c r="H4" s="7">
        <v>1</v>
      </c>
      <c r="I4" s="9"/>
    </row>
    <row r="5" spans="1:9">
      <c r="B5" t="s">
        <v>22</v>
      </c>
      <c r="C5" t="s">
        <v>82</v>
      </c>
      <c r="D5">
        <v>1980</v>
      </c>
      <c r="E5" t="s">
        <v>140</v>
      </c>
      <c r="F5" t="s">
        <v>128</v>
      </c>
      <c r="G5">
        <v>0.35499999999999998</v>
      </c>
      <c r="H5" s="7">
        <v>1</v>
      </c>
      <c r="I5" s="9"/>
    </row>
    <row r="6" spans="1:9">
      <c r="A6">
        <v>21</v>
      </c>
      <c r="B6" t="s">
        <v>23</v>
      </c>
      <c r="C6" t="s">
        <v>83</v>
      </c>
      <c r="D6">
        <v>2020</v>
      </c>
      <c r="E6" t="s">
        <v>139</v>
      </c>
      <c r="F6" t="s">
        <v>278</v>
      </c>
      <c r="G6">
        <v>0.439</v>
      </c>
      <c r="H6" s="7">
        <v>1</v>
      </c>
    </row>
    <row r="7" spans="1:9">
      <c r="A7">
        <v>21.5</v>
      </c>
      <c r="B7" t="s">
        <v>24</v>
      </c>
      <c r="C7" t="s">
        <v>84</v>
      </c>
      <c r="D7" s="15">
        <v>2020</v>
      </c>
      <c r="E7" t="s">
        <v>139</v>
      </c>
      <c r="F7" t="s">
        <v>278</v>
      </c>
      <c r="G7">
        <v>0.439</v>
      </c>
      <c r="H7" s="7">
        <v>1</v>
      </c>
      <c r="I7" s="9"/>
    </row>
    <row r="8" spans="1:9">
      <c r="B8" t="s">
        <v>24</v>
      </c>
      <c r="C8" t="s">
        <v>84</v>
      </c>
      <c r="D8" s="15">
        <v>2020</v>
      </c>
      <c r="E8" t="s">
        <v>140</v>
      </c>
      <c r="F8" t="s">
        <v>278</v>
      </c>
      <c r="G8">
        <v>0.36899999999999999</v>
      </c>
      <c r="H8" s="7">
        <v>1</v>
      </c>
      <c r="I8" s="9"/>
    </row>
    <row r="9" spans="1:9">
      <c r="A9">
        <v>30</v>
      </c>
      <c r="B9" t="s">
        <v>25</v>
      </c>
      <c r="C9" t="s">
        <v>85</v>
      </c>
      <c r="D9">
        <v>1980</v>
      </c>
      <c r="E9" t="s">
        <v>139</v>
      </c>
      <c r="F9" t="s">
        <v>129</v>
      </c>
      <c r="G9">
        <v>0.375</v>
      </c>
      <c r="H9" s="7">
        <v>1</v>
      </c>
    </row>
    <row r="10" spans="1:9">
      <c r="A10">
        <v>30.5</v>
      </c>
      <c r="B10" t="s">
        <v>26</v>
      </c>
      <c r="C10" t="s">
        <v>86</v>
      </c>
      <c r="D10">
        <v>1980</v>
      </c>
      <c r="E10" t="s">
        <v>139</v>
      </c>
      <c r="F10" t="s">
        <v>129</v>
      </c>
      <c r="G10">
        <v>0.375</v>
      </c>
      <c r="H10" s="7">
        <v>1</v>
      </c>
      <c r="I10" s="9"/>
    </row>
    <row r="11" spans="1:9">
      <c r="A11">
        <v>30.5</v>
      </c>
      <c r="B11" t="s">
        <v>26</v>
      </c>
      <c r="C11" t="s">
        <v>86</v>
      </c>
      <c r="D11">
        <v>1980</v>
      </c>
      <c r="E11" t="s">
        <v>140</v>
      </c>
      <c r="F11" t="s">
        <v>129</v>
      </c>
      <c r="G11">
        <v>0.36399999999999999</v>
      </c>
      <c r="H11" s="7">
        <v>1</v>
      </c>
      <c r="I11" s="9"/>
    </row>
    <row r="12" spans="1:9">
      <c r="A12">
        <v>31</v>
      </c>
      <c r="B12" t="s">
        <v>27</v>
      </c>
      <c r="C12" t="s">
        <v>87</v>
      </c>
      <c r="D12">
        <v>2000</v>
      </c>
      <c r="E12" t="s">
        <v>139</v>
      </c>
      <c r="F12" t="s">
        <v>129</v>
      </c>
      <c r="G12">
        <v>0.42499999999999999</v>
      </c>
      <c r="H12" s="7">
        <v>1</v>
      </c>
    </row>
    <row r="13" spans="1:9">
      <c r="A13">
        <v>31.5</v>
      </c>
      <c r="B13" t="s">
        <v>28</v>
      </c>
      <c r="C13" t="s">
        <v>88</v>
      </c>
      <c r="D13">
        <v>2000</v>
      </c>
      <c r="E13" t="s">
        <v>139</v>
      </c>
      <c r="F13" t="s">
        <v>129</v>
      </c>
      <c r="G13">
        <v>0.42499999999999999</v>
      </c>
      <c r="H13" s="7">
        <v>1</v>
      </c>
      <c r="I13" s="9"/>
    </row>
    <row r="14" spans="1:9">
      <c r="A14">
        <v>31.5</v>
      </c>
      <c r="B14" t="s">
        <v>28</v>
      </c>
      <c r="C14" t="s">
        <v>88</v>
      </c>
      <c r="D14">
        <v>2000</v>
      </c>
      <c r="E14" t="s">
        <v>140</v>
      </c>
      <c r="F14" t="s">
        <v>129</v>
      </c>
      <c r="G14">
        <v>0.38500000000000001</v>
      </c>
      <c r="H14" s="7">
        <v>1</v>
      </c>
      <c r="I14" s="9"/>
    </row>
    <row r="15" spans="1:9">
      <c r="A15">
        <v>32</v>
      </c>
      <c r="B15" t="s">
        <v>29</v>
      </c>
      <c r="C15" t="s">
        <v>89</v>
      </c>
      <c r="D15">
        <v>2020</v>
      </c>
      <c r="E15" t="s">
        <v>139</v>
      </c>
      <c r="F15" t="s">
        <v>129</v>
      </c>
      <c r="G15">
        <v>0.48499999999999999</v>
      </c>
      <c r="H15" s="7">
        <v>1</v>
      </c>
    </row>
    <row r="16" spans="1:9">
      <c r="A16">
        <v>32.5</v>
      </c>
      <c r="B16" t="s">
        <v>30</v>
      </c>
      <c r="C16" t="s">
        <v>90</v>
      </c>
      <c r="D16">
        <v>2020</v>
      </c>
      <c r="E16" t="s">
        <v>139</v>
      </c>
      <c r="F16" t="s">
        <v>129</v>
      </c>
      <c r="G16">
        <v>0.48499999999999999</v>
      </c>
      <c r="H16" s="7">
        <v>1</v>
      </c>
      <c r="I16" s="9"/>
    </row>
    <row r="17" spans="1:9">
      <c r="A17">
        <v>32.5</v>
      </c>
      <c r="B17" t="s">
        <v>30</v>
      </c>
      <c r="C17" t="s">
        <v>90</v>
      </c>
      <c r="D17">
        <v>2020</v>
      </c>
      <c r="E17" t="s">
        <v>140</v>
      </c>
      <c r="F17" t="s">
        <v>129</v>
      </c>
      <c r="G17">
        <v>0.33300000000000002</v>
      </c>
      <c r="H17" s="7">
        <v>1</v>
      </c>
      <c r="I17" s="9"/>
    </row>
    <row r="18" spans="1:9">
      <c r="A18">
        <v>33</v>
      </c>
      <c r="B18" t="s">
        <v>31</v>
      </c>
      <c r="C18" t="s">
        <v>91</v>
      </c>
      <c r="D18">
        <v>2020</v>
      </c>
      <c r="E18" t="s">
        <v>139</v>
      </c>
      <c r="F18" t="s">
        <v>129</v>
      </c>
      <c r="G18">
        <v>0.46</v>
      </c>
      <c r="H18" s="7">
        <v>1</v>
      </c>
    </row>
    <row r="19" spans="1:9">
      <c r="A19">
        <v>40</v>
      </c>
      <c r="B19" t="s">
        <v>32</v>
      </c>
      <c r="C19" t="s">
        <v>92</v>
      </c>
      <c r="D19">
        <v>2020</v>
      </c>
      <c r="E19" t="s">
        <v>139</v>
      </c>
      <c r="F19" t="s">
        <v>130</v>
      </c>
      <c r="G19">
        <v>0.40699999999999997</v>
      </c>
      <c r="H19" s="7">
        <v>1</v>
      </c>
    </row>
    <row r="20" spans="1:9">
      <c r="A20">
        <v>40.5</v>
      </c>
      <c r="B20" t="s">
        <v>33</v>
      </c>
      <c r="C20" t="s">
        <v>93</v>
      </c>
      <c r="D20">
        <v>2020</v>
      </c>
      <c r="E20" t="s">
        <v>139</v>
      </c>
      <c r="F20" t="s">
        <v>130</v>
      </c>
      <c r="G20">
        <v>0.40699999999999997</v>
      </c>
      <c r="H20" s="7">
        <v>1</v>
      </c>
      <c r="I20" s="9"/>
    </row>
    <row r="21" spans="1:9">
      <c r="A21">
        <v>40.5</v>
      </c>
      <c r="B21" t="s">
        <v>33</v>
      </c>
      <c r="C21" t="s">
        <v>93</v>
      </c>
      <c r="D21">
        <v>2020</v>
      </c>
      <c r="E21" t="s">
        <v>140</v>
      </c>
      <c r="F21" t="s">
        <v>130</v>
      </c>
      <c r="G21">
        <v>0.39500000000000002</v>
      </c>
      <c r="H21" s="7">
        <v>1</v>
      </c>
      <c r="I21" s="9"/>
    </row>
    <row r="22" spans="1:9">
      <c r="A22">
        <v>41</v>
      </c>
      <c r="B22" t="s">
        <v>206</v>
      </c>
      <c r="C22" t="s">
        <v>94</v>
      </c>
      <c r="D22">
        <v>1980</v>
      </c>
      <c r="E22" t="s">
        <v>139</v>
      </c>
      <c r="F22" t="s">
        <v>130</v>
      </c>
      <c r="G22">
        <v>0.32800000000000001</v>
      </c>
      <c r="H22" s="7">
        <v>1</v>
      </c>
    </row>
    <row r="23" spans="1:9">
      <c r="A23">
        <v>42</v>
      </c>
      <c r="B23" t="s">
        <v>207</v>
      </c>
      <c r="C23" t="s">
        <v>96</v>
      </c>
      <c r="D23">
        <v>2020</v>
      </c>
      <c r="E23" t="s">
        <v>139</v>
      </c>
      <c r="F23" t="s">
        <v>130</v>
      </c>
      <c r="G23">
        <v>0.42</v>
      </c>
      <c r="H23" s="7">
        <v>1</v>
      </c>
      <c r="I23" s="9"/>
    </row>
    <row r="24" spans="1:9">
      <c r="A24">
        <v>42.5</v>
      </c>
      <c r="B24" t="s">
        <v>283</v>
      </c>
      <c r="C24" t="s">
        <v>97</v>
      </c>
      <c r="D24">
        <v>2020</v>
      </c>
      <c r="E24" t="s">
        <v>139</v>
      </c>
      <c r="F24" t="s">
        <v>130</v>
      </c>
      <c r="G24">
        <v>0.42</v>
      </c>
      <c r="H24" s="7">
        <v>1</v>
      </c>
      <c r="I24" s="9"/>
    </row>
    <row r="25" spans="1:9">
      <c r="A25">
        <v>42.5</v>
      </c>
      <c r="B25" t="s">
        <v>283</v>
      </c>
      <c r="C25" t="s">
        <v>97</v>
      </c>
      <c r="D25">
        <v>2020</v>
      </c>
      <c r="E25" t="s">
        <v>140</v>
      </c>
      <c r="F25" t="s">
        <v>130</v>
      </c>
      <c r="G25">
        <v>0.35</v>
      </c>
      <c r="H25" s="7">
        <v>1</v>
      </c>
      <c r="I25" s="9"/>
    </row>
    <row r="26" spans="1:9">
      <c r="A26">
        <v>43</v>
      </c>
      <c r="B26" t="s">
        <v>38</v>
      </c>
      <c r="C26" t="s">
        <v>98</v>
      </c>
      <c r="D26">
        <v>2020</v>
      </c>
      <c r="E26" t="s">
        <v>139</v>
      </c>
      <c r="F26" t="s">
        <v>130</v>
      </c>
      <c r="G26">
        <v>0.56000000000000005</v>
      </c>
      <c r="H26" s="7">
        <v>1</v>
      </c>
    </row>
    <row r="27" spans="1:9">
      <c r="A27">
        <v>43.5</v>
      </c>
      <c r="B27" t="s">
        <v>39</v>
      </c>
      <c r="C27" t="s">
        <v>99</v>
      </c>
      <c r="D27">
        <v>2020</v>
      </c>
      <c r="E27" t="s">
        <v>139</v>
      </c>
      <c r="F27" t="s">
        <v>130</v>
      </c>
      <c r="G27">
        <v>0.56000000000000005</v>
      </c>
      <c r="H27" s="7">
        <v>1</v>
      </c>
      <c r="I27" s="9"/>
    </row>
    <row r="28" spans="1:9">
      <c r="A28">
        <v>43.5</v>
      </c>
      <c r="B28" t="s">
        <v>39</v>
      </c>
      <c r="C28" t="s">
        <v>99</v>
      </c>
      <c r="D28">
        <v>2020</v>
      </c>
      <c r="E28" t="s">
        <v>140</v>
      </c>
      <c r="F28" t="s">
        <v>130</v>
      </c>
      <c r="G28">
        <v>0.19500000000000001</v>
      </c>
      <c r="H28" s="7">
        <v>1</v>
      </c>
      <c r="I28" s="9"/>
    </row>
    <row r="29" spans="1:9">
      <c r="A29">
        <v>44</v>
      </c>
      <c r="B29" t="s">
        <v>40</v>
      </c>
      <c r="C29" t="s">
        <v>100</v>
      </c>
      <c r="D29">
        <v>2030</v>
      </c>
      <c r="E29" t="s">
        <v>139</v>
      </c>
      <c r="F29" t="s">
        <v>130</v>
      </c>
      <c r="G29">
        <v>0.61</v>
      </c>
      <c r="H29" s="7">
        <v>1</v>
      </c>
    </row>
    <row r="30" spans="1:9">
      <c r="A30">
        <v>44.5</v>
      </c>
      <c r="B30" t="s">
        <v>41</v>
      </c>
      <c r="C30" t="s">
        <v>101</v>
      </c>
      <c r="D30">
        <v>2030</v>
      </c>
      <c r="E30" t="s">
        <v>280</v>
      </c>
      <c r="F30" t="s">
        <v>130</v>
      </c>
      <c r="G30">
        <v>0.61</v>
      </c>
      <c r="H30" s="7">
        <v>1</v>
      </c>
      <c r="I30" s="9"/>
    </row>
    <row r="31" spans="1:9">
      <c r="A31">
        <v>44.5</v>
      </c>
      <c r="B31" t="s">
        <v>41</v>
      </c>
      <c r="C31" t="s">
        <v>101</v>
      </c>
      <c r="D31">
        <v>2030</v>
      </c>
      <c r="E31" t="s">
        <v>280</v>
      </c>
      <c r="F31" t="s">
        <v>130</v>
      </c>
      <c r="G31">
        <v>0.193</v>
      </c>
      <c r="H31" s="7">
        <v>1</v>
      </c>
      <c r="I31" s="9"/>
    </row>
    <row r="32" spans="1:9">
      <c r="A32">
        <v>45</v>
      </c>
      <c r="B32" t="s">
        <v>42</v>
      </c>
      <c r="C32" t="s">
        <v>102</v>
      </c>
      <c r="D32">
        <v>2020</v>
      </c>
      <c r="E32" t="s">
        <v>139</v>
      </c>
      <c r="F32" t="s">
        <v>130</v>
      </c>
      <c r="G32">
        <v>0.47</v>
      </c>
      <c r="H32" s="7">
        <v>1</v>
      </c>
    </row>
    <row r="33" spans="1:9">
      <c r="A33">
        <v>45.5</v>
      </c>
      <c r="B33" t="s">
        <v>43</v>
      </c>
      <c r="C33" t="s">
        <v>103</v>
      </c>
      <c r="D33">
        <v>2020</v>
      </c>
      <c r="E33" t="s">
        <v>139</v>
      </c>
      <c r="F33" t="s">
        <v>130</v>
      </c>
      <c r="G33">
        <v>0.47</v>
      </c>
      <c r="H33" s="7">
        <v>1</v>
      </c>
      <c r="I33" s="9"/>
    </row>
    <row r="34" spans="1:9">
      <c r="A34">
        <v>45.5</v>
      </c>
      <c r="B34" t="s">
        <v>43</v>
      </c>
      <c r="C34" t="s">
        <v>103</v>
      </c>
      <c r="D34">
        <v>2020</v>
      </c>
      <c r="E34" t="s">
        <v>140</v>
      </c>
      <c r="F34" t="s">
        <v>130</v>
      </c>
      <c r="G34">
        <v>0.39600000000000002</v>
      </c>
      <c r="H34" s="7">
        <v>1</v>
      </c>
      <c r="I34" s="9"/>
    </row>
    <row r="35" spans="1:9">
      <c r="A35">
        <v>49.5</v>
      </c>
      <c r="B35" t="s">
        <v>208</v>
      </c>
      <c r="C35" t="s">
        <v>104</v>
      </c>
      <c r="D35">
        <v>2020</v>
      </c>
      <c r="E35" t="s">
        <v>140</v>
      </c>
      <c r="F35" t="s">
        <v>130</v>
      </c>
      <c r="G35">
        <v>0.95</v>
      </c>
      <c r="H35" s="7">
        <v>1</v>
      </c>
    </row>
    <row r="36" spans="1:9">
      <c r="A36">
        <v>50</v>
      </c>
      <c r="B36" t="s">
        <v>45</v>
      </c>
      <c r="C36" t="s">
        <v>105</v>
      </c>
      <c r="D36">
        <v>2010</v>
      </c>
      <c r="E36" t="s">
        <v>139</v>
      </c>
      <c r="F36" t="s">
        <v>131</v>
      </c>
      <c r="G36">
        <v>0.39600000000000002</v>
      </c>
      <c r="H36" s="7">
        <v>1</v>
      </c>
    </row>
    <row r="37" spans="1:9">
      <c r="A37">
        <v>50.5</v>
      </c>
      <c r="B37" t="s">
        <v>46</v>
      </c>
      <c r="C37" t="s">
        <v>106</v>
      </c>
      <c r="D37">
        <v>2010</v>
      </c>
      <c r="E37" t="s">
        <v>139</v>
      </c>
      <c r="F37" t="s">
        <v>131</v>
      </c>
      <c r="G37">
        <v>0.39600000000000002</v>
      </c>
      <c r="H37" s="7">
        <v>1</v>
      </c>
      <c r="I37" s="9"/>
    </row>
    <row r="38" spans="1:9">
      <c r="A38">
        <v>50.5</v>
      </c>
      <c r="B38" t="s">
        <v>46</v>
      </c>
      <c r="C38" t="s">
        <v>106</v>
      </c>
      <c r="D38">
        <v>2010</v>
      </c>
      <c r="E38" t="s">
        <v>140</v>
      </c>
      <c r="F38" t="s">
        <v>131</v>
      </c>
      <c r="G38">
        <v>0.36</v>
      </c>
      <c r="H38" s="7">
        <v>1</v>
      </c>
      <c r="I38" s="9"/>
    </row>
    <row r="39" spans="1:9">
      <c r="A39">
        <v>51</v>
      </c>
      <c r="B39" t="s">
        <v>209</v>
      </c>
      <c r="C39" t="s">
        <v>107</v>
      </c>
      <c r="D39">
        <v>2020</v>
      </c>
      <c r="E39" t="s">
        <v>139</v>
      </c>
      <c r="F39" t="s">
        <v>131</v>
      </c>
      <c r="G39">
        <v>0.41</v>
      </c>
      <c r="H39" s="7">
        <v>1</v>
      </c>
    </row>
    <row r="40" spans="1:9">
      <c r="A40">
        <v>52</v>
      </c>
      <c r="B40" t="s">
        <v>49</v>
      </c>
      <c r="C40" t="s">
        <v>109</v>
      </c>
      <c r="D40">
        <v>2020</v>
      </c>
      <c r="E40" t="s">
        <v>139</v>
      </c>
      <c r="F40" t="s">
        <v>131</v>
      </c>
      <c r="G40">
        <v>0.47</v>
      </c>
      <c r="H40" s="7">
        <v>1</v>
      </c>
    </row>
    <row r="41" spans="1:9">
      <c r="A41">
        <v>52.5</v>
      </c>
      <c r="B41" t="s">
        <v>141</v>
      </c>
      <c r="C41" t="s">
        <v>110</v>
      </c>
      <c r="D41">
        <v>2020</v>
      </c>
      <c r="E41" t="s">
        <v>139</v>
      </c>
      <c r="F41" t="s">
        <v>131</v>
      </c>
      <c r="G41">
        <v>0.47</v>
      </c>
      <c r="H41" s="7">
        <v>1</v>
      </c>
      <c r="I41" s="9"/>
    </row>
    <row r="42" spans="1:9">
      <c r="A42">
        <v>52.5</v>
      </c>
      <c r="B42" t="s">
        <v>141</v>
      </c>
      <c r="C42" t="s">
        <v>110</v>
      </c>
      <c r="D42">
        <v>2020</v>
      </c>
      <c r="E42" t="s">
        <v>140</v>
      </c>
      <c r="F42" t="s">
        <v>131</v>
      </c>
      <c r="G42">
        <v>0.36499999999999999</v>
      </c>
      <c r="H42" s="7">
        <v>1</v>
      </c>
      <c r="I42" s="9"/>
    </row>
    <row r="43" spans="1:9">
      <c r="A43">
        <v>60</v>
      </c>
      <c r="B43" t="s">
        <v>50</v>
      </c>
      <c r="C43" t="s">
        <v>111</v>
      </c>
      <c r="D43" t="s">
        <v>155</v>
      </c>
      <c r="E43" t="s">
        <v>139</v>
      </c>
      <c r="F43" t="s">
        <v>132</v>
      </c>
      <c r="G43" t="s">
        <v>155</v>
      </c>
      <c r="H43" s="7">
        <v>1</v>
      </c>
    </row>
    <row r="44" spans="1:9">
      <c r="A44">
        <v>61</v>
      </c>
      <c r="B44" t="s">
        <v>210</v>
      </c>
      <c r="C44" t="s">
        <v>112</v>
      </c>
      <c r="D44" t="s">
        <v>155</v>
      </c>
      <c r="E44" t="s">
        <v>139</v>
      </c>
      <c r="F44" t="s">
        <v>132</v>
      </c>
      <c r="G44" t="s">
        <v>155</v>
      </c>
      <c r="H44" s="7">
        <v>1</v>
      </c>
    </row>
    <row r="45" spans="1:9">
      <c r="A45">
        <v>63</v>
      </c>
      <c r="B45" t="s">
        <v>53</v>
      </c>
      <c r="C45" t="s">
        <v>113</v>
      </c>
      <c r="D45" t="s">
        <v>155</v>
      </c>
      <c r="E45" t="s">
        <v>139</v>
      </c>
      <c r="F45" t="s">
        <v>132</v>
      </c>
      <c r="G45" t="s">
        <v>155</v>
      </c>
      <c r="H45" s="7">
        <v>1</v>
      </c>
    </row>
    <row r="46" spans="1:9">
      <c r="A46">
        <v>70</v>
      </c>
      <c r="B46" t="s">
        <v>54</v>
      </c>
      <c r="C46" t="s">
        <v>114</v>
      </c>
      <c r="D46">
        <v>2030</v>
      </c>
      <c r="E46" t="s">
        <v>139</v>
      </c>
      <c r="F46" t="s">
        <v>133</v>
      </c>
      <c r="G46">
        <v>0.29799999999999999</v>
      </c>
      <c r="H46" s="7">
        <v>1</v>
      </c>
    </row>
    <row r="47" spans="1:9">
      <c r="A47">
        <v>70.5</v>
      </c>
      <c r="B47" t="s">
        <v>55</v>
      </c>
      <c r="C47" t="s">
        <v>115</v>
      </c>
      <c r="D47">
        <v>2030</v>
      </c>
      <c r="E47" t="s">
        <v>139</v>
      </c>
      <c r="F47" t="s">
        <v>133</v>
      </c>
      <c r="G47">
        <v>0.29799999999999999</v>
      </c>
      <c r="H47" s="7">
        <v>1</v>
      </c>
      <c r="I47" s="9"/>
    </row>
    <row r="48" spans="1:9">
      <c r="A48">
        <v>70.5</v>
      </c>
      <c r="B48" t="s">
        <v>55</v>
      </c>
      <c r="C48" t="s">
        <v>115</v>
      </c>
      <c r="D48">
        <v>2030</v>
      </c>
      <c r="E48" t="s">
        <v>140</v>
      </c>
      <c r="F48" t="s">
        <v>133</v>
      </c>
      <c r="G48">
        <v>0.36599999999999999</v>
      </c>
      <c r="H48" s="7">
        <v>1</v>
      </c>
      <c r="I48" s="9"/>
    </row>
    <row r="49" spans="1:9">
      <c r="A49">
        <v>100</v>
      </c>
      <c r="B49" t="s">
        <v>211</v>
      </c>
      <c r="C49" t="s">
        <v>281</v>
      </c>
      <c r="D49">
        <v>2020</v>
      </c>
      <c r="E49" t="s">
        <v>140</v>
      </c>
      <c r="F49" t="s">
        <v>136</v>
      </c>
      <c r="G49">
        <v>3.6</v>
      </c>
      <c r="H49" s="7">
        <v>1</v>
      </c>
    </row>
    <row r="50" spans="1:9">
      <c r="A50">
        <v>101</v>
      </c>
      <c r="B50" t="s">
        <v>212</v>
      </c>
      <c r="C50" t="s">
        <v>213</v>
      </c>
      <c r="D50">
        <v>2020</v>
      </c>
      <c r="E50" t="s">
        <v>140</v>
      </c>
      <c r="F50" t="s">
        <v>136</v>
      </c>
      <c r="G50">
        <v>1.71</v>
      </c>
      <c r="H50" s="7">
        <v>1</v>
      </c>
      <c r="I50" s="9"/>
    </row>
    <row r="51" spans="1:9">
      <c r="A51">
        <v>102</v>
      </c>
      <c r="B51" t="s">
        <v>214</v>
      </c>
      <c r="C51" t="s">
        <v>215</v>
      </c>
      <c r="D51">
        <v>2020</v>
      </c>
      <c r="E51" t="s">
        <v>140</v>
      </c>
      <c r="F51" t="s">
        <v>136</v>
      </c>
      <c r="G51">
        <v>0.99</v>
      </c>
      <c r="H51" s="7">
        <v>1</v>
      </c>
    </row>
    <row r="52" spans="1:9">
      <c r="A52">
        <v>110</v>
      </c>
      <c r="B52" t="s">
        <v>272</v>
      </c>
      <c r="C52" t="s">
        <v>259</v>
      </c>
      <c r="D52">
        <v>2030</v>
      </c>
      <c r="E52" t="s">
        <v>269</v>
      </c>
      <c r="F52" t="s">
        <v>136</v>
      </c>
      <c r="G52">
        <v>0.65900000000000003</v>
      </c>
      <c r="H52" s="7">
        <v>1</v>
      </c>
    </row>
    <row r="53" spans="1:9">
      <c r="A53">
        <v>110</v>
      </c>
      <c r="B53" t="s">
        <v>272</v>
      </c>
      <c r="C53" t="s">
        <v>259</v>
      </c>
      <c r="D53">
        <v>2030</v>
      </c>
      <c r="E53" t="s">
        <v>140</v>
      </c>
      <c r="F53" t="s">
        <v>136</v>
      </c>
      <c r="G53">
        <v>0.12</v>
      </c>
      <c r="H53" s="7">
        <v>1</v>
      </c>
    </row>
    <row r="54" spans="1:9">
      <c r="A54">
        <v>111</v>
      </c>
      <c r="B54" t="s">
        <v>273</v>
      </c>
      <c r="C54" t="s">
        <v>260</v>
      </c>
      <c r="D54">
        <v>2030</v>
      </c>
      <c r="E54" t="s">
        <v>269</v>
      </c>
      <c r="F54" t="s">
        <v>136</v>
      </c>
      <c r="G54">
        <v>0.62</v>
      </c>
      <c r="H54" s="7">
        <v>1</v>
      </c>
    </row>
    <row r="55" spans="1:9">
      <c r="A55">
        <v>111</v>
      </c>
      <c r="B55" t="s">
        <v>273</v>
      </c>
      <c r="C55" t="s">
        <v>260</v>
      </c>
      <c r="D55">
        <v>2030</v>
      </c>
      <c r="E55" t="s">
        <v>140</v>
      </c>
      <c r="F55" t="s">
        <v>136</v>
      </c>
      <c r="G55">
        <v>0.12</v>
      </c>
      <c r="H55" s="7">
        <v>1</v>
      </c>
    </row>
    <row r="56" spans="1:9">
      <c r="A56">
        <v>112</v>
      </c>
      <c r="B56" t="s">
        <v>274</v>
      </c>
      <c r="C56" t="s">
        <v>261</v>
      </c>
      <c r="D56">
        <v>2030</v>
      </c>
      <c r="E56" t="s">
        <v>269</v>
      </c>
      <c r="F56" t="s">
        <v>136</v>
      </c>
      <c r="G56">
        <v>0.79</v>
      </c>
      <c r="H56" s="7">
        <v>0.85</v>
      </c>
    </row>
    <row r="57" spans="1:9">
      <c r="A57">
        <v>113</v>
      </c>
      <c r="B57" t="s">
        <v>274</v>
      </c>
      <c r="C57" t="s">
        <v>261</v>
      </c>
      <c r="D57">
        <v>2030</v>
      </c>
      <c r="E57" t="s">
        <v>269</v>
      </c>
      <c r="F57" t="s">
        <v>137</v>
      </c>
      <c r="G57">
        <v>0.79</v>
      </c>
      <c r="H57" s="7">
        <v>0.15</v>
      </c>
    </row>
    <row r="58" spans="1:9">
      <c r="A58">
        <v>120</v>
      </c>
      <c r="B58" t="s">
        <v>275</v>
      </c>
      <c r="C58" t="s">
        <v>276</v>
      </c>
      <c r="D58">
        <v>2030</v>
      </c>
      <c r="E58" t="s">
        <v>270</v>
      </c>
      <c r="F58" t="s">
        <v>279</v>
      </c>
      <c r="H58" s="7">
        <v>1</v>
      </c>
    </row>
  </sheetData>
  <phoneticPr fontId="14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EFFICIENCY</vt:lpstr>
      <vt:lpstr>FEASIBLE_INPUT-OUTPUT</vt:lpstr>
      <vt:lpstr>FEASIBLE_INPUT-OUTPUT_BAK</vt:lpstr>
      <vt:lpstr>COST_TRANSPORT</vt:lpstr>
      <vt:lpstr>ATC</vt:lpstr>
      <vt:lpstr>KM</vt:lpstr>
      <vt:lpstr>potentials</vt:lpstr>
      <vt:lpstr>AIR_POLLUTION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Wehrle</cp:lastModifiedBy>
  <dcterms:created xsi:type="dcterms:W3CDTF">2019-06-03T11:56:14Z</dcterms:created>
  <dcterms:modified xsi:type="dcterms:W3CDTF">2020-04-09T12:56:09Z</dcterms:modified>
</cp:coreProperties>
</file>