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846E2146-1BD2-4BEC-97E8-867C68C919BE}" xr6:coauthVersionLast="45" xr6:coauthVersionMax="45" xr10:uidLastSave="{00000000-0000-0000-0000-000000000000}"/>
  <bookViews>
    <workbookView xWindow="-120" yWindow="-120" windowWidth="21840" windowHeight="13140" tabRatio="860" firstSheet="6" activeTab="14" xr2:uid="{621F8D32-52B7-4CE4-9D99-ED32CD70233E}"/>
  </bookViews>
  <sheets>
    <sheet name="Sources" sheetId="16" r:id="rId1"/>
    <sheet name="legend" sheetId="5" r:id="rId2"/>
    <sheet name="WACC" sheetId="7" r:id="rId3"/>
    <sheet name="INITIAL_CAP_R" sheetId="2" r:id="rId4"/>
    <sheet name="CAPITALCOST_R" sheetId="8" r:id="rId5"/>
    <sheet name="CAPITALCOST_S" sheetId="10" r:id="rId6"/>
    <sheet name="parameters_G" sheetId="9" r:id="rId7"/>
    <sheet name="tech_full" sheetId="17" r:id="rId8"/>
    <sheet name="FEASIBLE_INPUT-OUTPUT" sheetId="18" r:id="rId9"/>
    <sheet name="FEASIBLE_INPUT-OUTPUT_BAK" sheetId="6" r:id="rId10"/>
    <sheet name="COST_TRANSPORT" sheetId="11" r:id="rId11"/>
    <sheet name="ATC" sheetId="3" r:id="rId12"/>
    <sheet name="KM" sheetId="4" r:id="rId13"/>
    <sheet name="potentials" sheetId="19" r:id="rId14"/>
    <sheet name="AIR_POLLUTION" sheetId="2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0" l="1"/>
  <c r="G8" i="8" l="1"/>
  <c r="G9" i="8"/>
  <c r="G7" i="8"/>
  <c r="G6" i="8"/>
  <c r="G3" i="8"/>
  <c r="G4" i="8"/>
  <c r="G5" i="8"/>
  <c r="G2" i="8"/>
  <c r="S30" i="17" l="1"/>
  <c r="S20" i="17"/>
  <c r="S9" i="17"/>
  <c r="P8" i="9"/>
  <c r="S13" i="17"/>
  <c r="S11" i="17"/>
  <c r="P11" i="9"/>
  <c r="O3" i="9"/>
  <c r="Q3" i="9" s="1"/>
  <c r="O4" i="9"/>
  <c r="Q4" i="9" s="1"/>
  <c r="O5" i="9"/>
  <c r="O6" i="9"/>
  <c r="O7" i="9"/>
  <c r="O8" i="9"/>
  <c r="O9" i="9"/>
  <c r="O10" i="9"/>
  <c r="O11" i="9"/>
  <c r="Q11" i="9" s="1"/>
  <c r="O12" i="9"/>
  <c r="O13" i="9"/>
  <c r="O14" i="9"/>
  <c r="O15" i="9"/>
  <c r="Q15" i="9" s="1"/>
  <c r="O16" i="9"/>
  <c r="Q16" i="9" s="1"/>
  <c r="O17" i="9"/>
  <c r="O18" i="9"/>
  <c r="O19" i="9"/>
  <c r="O20" i="9"/>
  <c r="O21" i="9"/>
  <c r="O22" i="9"/>
  <c r="O23" i="9"/>
  <c r="O24" i="9"/>
  <c r="O25" i="9"/>
  <c r="O26" i="9"/>
  <c r="O27" i="9"/>
  <c r="Q27" i="9" s="1"/>
  <c r="O28" i="9"/>
  <c r="Q28" i="9" s="1"/>
  <c r="O29" i="9"/>
  <c r="O30" i="9"/>
  <c r="O31" i="9"/>
  <c r="O32" i="9"/>
  <c r="O33" i="9"/>
  <c r="O34" i="9"/>
  <c r="O35" i="9"/>
  <c r="O36" i="9"/>
  <c r="O37" i="9"/>
  <c r="O38" i="9"/>
  <c r="O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2" i="9"/>
  <c r="P5" i="9"/>
  <c r="P6" i="9"/>
  <c r="P7" i="9"/>
  <c r="P9" i="9"/>
  <c r="P10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" i="9"/>
  <c r="P4" i="9"/>
  <c r="P2" i="9"/>
  <c r="E48" i="18"/>
  <c r="D48" i="18"/>
  <c r="C48" i="18"/>
  <c r="E47" i="18"/>
  <c r="D47" i="18"/>
  <c r="C47" i="18"/>
  <c r="E46" i="18"/>
  <c r="C46" i="18"/>
  <c r="E44" i="18"/>
  <c r="D44" i="18"/>
  <c r="C44" i="18"/>
  <c r="E43" i="18"/>
  <c r="D43" i="18"/>
  <c r="C43" i="18"/>
  <c r="E42" i="18"/>
  <c r="C42" i="18"/>
  <c r="E40" i="18"/>
  <c r="D40" i="18"/>
  <c r="C40" i="18"/>
  <c r="E39" i="18"/>
  <c r="D39" i="18"/>
  <c r="C39" i="18"/>
  <c r="E38" i="18"/>
  <c r="C38" i="18"/>
  <c r="E36" i="18"/>
  <c r="D36" i="18"/>
  <c r="C36" i="18"/>
  <c r="E35" i="18"/>
  <c r="D35" i="18"/>
  <c r="C35" i="18"/>
  <c r="E34" i="18"/>
  <c r="C34" i="18"/>
  <c r="E32" i="18"/>
  <c r="D32" i="18"/>
  <c r="C32" i="18"/>
  <c r="E31" i="18"/>
  <c r="D31" i="18"/>
  <c r="C31" i="18"/>
  <c r="E30" i="18"/>
  <c r="C30" i="18"/>
  <c r="D28" i="18"/>
  <c r="C28" i="18"/>
  <c r="E28" i="18" s="1"/>
  <c r="E27" i="18"/>
  <c r="D27" i="18"/>
  <c r="C27" i="18"/>
  <c r="C26" i="18"/>
  <c r="E26" i="18" s="1"/>
  <c r="E24" i="18"/>
  <c r="D24" i="18"/>
  <c r="C24" i="18"/>
  <c r="E23" i="18"/>
  <c r="D23" i="18"/>
  <c r="C23" i="18"/>
  <c r="E22" i="18"/>
  <c r="C22" i="18"/>
  <c r="C18" i="18"/>
  <c r="E18" i="18"/>
  <c r="C19" i="18"/>
  <c r="D19" i="18"/>
  <c r="E19" i="18" s="1"/>
  <c r="C20" i="18"/>
  <c r="E20" i="18" s="1"/>
  <c r="D20" i="18"/>
  <c r="C16" i="18"/>
  <c r="E16" i="18" s="1"/>
  <c r="D16" i="18"/>
  <c r="E15" i="18"/>
  <c r="D15" i="18"/>
  <c r="C15" i="18"/>
  <c r="E14" i="18"/>
  <c r="C14" i="18"/>
  <c r="E12" i="18"/>
  <c r="D12" i="18"/>
  <c r="C12" i="18"/>
  <c r="E11" i="18"/>
  <c r="D11" i="18"/>
  <c r="C11" i="18"/>
  <c r="E10" i="18"/>
  <c r="C10" i="18"/>
  <c r="D8" i="18"/>
  <c r="C8" i="18"/>
  <c r="E8" i="18" s="1"/>
  <c r="C7" i="18"/>
  <c r="D7" i="18"/>
  <c r="E7" i="18"/>
  <c r="E6" i="18"/>
  <c r="C6" i="18"/>
  <c r="E4" i="18"/>
  <c r="D4" i="18"/>
  <c r="C4" i="18"/>
  <c r="E3" i="18"/>
  <c r="D3" i="18"/>
  <c r="C3" i="18"/>
  <c r="C2" i="18"/>
  <c r="E2" i="18"/>
  <c r="J35" i="17"/>
  <c r="L35" i="17" s="1"/>
  <c r="I35" i="17"/>
  <c r="V34" i="17"/>
  <c r="U34" i="17"/>
  <c r="T34" i="17"/>
  <c r="S34" i="17"/>
  <c r="L30" i="17"/>
  <c r="J30" i="17"/>
  <c r="I30" i="17" s="1"/>
  <c r="L27" i="17"/>
  <c r="J27" i="17"/>
  <c r="I27" i="17" s="1"/>
  <c r="L24" i="17"/>
  <c r="J24" i="17"/>
  <c r="I24" i="17" s="1"/>
  <c r="V23" i="17"/>
  <c r="U23" i="17"/>
  <c r="T23" i="17"/>
  <c r="S23" i="17"/>
  <c r="L22" i="17"/>
  <c r="J22" i="17"/>
  <c r="I22" i="17" s="1"/>
  <c r="V21" i="17"/>
  <c r="U21" i="17"/>
  <c r="T21" i="17"/>
  <c r="S21" i="17"/>
  <c r="L20" i="17"/>
  <c r="J20" i="17"/>
  <c r="I20" i="17" s="1"/>
  <c r="J18" i="17"/>
  <c r="L18" i="17" s="1"/>
  <c r="I18" i="17"/>
  <c r="J16" i="17"/>
  <c r="I16" i="17" s="1"/>
  <c r="U14" i="17"/>
  <c r="N13" i="17"/>
  <c r="M13" i="17"/>
  <c r="L13" i="17"/>
  <c r="K13" i="17"/>
  <c r="J13" i="17"/>
  <c r="I13" i="17"/>
  <c r="N11" i="17"/>
  <c r="M11" i="17"/>
  <c r="K11" i="17"/>
  <c r="J11" i="17"/>
  <c r="L11" i="17" s="1"/>
  <c r="I11" i="17"/>
  <c r="J9" i="17"/>
  <c r="I9" i="17" s="1"/>
  <c r="S7" i="17"/>
  <c r="U7" i="17" s="1"/>
  <c r="N7" i="17"/>
  <c r="M7" i="17"/>
  <c r="L7" i="17"/>
  <c r="K7" i="17"/>
  <c r="J7" i="17"/>
  <c r="I7" i="17"/>
  <c r="U6" i="17"/>
  <c r="N5" i="17"/>
  <c r="L5" i="17"/>
  <c r="J5" i="17"/>
  <c r="I5" i="17"/>
  <c r="M5" i="17" s="1"/>
  <c r="U3" i="17"/>
  <c r="H2" i="10"/>
  <c r="I2" i="10"/>
  <c r="H3" i="10"/>
  <c r="I3" i="10"/>
  <c r="H4" i="10"/>
  <c r="I4" i="10"/>
  <c r="H5" i="10"/>
  <c r="I5" i="10"/>
  <c r="H6" i="10"/>
  <c r="I6" i="10"/>
  <c r="H7" i="10"/>
  <c r="I7" i="10"/>
  <c r="Q30" i="9" l="1"/>
  <c r="Q18" i="9"/>
  <c r="Q6" i="9"/>
  <c r="Q37" i="9"/>
  <c r="Q25" i="9"/>
  <c r="Q13" i="9"/>
  <c r="Q35" i="9"/>
  <c r="Q23" i="9"/>
  <c r="Q34" i="9"/>
  <c r="Q22" i="9"/>
  <c r="Q33" i="9"/>
  <c r="Q21" i="9"/>
  <c r="Q32" i="9"/>
  <c r="Q20" i="9"/>
  <c r="Q9" i="9"/>
  <c r="Q31" i="9"/>
  <c r="Q19" i="9"/>
  <c r="Q7" i="9"/>
  <c r="Q29" i="9"/>
  <c r="Q17" i="9"/>
  <c r="Q5" i="9"/>
  <c r="Q2" i="9"/>
  <c r="Q38" i="9"/>
  <c r="Q26" i="9"/>
  <c r="Q14" i="9"/>
  <c r="Q36" i="9"/>
  <c r="Q24" i="9"/>
  <c r="Q12" i="9"/>
  <c r="Q10" i="9"/>
  <c r="Q8" i="9"/>
  <c r="K16" i="17"/>
  <c r="N16" i="17"/>
  <c r="M16" i="17"/>
  <c r="N27" i="17"/>
  <c r="M27" i="17"/>
  <c r="K27" i="17"/>
  <c r="N9" i="17"/>
  <c r="M9" i="17"/>
  <c r="K9" i="17"/>
  <c r="K22" i="17"/>
  <c r="N22" i="17"/>
  <c r="M22" i="17"/>
  <c r="N30" i="17"/>
  <c r="M30" i="17"/>
  <c r="K30" i="17"/>
  <c r="N20" i="17"/>
  <c r="M20" i="17"/>
  <c r="K20" i="17"/>
  <c r="N24" i="17"/>
  <c r="M24" i="17"/>
  <c r="K24" i="17"/>
  <c r="L9" i="17"/>
  <c r="K18" i="17"/>
  <c r="K35" i="17"/>
  <c r="M18" i="17"/>
  <c r="M35" i="17"/>
  <c r="L16" i="17"/>
  <c r="N18" i="17"/>
  <c r="N35" i="17"/>
  <c r="K5" i="17"/>
  <c r="E2" i="8"/>
  <c r="F2" i="8"/>
  <c r="E3" i="8"/>
  <c r="F3" i="8"/>
  <c r="E4" i="8"/>
  <c r="F4" i="8"/>
  <c r="E5" i="8"/>
  <c r="F5" i="8"/>
  <c r="D3" i="8"/>
  <c r="D4" i="8"/>
  <c r="D5" i="8"/>
  <c r="D2" i="8"/>
  <c r="C5" i="8"/>
  <c r="C4" i="8"/>
  <c r="C3" i="8"/>
  <c r="D38" i="5" l="1"/>
  <c r="D32" i="5"/>
  <c r="D30" i="5"/>
  <c r="D28" i="5"/>
  <c r="D25" i="5"/>
  <c r="D23" i="5"/>
  <c r="D21" i="5"/>
  <c r="D19" i="5"/>
  <c r="D17" i="5"/>
  <c r="D15" i="5"/>
  <c r="D12" i="5"/>
  <c r="D10" i="5"/>
  <c r="D8" i="5"/>
  <c r="D6" i="5"/>
  <c r="D4" i="5"/>
  <c r="F38" i="5"/>
  <c r="F32" i="5"/>
  <c r="F30" i="5"/>
  <c r="F28" i="5"/>
  <c r="F25" i="5"/>
  <c r="F23" i="5"/>
  <c r="F21" i="5"/>
  <c r="F19" i="5"/>
  <c r="F17" i="5"/>
  <c r="F15" i="5"/>
  <c r="F12" i="5"/>
  <c r="F10" i="5"/>
  <c r="F8" i="5"/>
  <c r="F6" i="5"/>
  <c r="F4" i="5"/>
  <c r="E38" i="5"/>
  <c r="E32" i="5"/>
  <c r="E30" i="5"/>
  <c r="E28" i="5"/>
  <c r="E25" i="5"/>
  <c r="E23" i="5"/>
  <c r="E21" i="5"/>
  <c r="E19" i="5"/>
  <c r="E17" i="5"/>
  <c r="E15" i="5"/>
  <c r="E12" i="5"/>
  <c r="E10" i="5"/>
  <c r="E8" i="5"/>
  <c r="E6" i="5"/>
  <c r="E4" i="5"/>
  <c r="E132" i="6"/>
  <c r="E124" i="6"/>
  <c r="E108" i="6"/>
  <c r="E96" i="6"/>
  <c r="E88" i="6"/>
  <c r="E80" i="6"/>
  <c r="E64" i="6"/>
  <c r="E56" i="6"/>
  <c r="E44" i="6"/>
  <c r="E36" i="6"/>
  <c r="E28" i="6"/>
  <c r="E20" i="6"/>
  <c r="E12" i="6"/>
  <c r="I8" i="10" l="1"/>
  <c r="H8" i="10"/>
  <c r="D136" i="6"/>
  <c r="D13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78DF14D3-78AD-4CD6-9C5A-91F874E7351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Source: Danish Energy Agency, Technology Data for Power Generation
(except for ror, which is own assumption)</t>
        </r>
      </text>
    </comment>
    <comment ref="E7" authorId="0" shapeId="0" xr:uid="{EFBBAF60-997B-4540-9203-5A348F43482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"IRENA  collected  cost  breakdown  data  for  25  projects  which confirmed the average O&amp;M cost was slightly less than 2% of total installed costs per year, with a variation of  between  1%  and  3%  of  total  installed  costs  per  year  (IRENA,  2018)"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3AD359A9-BE7F-450C-BC0B-C87A7BD4A5B5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Danish Energy Agency, Technology Data for Energy Storage</t>
        </r>
      </text>
    </comment>
    <comment ref="D1" authorId="0" shapeId="0" xr:uid="{24B7C557-E2AA-40C2-9126-47853753B44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pump cost 0,6M€/MW according to DEA.
Split between power and energy own assumption</t>
        </r>
      </text>
    </comment>
    <comment ref="E1" authorId="0" shapeId="0" xr:uid="{98EFFF9A-3567-4162-B41E-478F4CBC3F5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</t>
        </r>
      </text>
    </comment>
    <comment ref="B8" authorId="0" shapeId="0" xr:uid="{1FA43572-F142-45B1-AB60-60E3D46D9A5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Lithium-Ion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Q3" authorId="0" shapeId="0" xr:uid="{874965D5-ED23-44CB-BACA-8CD335528B38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own assumptions based on IAEA Pris database</t>
        </r>
      </text>
    </comment>
    <comment ref="H11" authorId="0" shapeId="0" xr:uid="{4BE284E1-63F5-4779-922D-3941E51F981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Following Note A from DEA Technology Data on Pulverized coal fired plant, set such that total efficiency at minimum condensation is plausibe</t>
        </r>
      </text>
    </comment>
    <comment ref="F12" authorId="0" shapeId="0" xr:uid="{48888046-04C5-4A2C-AFC9-283D7367FBE1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</t>
        </r>
      </text>
    </comment>
    <comment ref="F13" authorId="0" shapeId="0" xr:uid="{3B0D2DB2-F31B-487D-AA62-47FE8A5F129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mean of efficiency range given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B1" authorId="0" shapeId="0" xr:uid="{15015C9C-05A8-4B29-91EB-A4856D055B0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Bad Aussee</t>
        </r>
      </text>
    </comment>
    <comment ref="C1" authorId="0" shapeId="0" xr:uid="{4C6AD0E0-3CA8-4CDE-9A2F-32DDCE9D2F4A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Walhain</t>
        </r>
      </text>
    </comment>
    <comment ref="D1" authorId="0" shapeId="0" xr:uid="{ED198303-CA4D-4147-8149-E80CBFD67BA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Sachseln</t>
        </r>
      </text>
    </comment>
    <comment ref="E1" authorId="0" shapeId="0" xr:uid="{0E40F46B-1F2B-4677-B088-BBB8CB92A80E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Cihost</t>
        </r>
      </text>
    </comment>
    <comment ref="F1" authorId="0" shapeId="0" xr:uid="{FE1470D8-4258-4C73-B850-3F5CAB8D515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Niederdorla</t>
        </r>
      </text>
    </comment>
    <comment ref="G1" authorId="0" shapeId="0" xr:uid="{CAEBE6AA-0246-460A-A5AF-F530BB899483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Odder</t>
        </r>
      </text>
    </comment>
    <comment ref="H1" authorId="0" shapeId="0" xr:uid="{B2F8B32B-E85F-4CB0-9532-2A68EB3BF92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Vesdun</t>
        </r>
      </text>
    </comment>
    <comment ref="I1" authorId="0" shapeId="0" xr:uid="{9600A723-2A7D-40E9-A098-39CAF18E9C16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Pusztavacs</t>
        </r>
      </text>
    </comment>
    <comment ref="J1" authorId="0" shapeId="0" xr:uid="{854C9F7C-4BBC-4F01-BEBB-D8F2A76B69D4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Narni</t>
        </r>
      </text>
    </comment>
    <comment ref="K1" authorId="0" shapeId="0" xr:uid="{B57AFA70-8FB5-4640-8FBF-41028000B950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Lunteren</t>
        </r>
      </text>
    </comment>
    <comment ref="L1" authorId="0" shapeId="0" xr:uid="{4B2277D0-F36D-4B71-82E2-FB393984B41D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Piatek</t>
        </r>
      </text>
    </comment>
    <comment ref="M1" authorId="0" shapeId="0" xr:uid="{8236F644-4CB0-4EB6-A521-C9868338EBBB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Spodnja Slivnica</t>
        </r>
      </text>
    </comment>
    <comment ref="N1" authorId="0" shapeId="0" xr:uid="{1EE3CBB4-7D74-4F98-9B0D-5DF673B85639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Molca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A1" authorId="0" shapeId="0" xr:uid="{2C3BF732-EB70-4318-A3DC-57E3173C0EC6}">
      <text>
        <r>
          <rPr>
            <b/>
            <sz val="9"/>
            <color indexed="81"/>
            <rFont val="Segoe UI"/>
            <charset val="1"/>
          </rPr>
          <t>Sebastian:</t>
        </r>
        <r>
          <rPr>
            <sz val="9"/>
            <color indexed="81"/>
            <rFont val="Segoe UI"/>
            <charset val="1"/>
          </rPr>
          <t xml:space="preserve">
Lifecycle air pollution cost of state-of-the-art (in around 2009) electricity generation technologies in € of 2015. 
Total of health impacts, crop yield losses, and material damage.</t>
        </r>
      </text>
    </comment>
  </commentList>
</comments>
</file>

<file path=xl/sharedStrings.xml><?xml version="1.0" encoding="utf-8"?>
<sst xmlns="http://schemas.openxmlformats.org/spreadsheetml/2006/main" count="908" uniqueCount="259">
  <si>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</si>
  <si>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</si>
  <si>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</si>
  <si>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</si>
  <si>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</si>
  <si>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</si>
  <si>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</si>
  <si>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</si>
  <si>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</si>
  <si>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</si>
  <si>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</si>
  <si>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</si>
  <si>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</si>
  <si>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</si>
  <si>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</si>
  <si>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</si>
  <si>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</si>
  <si>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</si>
  <si>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</si>
  <si>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</si>
  <si>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</si>
  <si>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</si>
  <si>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</si>
  <si>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</si>
  <si>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</si>
  <si>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</si>
  <si>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</si>
  <si>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</si>
  <si>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</si>
  <si>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</si>
  <si>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</si>
  <si>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</si>
  <si>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</si>
  <si>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</si>
  <si>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</si>
  <si>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</si>
  <si>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</si>
  <si>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</si>
  <si>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</si>
  <si>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</si>
  <si>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</si>
  <si>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</si>
  <si>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</si>
  <si>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</si>
  <si>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</si>
  <si>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</si>
  <si>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</si>
  <si>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</si>
  <si>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</si>
  <si>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</si>
  <si>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</si>
  <si>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</si>
  <si>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</si>
  <si>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</si>
  <si>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</si>
  <si>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</si>
  <si>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</si>
  <si>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</si>
  <si>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</si>
  <si>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</si>
  <si>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</si>
  <si>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</si>
  <si>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</si>
  <si>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</si>
  <si>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</si>
  <si>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</si>
  <si>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</si>
  <si>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</si>
  <si>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</si>
  <si>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</si>
  <si>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</si>
  <si>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</si>
  <si>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</si>
  <si>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</si>
  <si>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</si>
  <si>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</si>
  <si>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</si>
  <si>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</si>
  <si>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</si>
  <si>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</si>
  <si>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</si>
  <si>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</si>
  <si>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</si>
  <si>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</si>
  <si>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</si>
  <si>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</si>
  <si>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</si>
  <si>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</si>
  <si>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</si>
  <si>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</si>
  <si>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</si>
  <si>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</si>
  <si>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</si>
  <si>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</si>
  <si>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</si>
  <si>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</si>
  <si>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</si>
  <si>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</si>
  <si>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</si>
  <si>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</si>
  <si>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</si>
  <si>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</si>
  <si>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</si>
  <si>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</si>
  <si>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</si>
  <si>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</si>
  <si>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</si>
  <si>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</si>
  <si>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</si>
  <si>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</si>
  <si>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</si>
  <si>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</si>
  <si>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</si>
  <si>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</si>
  <si>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</si>
  <si>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</si>
  <si>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</si>
  <si>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</si>
  <si>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</si>
  <si>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</si>
  <si>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</si>
  <si>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</si>
  <si>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</si>
  <si>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</si>
  <si>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</si>
  <si>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</si>
  <si>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</si>
  <si>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</si>
  <si>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</si>
  <si>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</si>
  <si>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</si>
  <si>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</si>
  <si>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</si>
  <si>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</si>
  <si>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</si>
  <si>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</si>
  <si>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</si>
  <si>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</si>
  <si>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</si>
  <si>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</si>
  <si>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</si>
  <si>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</si>
  <si>
    <t>power loss factor</t>
  </si>
  <si>
    <t>max eta_el</t>
  </si>
  <si>
    <t>CHP coefficient</t>
  </si>
  <si>
    <t>quasi-fixed o&amp;m-cost</t>
  </si>
  <si>
    <t>variable o&amp;m-cost</t>
  </si>
  <si>
    <t>technology</t>
  </si>
  <si>
    <t>total installed cost</t>
  </si>
  <si>
    <t>zone</t>
  </si>
  <si>
    <t>personal communication with Wien Energie</t>
  </si>
  <si>
    <t>Source No</t>
  </si>
  <si>
    <t>Author</t>
  </si>
  <si>
    <t>Year</t>
  </si>
  <si>
    <t>Title</t>
  </si>
  <si>
    <t>na</t>
  </si>
  <si>
    <t>Remark</t>
  </si>
  <si>
    <t>Danish Energy Agency</t>
  </si>
  <si>
    <t>Andreas Schröder et al.</t>
  </si>
  <si>
    <t>EU JRC</t>
  </si>
  <si>
    <t>Energy Technology Reference Indicator projections for 2010-2050</t>
  </si>
  <si>
    <t>own assumption. Following the recommendation in [1], c_b is set such that total efficiency at minimum condensation is plausible</t>
  </si>
  <si>
    <t>Electricity, Heat, and Gas Sector Data for Modeling the German System; DIW Data documentation 92</t>
  </si>
  <si>
    <t>Current and Prospective Cost of Electricity Generation until 2050; DIW Data Documentation 68</t>
  </si>
  <si>
    <t>Friedrich Kunz et al.</t>
  </si>
  <si>
    <t>Electricity Sector Data for Policy-Relevant Modeling; DIW Data documentation 72</t>
  </si>
  <si>
    <t>Jonas Egerer et al.</t>
  </si>
  <si>
    <t>url</t>
  </si>
  <si>
    <t>https://www.diw.de/documents/publikationen/73/diw_01.c.440963.de/diw_datadoc_2014-072.pdf</t>
  </si>
  <si>
    <t>https://www.diw.de/documents/publikationen/73/diw_01.c.574130.de/diw_datadoc_2017-092.pdf</t>
  </si>
  <si>
    <t>https://ens.dk/sites/ens.dk/files/Analyser/technology_data_catalogue_for_el_and_dh.pdf</t>
  </si>
  <si>
    <t>https://www.diw.de/documents/publikationen/73/diw_01.c.424566.de/diw_datadoc_2013-068.pdf</t>
  </si>
  <si>
    <t>https://setis.ec.europa.eu/sites/default/files/reports/ETRI-2014.pdf</t>
  </si>
  <si>
    <t>Technology Data for Energy Storage, Update January 2020</t>
  </si>
  <si>
    <t>Technology Data, Generation of Electricity and District heating, Update November 2019</t>
  </si>
  <si>
    <t>https://ens.dk/sites/ens.dk/files/Analyser/technology_data_catalogue_for_energy_storage.pdf</t>
  </si>
  <si>
    <t>year for estimate</t>
  </si>
  <si>
    <t>Power capacity at full condesation</t>
  </si>
  <si>
    <t>Electricity efficiency at full condensation (net)</t>
  </si>
  <si>
    <t>Electrictiy loss per unit heat</t>
  </si>
  <si>
    <t>Backpressure coefficient</t>
  </si>
  <si>
    <t>Heat capacity at minimum condensation</t>
  </si>
  <si>
    <t>Heat capacity in full backpressure mode</t>
  </si>
  <si>
    <t>Power capacity at minimum condensation</t>
  </si>
  <si>
    <t>Power capacity in full backpressure mode</t>
  </si>
  <si>
    <t>Fuel consumption</t>
  </si>
  <si>
    <t>Total efficiency at minimum condensation</t>
  </si>
  <si>
    <t>Q_mc / Q_b</t>
  </si>
  <si>
    <t>Invest option</t>
  </si>
  <si>
    <t>Source:</t>
  </si>
  <si>
    <t>CAPEX [€/kW]</t>
  </si>
  <si>
    <t>var OPEX [€/MWh]</t>
  </si>
  <si>
    <t>fix OPEX [€/MW]</t>
  </si>
  <si>
    <t>lifetime [a]</t>
  </si>
  <si>
    <t>P_c</t>
  </si>
  <si>
    <t>eta_e,c</t>
  </si>
  <si>
    <t>c_v</t>
  </si>
  <si>
    <t>c_b</t>
  </si>
  <si>
    <t>Q_mc</t>
  </si>
  <si>
    <t>Q_b</t>
  </si>
  <si>
    <t>P_mc</t>
  </si>
  <si>
    <t>P_b</t>
  </si>
  <si>
    <t>4, 1, 8</t>
  </si>
  <si>
    <t>3, 1, 8</t>
  </si>
  <si>
    <t>6, 1</t>
  </si>
  <si>
    <t>4, 7, 8</t>
  </si>
  <si>
    <t>Nat Gas - Old OCGT</t>
  </si>
  <si>
    <t>Nat Gas - New OCGT</t>
  </si>
  <si>
    <t>District heating boiler, gas fired</t>
  </si>
  <si>
    <t>Oil - OCGT</t>
  </si>
  <si>
    <t>Hydro - Reservoir</t>
  </si>
  <si>
    <t>Power - Heatpump Compression</t>
  </si>
  <si>
    <t>Power - Heatpump Absorption</t>
  </si>
  <si>
    <t>hpa_pth</t>
  </si>
  <si>
    <t>Power - Electric Boiler</t>
  </si>
  <si>
    <t>eboi_pth</t>
  </si>
  <si>
    <t>intentionally_blank</t>
  </si>
  <si>
    <t>Öko-Institut</t>
  </si>
  <si>
    <t>Die deutsche Braunkohlen­wirtschaft. Historische Entwicklungen, Ressourcen, Technik, wirtschaftliche Strukturen und Umwelt­auswirkungen. Studie im Auftrag von Agora Energiewende und der European Climate Foundation.</t>
  </si>
  <si>
    <t>https://www.agora-energiewende.de/fileadmin2/Projekte/2017/Deutsche_Braunkohlenwirtschaft/Agora_Die-deutsche-Braunkohlenwirtschaft_WEB.pdf</t>
  </si>
  <si>
    <t>1, 3</t>
  </si>
  <si>
    <t>1, 3, 6</t>
  </si>
  <si>
    <t>3, 6</t>
  </si>
  <si>
    <t>1, 8</t>
  </si>
  <si>
    <t>equivalent annual cost</t>
  </si>
  <si>
    <t>Sascha Samadi</t>
  </si>
  <si>
    <t>The Social Costs of Electricity Generation - Categorizing Different Types of Costs and Evaluating Their Respective Relevance</t>
  </si>
  <si>
    <t>https://www.mdpi.com/1996-1073/10/3/356</t>
  </si>
  <si>
    <t>NEEDS Project</t>
  </si>
  <si>
    <t>http://www.needs-project.org/2009/Deliverables/RS1a%20D7.2%20Final%20report%20on%20advanced%20fossil%20power%20plants.pdf</t>
  </si>
  <si>
    <t>Final report on technical data, costs, and life cycle inventories of advanced fossil power generation systems</t>
  </si>
  <si>
    <t>Final report on technical data, costs and life cycle inventories of biomass CHP plants</t>
  </si>
  <si>
    <t>http://www.needs-project.org/2009/Deliverables/RS1a%20D13.2%20Final%20report%20on%20Biomass%20technologies.pdf</t>
  </si>
  <si>
    <t>http://www.needs-project.org/2009/Deliverables/RS1a%20D11.2%20Final%20report%20on%20PV%20technology.pdf</t>
  </si>
  <si>
    <t>Table 16, page 51</t>
  </si>
  <si>
    <t>Final report on technical data, costs and life cycle inventories of PV applications</t>
  </si>
  <si>
    <t>http://www.needs-project.org/2009/Deliverables/RS1a%20D10.2.pdf</t>
  </si>
  <si>
    <t>Table 5.3, page 39</t>
  </si>
  <si>
    <t>Final report on offshore wind technology</t>
  </si>
  <si>
    <t>Table 7, page 16</t>
  </si>
  <si>
    <t>10, 11</t>
  </si>
  <si>
    <t>10, 14</t>
  </si>
  <si>
    <t>10, 13</t>
  </si>
  <si>
    <t>10, 12</t>
  </si>
  <si>
    <t>10, 8</t>
  </si>
  <si>
    <t>source</t>
  </si>
  <si>
    <t>remark</t>
  </si>
  <si>
    <t>fixed cost</t>
  </si>
  <si>
    <t>wind offshore in soure; 4044 full-load hours</t>
  </si>
  <si>
    <t>utility scale pv, 838 full-load hours</t>
  </si>
  <si>
    <t>avg of lignite and nat gas due to lack of data</t>
  </si>
  <si>
    <t>no data available</t>
  </si>
  <si>
    <t>Syngas</t>
  </si>
  <si>
    <t>43.2% net efficiency</t>
  </si>
  <si>
    <t>45.0% net efficiency</t>
  </si>
  <si>
    <t>57.5% net efficiency</t>
  </si>
  <si>
    <t>20.0% net efficiency</t>
  </si>
  <si>
    <t>34.0% net efficiency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</si>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</sst>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0"/>
    <numFmt numFmtId="165" formatCode="#,##0.0"/>
    <numFmt numFmtId="166" formatCode="0.000"/>
    <numFmt numFmtId="167" formatCode="0.0%"/>
    <numFmt numFmtId="168" formatCode="#,##0_ ;[Red]\-#,##0\ "/>
    <numFmt numFmtId="169" formatCode="#,##0.00_ ;[Red]\-#,##0.00\ "/>
    <numFmt numFmtId="170" formatCode="0.0"/>
    <numFmt numFmtId="171" formatCode="#,##0.0000"/>
    <numFmt numFmtId="172" formatCode="#,##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Segoe UI"/>
      <charset val="1"/>
    </font>
    <font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Fill="1"/>
    <xf numFmtId="0" fontId="5" fillId="0" borderId="0" xfId="0" applyFont="1" applyFill="1"/>
    <xf numFmtId="0" fontId="0" fillId="2" borderId="0" xfId="0" applyFill="1"/>
    <xf numFmtId="0" fontId="7" fillId="0" borderId="0" xfId="2"/>
    <xf numFmtId="168" fontId="0" fillId="0" borderId="0" xfId="0" applyNumberFormat="1"/>
    <xf numFmtId="169" fontId="0" fillId="0" borderId="0" xfId="0" applyNumberFormat="1"/>
    <xf numFmtId="3" fontId="0" fillId="0" borderId="0" xfId="0" applyNumberFormat="1" applyFill="1"/>
    <xf numFmtId="165" fontId="1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10" fontId="0" fillId="0" borderId="0" xfId="1" applyNumberFormat="1" applyFont="1"/>
    <xf numFmtId="2" fontId="0" fillId="0" borderId="0" xfId="0" applyNumberFormat="1"/>
    <xf numFmtId="170" fontId="0" fillId="0" borderId="0" xfId="0" applyNumberFormat="1"/>
    <xf numFmtId="0" fontId="1" fillId="2" borderId="0" xfId="0" applyFont="1" applyFill="1"/>
    <xf numFmtId="0" fontId="0" fillId="0" borderId="0" xfId="0" applyFill="1"/>
    <xf numFmtId="171" fontId="0" fillId="0" borderId="0" xfId="0" applyNumberFormat="1"/>
    <xf numFmtId="172" fontId="0" fillId="0" borderId="0" xfId="0" applyNumberFormat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eds-project.org/2009/Deliverables/RS1a%20D7.2%20Final%20report%20on%20advanced%20fossil%20power%20plants.pdf" TargetMode="External"/><Relationship Id="rId3" Type="http://schemas.openxmlformats.org/officeDocument/2006/relationships/hyperlink" Target="https://ens.dk/sites/ens.dk/files/Analyser/technology_data_catalogue_for_el_and_dh.pdf" TargetMode="External"/><Relationship Id="rId7" Type="http://schemas.openxmlformats.org/officeDocument/2006/relationships/hyperlink" Target="https://www.agora-energiewende.de/fileadmin2/Projekte/2017/Deutsche_Braunkohlenwirtschaft/Agora_Die-deutsche-Braunkohlenwirtschaft_WEB.pdf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40963.de/diw_datadoc_2014-072.pdf" TargetMode="External"/><Relationship Id="rId6" Type="http://schemas.openxmlformats.org/officeDocument/2006/relationships/hyperlink" Target="https://ens.dk/sites/ens.dk/files/Analyser/technology_data_catalogue_for_energy_storage.pdf" TargetMode="External"/><Relationship Id="rId5" Type="http://schemas.openxmlformats.org/officeDocument/2006/relationships/hyperlink" Target="https://setis.ec.europa.eu/sites/default/files/reports/ETRI-2014.pdf" TargetMode="External"/><Relationship Id="rId10" Type="http://schemas.openxmlformats.org/officeDocument/2006/relationships/hyperlink" Target="http://www.needs-project.org/2009/Deliverables/RS1a%20D10.2.pdf" TargetMode="External"/><Relationship Id="rId4" Type="http://schemas.openxmlformats.org/officeDocument/2006/relationships/hyperlink" Target="https://www.diw.de/documents/publikationen/73/diw_01.c.424566.de/diw_datadoc_2013-068.pdf" TargetMode="External"/><Relationship Id="rId9" Type="http://schemas.openxmlformats.org/officeDocument/2006/relationships/hyperlink" Target="http://www.needs-project.org/2009/Deliverables/RS1a%20D11.2%20Final%20report%20on%20PV%20technology.pdf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7BF03-EDC5-4C83-AB6F-3B95A2E59024}">
  <dimension ref="A1:F16"/>
  <sheetViews>
    <sheetView workbookViewId="0">
      <selection activeCell="F14" sqref="F14"/>
    </sheetView>
  </sheetViews>
  <sheetFormatPr baseColWidth="10" defaultRowHeight="15" x14ac:dyDescent="0.25"/>
  <cols>
    <col min="2" max="2" width="21.7109375" bestFit="1" customWidth="1"/>
    <col min="4" max="4" width="90.42578125" bestFit="1" customWidth="1"/>
    <col min="5" max="5" width="24.5703125" customWidth="1"/>
  </cols>
  <sheetData>
    <row r="1" spans="1:6" x14ac:dyDescent="0.25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167</v>
      </c>
      <c r="F1" s="2" t="s">
        <v>156</v>
      </c>
    </row>
    <row r="2" spans="1:6" x14ac:dyDescent="0.25">
      <c r="A2">
        <v>1</v>
      </c>
      <c r="B2" t="s">
        <v>157</v>
      </c>
      <c r="C2">
        <v>2016</v>
      </c>
      <c r="D2" t="s">
        <v>174</v>
      </c>
      <c r="E2" s="19" t="s">
        <v>170</v>
      </c>
    </row>
    <row r="3" spans="1:6" x14ac:dyDescent="0.25">
      <c r="A3">
        <v>2</v>
      </c>
      <c r="B3" t="s">
        <v>157</v>
      </c>
      <c r="C3">
        <v>2018</v>
      </c>
      <c r="D3" t="s">
        <v>173</v>
      </c>
      <c r="E3" s="19" t="s">
        <v>175</v>
      </c>
    </row>
    <row r="4" spans="1:6" x14ac:dyDescent="0.25">
      <c r="A4">
        <v>3</v>
      </c>
      <c r="B4" t="s">
        <v>158</v>
      </c>
      <c r="C4">
        <v>2013</v>
      </c>
      <c r="D4" t="s">
        <v>163</v>
      </c>
      <c r="E4" s="19" t="s">
        <v>171</v>
      </c>
    </row>
    <row r="5" spans="1:6" x14ac:dyDescent="0.25">
      <c r="A5">
        <v>4</v>
      </c>
      <c r="B5" t="s">
        <v>166</v>
      </c>
      <c r="C5">
        <v>2014</v>
      </c>
      <c r="D5" t="s">
        <v>165</v>
      </c>
      <c r="E5" s="19" t="s">
        <v>168</v>
      </c>
    </row>
    <row r="6" spans="1:6" x14ac:dyDescent="0.25">
      <c r="A6">
        <v>5</v>
      </c>
      <c r="B6" t="s">
        <v>164</v>
      </c>
      <c r="C6">
        <v>2017</v>
      </c>
      <c r="D6" t="s">
        <v>162</v>
      </c>
      <c r="E6" s="19" t="s">
        <v>169</v>
      </c>
    </row>
    <row r="7" spans="1:6" x14ac:dyDescent="0.25">
      <c r="A7">
        <v>6</v>
      </c>
      <c r="B7" t="s">
        <v>159</v>
      </c>
      <c r="C7">
        <v>2014</v>
      </c>
      <c r="D7" t="s">
        <v>160</v>
      </c>
      <c r="E7" s="19" t="s">
        <v>172</v>
      </c>
    </row>
    <row r="8" spans="1:6" x14ac:dyDescent="0.25">
      <c r="A8">
        <v>7</v>
      </c>
      <c r="B8" t="s">
        <v>155</v>
      </c>
      <c r="C8">
        <v>2018</v>
      </c>
      <c r="D8" t="s">
        <v>155</v>
      </c>
      <c r="F8" t="s">
        <v>150</v>
      </c>
    </row>
    <row r="9" spans="1:6" x14ac:dyDescent="0.25">
      <c r="A9">
        <v>8</v>
      </c>
      <c r="B9" t="s">
        <v>155</v>
      </c>
      <c r="C9" t="s">
        <v>155</v>
      </c>
      <c r="D9" t="s">
        <v>155</v>
      </c>
      <c r="F9" t="s">
        <v>161</v>
      </c>
    </row>
    <row r="10" spans="1:6" x14ac:dyDescent="0.25">
      <c r="A10">
        <v>9</v>
      </c>
      <c r="B10" t="s">
        <v>217</v>
      </c>
      <c r="C10">
        <v>2017</v>
      </c>
      <c r="D10" t="s">
        <v>218</v>
      </c>
      <c r="E10" s="19" t="s">
        <v>219</v>
      </c>
    </row>
    <row r="11" spans="1:6" x14ac:dyDescent="0.25">
      <c r="A11">
        <v>10</v>
      </c>
      <c r="B11" t="s">
        <v>225</v>
      </c>
      <c r="C11">
        <v>2017</v>
      </c>
      <c r="D11" t="s">
        <v>226</v>
      </c>
      <c r="E11" t="s">
        <v>227</v>
      </c>
      <c r="F11" t="s">
        <v>239</v>
      </c>
    </row>
    <row r="12" spans="1:6" x14ac:dyDescent="0.25">
      <c r="A12">
        <v>11</v>
      </c>
      <c r="B12" t="s">
        <v>228</v>
      </c>
      <c r="C12">
        <v>2007</v>
      </c>
      <c r="D12" t="s">
        <v>235</v>
      </c>
      <c r="E12" s="19" t="s">
        <v>233</v>
      </c>
      <c r="F12" t="s">
        <v>234</v>
      </c>
    </row>
    <row r="13" spans="1:6" x14ac:dyDescent="0.25">
      <c r="A13">
        <v>12</v>
      </c>
      <c r="B13" t="s">
        <v>228</v>
      </c>
      <c r="C13">
        <v>2008</v>
      </c>
      <c r="D13" t="s">
        <v>230</v>
      </c>
      <c r="E13" s="19" t="s">
        <v>229</v>
      </c>
    </row>
    <row r="14" spans="1:6" x14ac:dyDescent="0.25">
      <c r="A14">
        <v>13</v>
      </c>
      <c r="B14" t="s">
        <v>228</v>
      </c>
      <c r="C14">
        <v>2008</v>
      </c>
      <c r="D14" t="s">
        <v>231</v>
      </c>
      <c r="E14" t="s">
        <v>232</v>
      </c>
    </row>
    <row r="15" spans="1:6" x14ac:dyDescent="0.25">
      <c r="A15">
        <v>14</v>
      </c>
      <c r="B15" t="s">
        <v>228</v>
      </c>
      <c r="C15">
        <v>2008</v>
      </c>
      <c r="D15" t="s">
        <v>238</v>
      </c>
      <c r="E15" s="19" t="s">
        <v>236</v>
      </c>
      <c r="F15" t="s">
        <v>237</v>
      </c>
    </row>
    <row r="16" spans="1:6" x14ac:dyDescent="0.25">
      <c r="A16">
        <v>15</v>
      </c>
    </row>
  </sheetData>
  <hyperlinks>
    <hyperlink ref="E5" r:id="rId1" xr:uid="{646F59EA-8517-4A9D-A362-14E775EE0CCE}"/>
    <hyperlink ref="E6" r:id="rId2" xr:uid="{0E5FE0BD-B01D-4269-9912-7C9C40B37897}"/>
    <hyperlink ref="E2" r:id="rId3" xr:uid="{C8A2CFC4-482B-4F94-A565-6BD3D989E61B}"/>
    <hyperlink ref="E4" r:id="rId4" xr:uid="{5020C31B-6E40-43BA-80E7-4A025B70FBBD}"/>
    <hyperlink ref="E7" r:id="rId5" xr:uid="{D9995BB9-537F-4F22-BB62-7F47B6A20D25}"/>
    <hyperlink ref="E3" r:id="rId6" xr:uid="{B3ADECFE-DF4D-4251-89D4-973E831A4DC5}"/>
    <hyperlink ref="E10" r:id="rId7" xr:uid="{FE90C9A5-8CAA-4399-9D7F-A79798808E4E}"/>
    <hyperlink ref="E13" r:id="rId8" xr:uid="{FA159502-D871-48B6-BF13-936603692024}"/>
    <hyperlink ref="E12" r:id="rId9" xr:uid="{E9DA7171-DCDC-459E-9319-AD7D4C4C193D}"/>
    <hyperlink ref="E15" r:id="rId10" xr:uid="{A12914E5-AF85-4EA9-814D-4FC82B75214B}"/>
  </hyperlink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I1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5" x14ac:dyDescent="0.25"/>
  <cols>
    <col min="1" max="4" width="11.42578125" style="5"/>
    <col min="5" max="5" width="11.42578125" style="17"/>
  </cols>
  <sheetData>
    <row r="1" spans="1:6" x14ac:dyDescent="0.25">
      <c r="A1" s="4" t="s">
        <v>18</v>
      </c>
      <c r="B1" s="4" t="s">
        <v>57</v>
      </c>
      <c r="C1" s="4" t="s">
        <v>139</v>
      </c>
      <c r="D1" s="4" t="s">
        <v>140</v>
      </c>
      <c r="E1" s="16" t="s">
        <v>58</v>
      </c>
      <c r="F1" s="16"/>
    </row>
    <row r="2" spans="1:6" x14ac:dyDescent="0.25">
      <c r="A2" s="4">
        <v>10</v>
      </c>
      <c r="B2" s="4" t="s">
        <v>59</v>
      </c>
      <c r="C2" s="5">
        <v>1</v>
      </c>
      <c r="D2" s="5">
        <v>0</v>
      </c>
      <c r="E2" s="17">
        <v>1</v>
      </c>
    </row>
    <row r="3" spans="1:6" x14ac:dyDescent="0.25">
      <c r="A3" s="4">
        <v>10</v>
      </c>
      <c r="B3" s="4" t="s">
        <v>60</v>
      </c>
      <c r="C3" s="5">
        <v>0.8</v>
      </c>
      <c r="D3" s="5">
        <v>0</v>
      </c>
      <c r="E3" s="17">
        <v>0.83330000000000004</v>
      </c>
    </row>
    <row r="4" spans="1:6" x14ac:dyDescent="0.25">
      <c r="A4" s="4">
        <v>10</v>
      </c>
      <c r="B4" s="4" t="s">
        <v>61</v>
      </c>
      <c r="C4" s="5">
        <v>0.5</v>
      </c>
      <c r="D4" s="5">
        <v>0</v>
      </c>
      <c r="E4" s="17">
        <v>0.54049999999999998</v>
      </c>
    </row>
    <row r="5" spans="1:6" x14ac:dyDescent="0.25">
      <c r="A5" s="4">
        <v>10</v>
      </c>
      <c r="B5" s="4" t="s">
        <v>62</v>
      </c>
      <c r="C5" s="5">
        <v>0</v>
      </c>
      <c r="D5" s="5">
        <v>0</v>
      </c>
      <c r="E5" s="17">
        <v>0</v>
      </c>
    </row>
    <row r="6" spans="1:6" x14ac:dyDescent="0.25">
      <c r="A6" s="4">
        <v>20</v>
      </c>
      <c r="B6" s="4" t="s">
        <v>59</v>
      </c>
      <c r="C6" s="5">
        <v>1</v>
      </c>
      <c r="D6" s="5">
        <v>0</v>
      </c>
      <c r="E6" s="17">
        <v>1</v>
      </c>
    </row>
    <row r="7" spans="1:6" x14ac:dyDescent="0.25">
      <c r="A7" s="4">
        <v>20</v>
      </c>
      <c r="B7" s="4" t="s">
        <v>60</v>
      </c>
      <c r="C7" s="5">
        <v>0.87</v>
      </c>
      <c r="D7" s="5">
        <v>0</v>
      </c>
      <c r="E7" s="17">
        <v>0.90629999999999999</v>
      </c>
    </row>
    <row r="8" spans="1:6" x14ac:dyDescent="0.25">
      <c r="A8" s="4">
        <v>20</v>
      </c>
      <c r="B8" s="4" t="s">
        <v>61</v>
      </c>
      <c r="C8" s="5">
        <v>0.55000000000000004</v>
      </c>
      <c r="D8" s="5">
        <v>0</v>
      </c>
      <c r="E8" s="17">
        <v>0.59460000000000002</v>
      </c>
    </row>
    <row r="9" spans="1:6" x14ac:dyDescent="0.25">
      <c r="A9" s="4">
        <v>20</v>
      </c>
      <c r="B9" s="4" t="s">
        <v>62</v>
      </c>
      <c r="C9" s="5">
        <v>0</v>
      </c>
      <c r="D9" s="5">
        <v>0</v>
      </c>
      <c r="E9" s="17">
        <v>0</v>
      </c>
    </row>
    <row r="10" spans="1:6" x14ac:dyDescent="0.25">
      <c r="A10" s="4">
        <v>20.5</v>
      </c>
      <c r="B10" s="4" t="s">
        <v>59</v>
      </c>
      <c r="C10" s="5">
        <v>1</v>
      </c>
      <c r="D10" s="5">
        <v>0</v>
      </c>
      <c r="E10" s="17">
        <v>1</v>
      </c>
    </row>
    <row r="11" spans="1:6" x14ac:dyDescent="0.25">
      <c r="A11" s="4">
        <v>20.5</v>
      </c>
      <c r="B11" s="4" t="s">
        <v>60</v>
      </c>
      <c r="C11" s="5">
        <v>0.875</v>
      </c>
      <c r="D11" s="5">
        <v>0.55000000000000004</v>
      </c>
      <c r="E11" s="17">
        <v>1</v>
      </c>
    </row>
    <row r="12" spans="1:6" x14ac:dyDescent="0.25">
      <c r="A12" s="4">
        <v>20.5</v>
      </c>
      <c r="B12" s="4" t="s">
        <v>61</v>
      </c>
      <c r="C12" s="5">
        <v>0</v>
      </c>
      <c r="D12" s="5">
        <v>0.28999999999999998</v>
      </c>
      <c r="E12" s="17">
        <f>ROUND(D12/0.85,2)</f>
        <v>0.34</v>
      </c>
    </row>
    <row r="13" spans="1:6" x14ac:dyDescent="0.25">
      <c r="A13" s="4">
        <v>20.5</v>
      </c>
      <c r="B13" s="4" t="s">
        <v>62</v>
      </c>
      <c r="C13" s="5">
        <v>0</v>
      </c>
      <c r="D13" s="5">
        <v>0</v>
      </c>
      <c r="E13" s="17">
        <v>0</v>
      </c>
    </row>
    <row r="14" spans="1:6" x14ac:dyDescent="0.25">
      <c r="A14" s="4">
        <v>21</v>
      </c>
      <c r="B14" s="4" t="s">
        <v>59</v>
      </c>
      <c r="C14" s="5">
        <v>1</v>
      </c>
      <c r="D14" s="5">
        <v>0</v>
      </c>
      <c r="E14" s="17">
        <v>1</v>
      </c>
    </row>
    <row r="15" spans="1:6" x14ac:dyDescent="0.25">
      <c r="A15" s="4">
        <v>21</v>
      </c>
      <c r="B15" s="4" t="s">
        <v>60</v>
      </c>
      <c r="C15" s="5">
        <v>0.89</v>
      </c>
      <c r="D15" s="5">
        <v>0</v>
      </c>
      <c r="E15" s="17">
        <v>0.92710000000000004</v>
      </c>
    </row>
    <row r="16" spans="1:6" x14ac:dyDescent="0.25">
      <c r="A16" s="4">
        <v>21</v>
      </c>
      <c r="B16" s="4" t="s">
        <v>61</v>
      </c>
      <c r="C16" s="5">
        <v>0.35</v>
      </c>
      <c r="D16" s="5">
        <v>0</v>
      </c>
      <c r="E16" s="17">
        <v>0.37840000000000001</v>
      </c>
    </row>
    <row r="17" spans="1:9" x14ac:dyDescent="0.25">
      <c r="A17" s="4">
        <v>21</v>
      </c>
      <c r="B17" s="4" t="s">
        <v>62</v>
      </c>
      <c r="C17" s="5">
        <v>0</v>
      </c>
      <c r="D17" s="5">
        <v>0</v>
      </c>
      <c r="E17" s="17">
        <v>0</v>
      </c>
    </row>
    <row r="18" spans="1:9" x14ac:dyDescent="0.25">
      <c r="A18" s="4">
        <v>21.5</v>
      </c>
      <c r="B18" s="4" t="s">
        <v>59</v>
      </c>
      <c r="C18" s="5">
        <v>1</v>
      </c>
      <c r="D18" s="5">
        <v>0</v>
      </c>
      <c r="E18" s="17">
        <v>1</v>
      </c>
      <c r="G18" s="17"/>
      <c r="H18" s="17"/>
      <c r="I18" s="17"/>
    </row>
    <row r="19" spans="1:9" x14ac:dyDescent="0.25">
      <c r="A19" s="4">
        <v>21.5</v>
      </c>
      <c r="B19" s="4" t="s">
        <v>60</v>
      </c>
      <c r="C19" s="5">
        <v>0.88</v>
      </c>
      <c r="D19" s="5">
        <v>0.6</v>
      </c>
      <c r="E19" s="17">
        <v>0.97499999999999998</v>
      </c>
    </row>
    <row r="20" spans="1:9" x14ac:dyDescent="0.25">
      <c r="A20" s="4">
        <v>21.5</v>
      </c>
      <c r="B20" s="4" t="s">
        <v>61</v>
      </c>
      <c r="C20" s="5">
        <v>0</v>
      </c>
      <c r="D20" s="5">
        <v>0.52500000000000002</v>
      </c>
      <c r="E20" s="17">
        <f>ROUND(D20/0.85,2)</f>
        <v>0.62</v>
      </c>
    </row>
    <row r="21" spans="1:9" x14ac:dyDescent="0.25">
      <c r="A21" s="4">
        <v>21.5</v>
      </c>
      <c r="B21" s="4" t="s">
        <v>62</v>
      </c>
      <c r="C21" s="5">
        <v>0</v>
      </c>
      <c r="D21" s="5">
        <v>0</v>
      </c>
      <c r="E21" s="17">
        <v>0</v>
      </c>
      <c r="G21" s="17"/>
      <c r="H21" s="17"/>
      <c r="I21" s="17"/>
    </row>
    <row r="22" spans="1:9" x14ac:dyDescent="0.25">
      <c r="A22" s="4">
        <v>30</v>
      </c>
      <c r="B22" s="4" t="s">
        <v>59</v>
      </c>
      <c r="C22" s="5">
        <v>1</v>
      </c>
      <c r="D22" s="5">
        <v>0</v>
      </c>
      <c r="E22" s="17">
        <v>1</v>
      </c>
    </row>
    <row r="23" spans="1:9" x14ac:dyDescent="0.25">
      <c r="A23" s="4">
        <v>30</v>
      </c>
      <c r="B23" s="4" t="s">
        <v>60</v>
      </c>
      <c r="C23" s="5">
        <v>0.9</v>
      </c>
      <c r="D23" s="5">
        <v>0</v>
      </c>
      <c r="E23" s="17">
        <v>0.9375</v>
      </c>
    </row>
    <row r="24" spans="1:9" x14ac:dyDescent="0.25">
      <c r="A24" s="4">
        <v>30</v>
      </c>
      <c r="B24" s="4" t="s">
        <v>61</v>
      </c>
      <c r="C24" s="5">
        <v>0.52500000000000002</v>
      </c>
      <c r="D24" s="5">
        <v>0</v>
      </c>
      <c r="E24" s="17">
        <v>0.56759999999999999</v>
      </c>
    </row>
    <row r="25" spans="1:9" x14ac:dyDescent="0.25">
      <c r="A25" s="4">
        <v>30</v>
      </c>
      <c r="B25" s="4" t="s">
        <v>62</v>
      </c>
      <c r="C25" s="5">
        <v>0</v>
      </c>
      <c r="D25" s="5">
        <v>0</v>
      </c>
      <c r="E25" s="17">
        <v>0</v>
      </c>
    </row>
    <row r="26" spans="1:9" x14ac:dyDescent="0.25">
      <c r="A26" s="4">
        <v>30.5</v>
      </c>
      <c r="B26" s="4" t="s">
        <v>59</v>
      </c>
      <c r="C26" s="5">
        <v>1</v>
      </c>
      <c r="D26" s="5">
        <v>0</v>
      </c>
      <c r="E26" s="17">
        <v>1</v>
      </c>
    </row>
    <row r="27" spans="1:9" x14ac:dyDescent="0.25">
      <c r="A27" s="4">
        <v>30.5</v>
      </c>
      <c r="B27" s="4" t="s">
        <v>60</v>
      </c>
      <c r="C27" s="5">
        <v>0.875</v>
      </c>
      <c r="D27" s="5">
        <v>0.55000000000000004</v>
      </c>
      <c r="E27" s="17">
        <v>0.97499999999999998</v>
      </c>
    </row>
    <row r="28" spans="1:9" x14ac:dyDescent="0.25">
      <c r="A28" s="4">
        <v>30.5</v>
      </c>
      <c r="B28" s="4" t="s">
        <v>61</v>
      </c>
      <c r="C28" s="5">
        <v>0</v>
      </c>
      <c r="D28" s="5">
        <v>0.24999999999999992</v>
      </c>
      <c r="E28" s="17">
        <f>ROUND(D28/0.85,2)</f>
        <v>0.28999999999999998</v>
      </c>
    </row>
    <row r="29" spans="1:9" x14ac:dyDescent="0.25">
      <c r="A29" s="4">
        <v>30.5</v>
      </c>
      <c r="B29" s="4" t="s">
        <v>62</v>
      </c>
      <c r="C29" s="5">
        <v>0</v>
      </c>
      <c r="D29" s="5">
        <v>0</v>
      </c>
      <c r="E29" s="17">
        <v>0</v>
      </c>
    </row>
    <row r="30" spans="1:9" x14ac:dyDescent="0.25">
      <c r="A30" s="4">
        <v>31</v>
      </c>
      <c r="B30" s="4" t="s">
        <v>59</v>
      </c>
      <c r="C30" s="5">
        <v>1</v>
      </c>
      <c r="D30" s="5">
        <v>0</v>
      </c>
      <c r="E30" s="17">
        <v>1</v>
      </c>
    </row>
    <row r="31" spans="1:9" x14ac:dyDescent="0.25">
      <c r="A31" s="4">
        <v>31</v>
      </c>
      <c r="B31" s="4" t="s">
        <v>60</v>
      </c>
      <c r="C31" s="5">
        <v>0.875</v>
      </c>
      <c r="D31" s="5">
        <v>0</v>
      </c>
      <c r="E31" s="17">
        <v>0.91149999999999998</v>
      </c>
    </row>
    <row r="32" spans="1:9" x14ac:dyDescent="0.25">
      <c r="A32" s="4">
        <v>31</v>
      </c>
      <c r="B32" s="4" t="s">
        <v>61</v>
      </c>
      <c r="C32" s="5">
        <v>0.4</v>
      </c>
      <c r="D32" s="5">
        <v>0</v>
      </c>
      <c r="E32" s="17">
        <v>0.43240000000000001</v>
      </c>
    </row>
    <row r="33" spans="1:5" x14ac:dyDescent="0.25">
      <c r="A33" s="4">
        <v>31</v>
      </c>
      <c r="B33" s="4" t="s">
        <v>62</v>
      </c>
      <c r="C33" s="5">
        <v>0</v>
      </c>
      <c r="D33" s="5">
        <v>0</v>
      </c>
      <c r="E33" s="17">
        <v>0</v>
      </c>
    </row>
    <row r="34" spans="1:5" x14ac:dyDescent="0.25">
      <c r="A34" s="4">
        <v>31.5</v>
      </c>
      <c r="B34" s="4" t="s">
        <v>59</v>
      </c>
      <c r="C34" s="5">
        <v>1</v>
      </c>
      <c r="D34" s="5">
        <v>0</v>
      </c>
      <c r="E34" s="17">
        <v>1</v>
      </c>
    </row>
    <row r="35" spans="1:5" x14ac:dyDescent="0.25">
      <c r="A35" s="4">
        <v>31.5</v>
      </c>
      <c r="B35" s="4" t="s">
        <v>60</v>
      </c>
      <c r="C35" s="5">
        <v>0.875</v>
      </c>
      <c r="D35" s="5">
        <v>0.57499999999999996</v>
      </c>
      <c r="E35" s="17">
        <v>0.97499999999999998</v>
      </c>
    </row>
    <row r="36" spans="1:5" x14ac:dyDescent="0.25">
      <c r="A36" s="4">
        <v>31.5</v>
      </c>
      <c r="B36" s="4" t="s">
        <v>61</v>
      </c>
      <c r="C36" s="5">
        <v>0</v>
      </c>
      <c r="D36" s="5">
        <v>0.25</v>
      </c>
      <c r="E36" s="17">
        <f>ROUND(D36/0.85,2)</f>
        <v>0.28999999999999998</v>
      </c>
    </row>
    <row r="37" spans="1:5" x14ac:dyDescent="0.25">
      <c r="A37" s="4">
        <v>31.5</v>
      </c>
      <c r="B37" s="4" t="s">
        <v>62</v>
      </c>
      <c r="C37" s="5">
        <v>0</v>
      </c>
      <c r="D37" s="5">
        <v>0</v>
      </c>
      <c r="E37" s="17">
        <v>0</v>
      </c>
    </row>
    <row r="38" spans="1:5" x14ac:dyDescent="0.25">
      <c r="A38" s="4">
        <v>32</v>
      </c>
      <c r="B38" s="4" t="s">
        <v>59</v>
      </c>
      <c r="C38" s="5">
        <v>1</v>
      </c>
      <c r="D38" s="5">
        <v>0</v>
      </c>
      <c r="E38" s="17">
        <v>1</v>
      </c>
    </row>
    <row r="39" spans="1:5" x14ac:dyDescent="0.25">
      <c r="A39" s="4">
        <v>32</v>
      </c>
      <c r="B39" s="4" t="s">
        <v>60</v>
      </c>
      <c r="C39" s="5">
        <v>0.85</v>
      </c>
      <c r="D39" s="5">
        <v>0</v>
      </c>
      <c r="E39" s="17">
        <v>0.88539999999999996</v>
      </c>
    </row>
    <row r="40" spans="1:5" x14ac:dyDescent="0.25">
      <c r="A40" s="4">
        <v>32</v>
      </c>
      <c r="B40" s="4" t="s">
        <v>61</v>
      </c>
      <c r="C40" s="5">
        <v>0.35</v>
      </c>
      <c r="D40" s="5">
        <v>0</v>
      </c>
      <c r="E40" s="17">
        <v>0.37840000000000001</v>
      </c>
    </row>
    <row r="41" spans="1:5" x14ac:dyDescent="0.25">
      <c r="A41" s="4">
        <v>32</v>
      </c>
      <c r="B41" s="4" t="s">
        <v>62</v>
      </c>
      <c r="C41" s="5">
        <v>0</v>
      </c>
      <c r="D41" s="5">
        <v>0</v>
      </c>
      <c r="E41" s="17">
        <v>0</v>
      </c>
    </row>
    <row r="42" spans="1:5" x14ac:dyDescent="0.25">
      <c r="A42" s="4">
        <v>32.5</v>
      </c>
      <c r="B42" s="4" t="s">
        <v>59</v>
      </c>
      <c r="C42" s="5">
        <v>1</v>
      </c>
      <c r="D42" s="5">
        <v>0</v>
      </c>
      <c r="E42" s="17">
        <v>1</v>
      </c>
    </row>
    <row r="43" spans="1:5" x14ac:dyDescent="0.25">
      <c r="A43" s="4">
        <v>32.5</v>
      </c>
      <c r="B43" s="4" t="s">
        <v>60</v>
      </c>
      <c r="C43" s="5">
        <v>0.88</v>
      </c>
      <c r="D43" s="5">
        <v>0.6</v>
      </c>
      <c r="E43" s="17">
        <v>0.97499999999999998</v>
      </c>
    </row>
    <row r="44" spans="1:5" x14ac:dyDescent="0.25">
      <c r="A44" s="4">
        <v>32.5</v>
      </c>
      <c r="B44" s="4" t="s">
        <v>61</v>
      </c>
      <c r="C44" s="5">
        <v>0</v>
      </c>
      <c r="D44" s="5">
        <v>0.26874999999999993</v>
      </c>
      <c r="E44" s="17">
        <f>ROUND(D44/0.85,2)</f>
        <v>0.32</v>
      </c>
    </row>
    <row r="45" spans="1:5" x14ac:dyDescent="0.25">
      <c r="A45" s="4">
        <v>32.5</v>
      </c>
      <c r="B45" s="4" t="s">
        <v>62</v>
      </c>
      <c r="C45" s="5">
        <v>0</v>
      </c>
      <c r="D45" s="5">
        <v>0</v>
      </c>
      <c r="E45" s="17">
        <v>0</v>
      </c>
    </row>
    <row r="46" spans="1:5" x14ac:dyDescent="0.25">
      <c r="A46" s="4">
        <v>33</v>
      </c>
      <c r="B46" s="4" t="s">
        <v>59</v>
      </c>
      <c r="C46" s="5">
        <v>1</v>
      </c>
      <c r="D46" s="5">
        <v>0</v>
      </c>
      <c r="E46" s="17">
        <v>1</v>
      </c>
    </row>
    <row r="47" spans="1:5" x14ac:dyDescent="0.25">
      <c r="A47" s="4">
        <v>33</v>
      </c>
      <c r="B47" s="4" t="s">
        <v>60</v>
      </c>
      <c r="C47" s="5">
        <v>0.8</v>
      </c>
      <c r="D47" s="5">
        <v>0</v>
      </c>
      <c r="E47" s="17">
        <v>0.83330000000000004</v>
      </c>
    </row>
    <row r="48" spans="1:5" x14ac:dyDescent="0.25">
      <c r="A48" s="4">
        <v>33</v>
      </c>
      <c r="B48" s="4" t="s">
        <v>61</v>
      </c>
      <c r="C48" s="5">
        <v>0.3</v>
      </c>
      <c r="D48" s="5">
        <v>0</v>
      </c>
      <c r="E48" s="17">
        <v>0.32429999999999998</v>
      </c>
    </row>
    <row r="49" spans="1:5" x14ac:dyDescent="0.25">
      <c r="A49" s="4">
        <v>33</v>
      </c>
      <c r="B49" s="4" t="s">
        <v>62</v>
      </c>
      <c r="C49" s="5">
        <v>0</v>
      </c>
      <c r="D49" s="5">
        <v>0</v>
      </c>
      <c r="E49" s="17">
        <v>0</v>
      </c>
    </row>
    <row r="50" spans="1:5" x14ac:dyDescent="0.25">
      <c r="A50" s="4">
        <v>40</v>
      </c>
      <c r="B50" s="4" t="s">
        <v>59</v>
      </c>
      <c r="C50" s="5">
        <v>1</v>
      </c>
      <c r="D50" s="5">
        <v>0</v>
      </c>
      <c r="E50" s="17">
        <v>1</v>
      </c>
    </row>
    <row r="51" spans="1:5" x14ac:dyDescent="0.25">
      <c r="A51" s="4">
        <v>40</v>
      </c>
      <c r="B51" s="4" t="s">
        <v>60</v>
      </c>
      <c r="C51" s="5">
        <v>0.88</v>
      </c>
      <c r="D51" s="5">
        <v>0</v>
      </c>
      <c r="E51" s="17">
        <v>0.91669999999999996</v>
      </c>
    </row>
    <row r="52" spans="1:5" x14ac:dyDescent="0.25">
      <c r="A52" s="4">
        <v>40</v>
      </c>
      <c r="B52" s="4" t="s">
        <v>61</v>
      </c>
      <c r="C52" s="5">
        <v>0.6</v>
      </c>
      <c r="D52" s="5">
        <v>0</v>
      </c>
      <c r="E52" s="17">
        <v>0.64859999999999995</v>
      </c>
    </row>
    <row r="53" spans="1:5" x14ac:dyDescent="0.25">
      <c r="A53" s="4">
        <v>40</v>
      </c>
      <c r="B53" s="4" t="s">
        <v>62</v>
      </c>
      <c r="C53" s="5">
        <v>0</v>
      </c>
      <c r="D53" s="5">
        <v>0</v>
      </c>
      <c r="E53" s="17">
        <v>0</v>
      </c>
    </row>
    <row r="54" spans="1:5" x14ac:dyDescent="0.25">
      <c r="A54" s="4">
        <v>40.5</v>
      </c>
      <c r="B54" s="4" t="s">
        <v>59</v>
      </c>
      <c r="C54" s="5">
        <v>1</v>
      </c>
      <c r="D54" s="5">
        <v>0</v>
      </c>
      <c r="E54" s="17">
        <v>1</v>
      </c>
    </row>
    <row r="55" spans="1:5" x14ac:dyDescent="0.25">
      <c r="A55" s="4">
        <v>40.5</v>
      </c>
      <c r="B55" s="4" t="s">
        <v>60</v>
      </c>
      <c r="C55" s="5">
        <v>0.55000000000000004</v>
      </c>
      <c r="D55" s="5">
        <v>1.2</v>
      </c>
      <c r="E55" s="17">
        <v>1</v>
      </c>
    </row>
    <row r="56" spans="1:5" x14ac:dyDescent="0.25">
      <c r="A56" s="4">
        <v>40.5</v>
      </c>
      <c r="B56" s="4" t="s">
        <v>61</v>
      </c>
      <c r="C56" s="5">
        <v>0</v>
      </c>
      <c r="D56" s="5">
        <v>0.54</v>
      </c>
      <c r="E56" s="17">
        <f>ROUND(D56/0.85,2)</f>
        <v>0.64</v>
      </c>
    </row>
    <row r="57" spans="1:5" x14ac:dyDescent="0.25">
      <c r="A57" s="4">
        <v>40.5</v>
      </c>
      <c r="B57" s="4" t="s">
        <v>62</v>
      </c>
      <c r="C57" s="5">
        <v>0</v>
      </c>
      <c r="D57" s="5">
        <v>0</v>
      </c>
      <c r="E57" s="17">
        <v>0</v>
      </c>
    </row>
    <row r="58" spans="1:5" x14ac:dyDescent="0.25">
      <c r="A58" s="4">
        <v>41</v>
      </c>
      <c r="B58" s="4" t="s">
        <v>59</v>
      </c>
      <c r="C58" s="5">
        <v>1</v>
      </c>
      <c r="D58" s="5">
        <v>0</v>
      </c>
      <c r="E58" s="17">
        <v>1</v>
      </c>
    </row>
    <row r="59" spans="1:5" x14ac:dyDescent="0.25">
      <c r="A59" s="4">
        <v>41</v>
      </c>
      <c r="B59" s="4" t="s">
        <v>60</v>
      </c>
      <c r="C59" s="5">
        <v>0.8</v>
      </c>
      <c r="D59" s="5">
        <v>0</v>
      </c>
      <c r="E59" s="17">
        <v>0.83330000000000004</v>
      </c>
    </row>
    <row r="60" spans="1:5" x14ac:dyDescent="0.25">
      <c r="A60" s="4">
        <v>41</v>
      </c>
      <c r="B60" s="4" t="s">
        <v>61</v>
      </c>
      <c r="C60" s="5">
        <v>0.7</v>
      </c>
      <c r="D60" s="5">
        <v>0</v>
      </c>
      <c r="E60" s="17">
        <v>0.75680000000000003</v>
      </c>
    </row>
    <row r="61" spans="1:5" x14ac:dyDescent="0.25">
      <c r="A61" s="4">
        <v>41</v>
      </c>
      <c r="B61" s="4" t="s">
        <v>62</v>
      </c>
      <c r="C61" s="5">
        <v>0</v>
      </c>
      <c r="D61" s="5">
        <v>0</v>
      </c>
      <c r="E61" s="17">
        <v>0</v>
      </c>
    </row>
    <row r="62" spans="1:5" x14ac:dyDescent="0.25">
      <c r="A62" s="4">
        <v>41.5</v>
      </c>
      <c r="B62" s="4" t="s">
        <v>59</v>
      </c>
      <c r="C62" s="5">
        <v>1</v>
      </c>
      <c r="D62" s="5">
        <v>0</v>
      </c>
      <c r="E62" s="17">
        <v>1</v>
      </c>
    </row>
    <row r="63" spans="1:5" x14ac:dyDescent="0.25">
      <c r="A63" s="4">
        <v>41.5</v>
      </c>
      <c r="B63" s="4" t="s">
        <v>60</v>
      </c>
      <c r="C63" s="5">
        <v>0.625</v>
      </c>
      <c r="D63" s="5">
        <v>1.25</v>
      </c>
      <c r="E63" s="17">
        <v>1</v>
      </c>
    </row>
    <row r="64" spans="1:5" x14ac:dyDescent="0.25">
      <c r="A64" s="4">
        <v>41.5</v>
      </c>
      <c r="B64" s="4" t="s">
        <v>61</v>
      </c>
      <c r="C64" s="5">
        <v>0</v>
      </c>
      <c r="D64" s="5">
        <v>0</v>
      </c>
      <c r="E64" s="17">
        <f>ROUND(D64/0.85,2)</f>
        <v>0</v>
      </c>
    </row>
    <row r="65" spans="1:5" x14ac:dyDescent="0.25">
      <c r="A65" s="4">
        <v>41.5</v>
      </c>
      <c r="B65" s="4" t="s">
        <v>62</v>
      </c>
      <c r="C65" s="5">
        <v>0</v>
      </c>
      <c r="D65" s="5">
        <v>0</v>
      </c>
      <c r="E65" s="17">
        <v>0</v>
      </c>
    </row>
    <row r="66" spans="1:5" x14ac:dyDescent="0.25">
      <c r="A66" s="4">
        <v>42</v>
      </c>
      <c r="B66" s="4" t="s">
        <v>59</v>
      </c>
      <c r="C66" s="5">
        <v>1</v>
      </c>
      <c r="D66" s="5">
        <v>0</v>
      </c>
      <c r="E66" s="17">
        <v>1</v>
      </c>
    </row>
    <row r="67" spans="1:5" x14ac:dyDescent="0.25">
      <c r="A67" s="4">
        <v>42</v>
      </c>
      <c r="B67" s="4" t="s">
        <v>60</v>
      </c>
      <c r="C67" s="5">
        <v>0.75</v>
      </c>
      <c r="D67" s="5">
        <v>0</v>
      </c>
      <c r="E67" s="17">
        <v>0.78129999999999999</v>
      </c>
    </row>
    <row r="68" spans="1:5" x14ac:dyDescent="0.25">
      <c r="A68" s="4">
        <v>42</v>
      </c>
      <c r="B68" s="4" t="s">
        <v>61</v>
      </c>
      <c r="C68" s="5">
        <v>0.65</v>
      </c>
      <c r="D68" s="5">
        <v>0</v>
      </c>
      <c r="E68" s="17">
        <v>0.70269999999999999</v>
      </c>
    </row>
    <row r="69" spans="1:5" x14ac:dyDescent="0.25">
      <c r="A69" s="4">
        <v>42</v>
      </c>
      <c r="B69" s="4" t="s">
        <v>62</v>
      </c>
      <c r="C69" s="5">
        <v>0</v>
      </c>
      <c r="D69" s="5">
        <v>0</v>
      </c>
      <c r="E69" s="17">
        <v>0</v>
      </c>
    </row>
    <row r="70" spans="1:5" x14ac:dyDescent="0.25">
      <c r="A70" s="4">
        <v>42.5</v>
      </c>
      <c r="B70" s="4" t="s">
        <v>59</v>
      </c>
      <c r="C70" s="5">
        <v>1</v>
      </c>
      <c r="D70" s="5">
        <v>0</v>
      </c>
      <c r="E70" s="17">
        <v>1</v>
      </c>
    </row>
    <row r="71" spans="1:5" x14ac:dyDescent="0.25">
      <c r="A71" s="4">
        <v>42.5</v>
      </c>
      <c r="B71" s="4" t="s">
        <v>60</v>
      </c>
      <c r="C71" s="5">
        <v>0.67</v>
      </c>
      <c r="D71" s="5">
        <v>1.1499999999999999</v>
      </c>
      <c r="E71" s="17">
        <v>0.97499999999999998</v>
      </c>
    </row>
    <row r="72" spans="1:5" x14ac:dyDescent="0.25">
      <c r="A72" s="4">
        <v>42.5</v>
      </c>
      <c r="B72" s="4" t="s">
        <v>61</v>
      </c>
      <c r="C72" s="5">
        <v>0</v>
      </c>
      <c r="D72" s="5">
        <v>0</v>
      </c>
      <c r="E72" s="17">
        <v>0</v>
      </c>
    </row>
    <row r="73" spans="1:5" x14ac:dyDescent="0.25">
      <c r="A73" s="4">
        <v>42.5</v>
      </c>
      <c r="B73" s="4" t="s">
        <v>62</v>
      </c>
      <c r="C73" s="5">
        <v>0</v>
      </c>
      <c r="D73" s="5">
        <v>0</v>
      </c>
      <c r="E73" s="17">
        <v>0</v>
      </c>
    </row>
    <row r="74" spans="1:5" x14ac:dyDescent="0.25">
      <c r="A74" s="4">
        <v>43</v>
      </c>
      <c r="B74" s="4" t="s">
        <v>59</v>
      </c>
      <c r="C74" s="5">
        <v>1</v>
      </c>
      <c r="D74" s="5">
        <v>0</v>
      </c>
      <c r="E74" s="17">
        <v>1</v>
      </c>
    </row>
    <row r="75" spans="1:5" x14ac:dyDescent="0.25">
      <c r="A75" s="4">
        <v>43</v>
      </c>
      <c r="B75" s="4" t="s">
        <v>60</v>
      </c>
      <c r="C75" s="5">
        <v>0.85</v>
      </c>
      <c r="D75" s="5">
        <v>0</v>
      </c>
      <c r="E75" s="17">
        <v>0.88539999999999996</v>
      </c>
    </row>
    <row r="76" spans="1:5" x14ac:dyDescent="0.25">
      <c r="A76" s="4">
        <v>43</v>
      </c>
      <c r="B76" s="4" t="s">
        <v>61</v>
      </c>
      <c r="C76" s="5">
        <v>0.375</v>
      </c>
      <c r="D76" s="5">
        <v>0</v>
      </c>
      <c r="E76" s="17">
        <v>0.40539999999999998</v>
      </c>
    </row>
    <row r="77" spans="1:5" x14ac:dyDescent="0.25">
      <c r="A77" s="4">
        <v>43</v>
      </c>
      <c r="B77" s="4" t="s">
        <v>62</v>
      </c>
      <c r="C77" s="5">
        <v>0</v>
      </c>
      <c r="D77" s="5">
        <v>0</v>
      </c>
      <c r="E77" s="17">
        <v>0</v>
      </c>
    </row>
    <row r="78" spans="1:5" x14ac:dyDescent="0.25">
      <c r="A78" s="4">
        <v>43.5</v>
      </c>
      <c r="B78" s="4" t="s">
        <v>59</v>
      </c>
      <c r="C78" s="5">
        <v>1</v>
      </c>
      <c r="D78" s="5">
        <v>0</v>
      </c>
      <c r="E78" s="17">
        <v>1</v>
      </c>
    </row>
    <row r="79" spans="1:5" x14ac:dyDescent="0.25">
      <c r="A79" s="4">
        <v>43.5</v>
      </c>
      <c r="B79" s="4" t="s">
        <v>60</v>
      </c>
      <c r="C79" s="5">
        <v>0.82499999999999996</v>
      </c>
      <c r="D79" s="5">
        <v>0.5</v>
      </c>
      <c r="E79" s="17">
        <v>0.95</v>
      </c>
    </row>
    <row r="80" spans="1:5" x14ac:dyDescent="0.25">
      <c r="A80" s="4">
        <v>43.5</v>
      </c>
      <c r="B80" s="4" t="s">
        <v>61</v>
      </c>
      <c r="C80" s="5">
        <v>0</v>
      </c>
      <c r="D80" s="5">
        <v>0.23499999999999999</v>
      </c>
      <c r="E80" s="17">
        <f>ROUND(D80/0.85,2)</f>
        <v>0.28000000000000003</v>
      </c>
    </row>
    <row r="81" spans="1:5" x14ac:dyDescent="0.25">
      <c r="A81" s="4">
        <v>43.5</v>
      </c>
      <c r="B81" s="4" t="s">
        <v>62</v>
      </c>
      <c r="C81" s="5">
        <v>0</v>
      </c>
      <c r="D81" s="5">
        <v>0</v>
      </c>
      <c r="E81" s="17">
        <v>0</v>
      </c>
    </row>
    <row r="82" spans="1:5" x14ac:dyDescent="0.25">
      <c r="A82" s="4">
        <v>44</v>
      </c>
      <c r="B82" s="4" t="s">
        <v>59</v>
      </c>
      <c r="C82" s="5">
        <v>1</v>
      </c>
      <c r="D82" s="5">
        <v>0</v>
      </c>
      <c r="E82" s="17">
        <v>1</v>
      </c>
    </row>
    <row r="83" spans="1:5" x14ac:dyDescent="0.25">
      <c r="A83" s="4">
        <v>44</v>
      </c>
      <c r="B83" s="4" t="s">
        <v>60</v>
      </c>
      <c r="C83" s="5">
        <v>0.82499999999999996</v>
      </c>
      <c r="D83" s="5">
        <v>0</v>
      </c>
      <c r="E83" s="17">
        <v>0.85940000000000005</v>
      </c>
    </row>
    <row r="84" spans="1:5" x14ac:dyDescent="0.25">
      <c r="A84" s="4">
        <v>44</v>
      </c>
      <c r="B84" s="4" t="s">
        <v>61</v>
      </c>
      <c r="C84" s="5">
        <v>0.27500000000000002</v>
      </c>
      <c r="D84" s="5">
        <v>0</v>
      </c>
      <c r="E84" s="17">
        <v>0.29730000000000001</v>
      </c>
    </row>
    <row r="85" spans="1:5" x14ac:dyDescent="0.25">
      <c r="A85" s="4">
        <v>44</v>
      </c>
      <c r="B85" s="4" t="s">
        <v>62</v>
      </c>
      <c r="C85" s="5">
        <v>0</v>
      </c>
      <c r="D85" s="5">
        <v>0</v>
      </c>
      <c r="E85" s="17">
        <v>0</v>
      </c>
    </row>
    <row r="86" spans="1:5" x14ac:dyDescent="0.25">
      <c r="A86" s="4">
        <v>44.5</v>
      </c>
      <c r="B86" s="4" t="s">
        <v>59</v>
      </c>
      <c r="C86" s="5">
        <v>1</v>
      </c>
      <c r="D86" s="5">
        <v>0</v>
      </c>
      <c r="E86" s="17">
        <v>1</v>
      </c>
    </row>
    <row r="87" spans="1:5" x14ac:dyDescent="0.25">
      <c r="A87" s="4">
        <v>44.5</v>
      </c>
      <c r="B87" s="4" t="s">
        <v>60</v>
      </c>
      <c r="C87" s="5">
        <v>0.82499999999999996</v>
      </c>
      <c r="D87" s="5">
        <v>0.75</v>
      </c>
      <c r="E87" s="17">
        <v>0.97499999999999998</v>
      </c>
    </row>
    <row r="88" spans="1:5" x14ac:dyDescent="0.25">
      <c r="A88" s="4">
        <v>44.5</v>
      </c>
      <c r="B88" s="4" t="s">
        <v>61</v>
      </c>
      <c r="C88" s="5">
        <v>0</v>
      </c>
      <c r="D88" s="5">
        <v>8.74999999999998E-2</v>
      </c>
      <c r="E88" s="17">
        <f>ROUND(D88/0.85,2)</f>
        <v>0.1</v>
      </c>
    </row>
    <row r="89" spans="1:5" x14ac:dyDescent="0.25">
      <c r="A89" s="4">
        <v>44.5</v>
      </c>
      <c r="B89" s="4" t="s">
        <v>62</v>
      </c>
      <c r="C89" s="5">
        <v>0</v>
      </c>
      <c r="D89" s="5">
        <v>0</v>
      </c>
      <c r="E89" s="17">
        <v>0</v>
      </c>
    </row>
    <row r="90" spans="1:5" x14ac:dyDescent="0.25">
      <c r="A90" s="4">
        <v>45</v>
      </c>
      <c r="B90" s="4" t="s">
        <v>59</v>
      </c>
      <c r="C90" s="5">
        <v>1</v>
      </c>
      <c r="D90" s="5">
        <v>0</v>
      </c>
      <c r="E90" s="17">
        <v>1</v>
      </c>
    </row>
    <row r="91" spans="1:5" x14ac:dyDescent="0.25">
      <c r="A91" s="4">
        <v>45</v>
      </c>
      <c r="B91" s="4" t="s">
        <v>60</v>
      </c>
      <c r="C91" s="5">
        <v>0.81</v>
      </c>
      <c r="D91" s="5">
        <v>0</v>
      </c>
      <c r="E91" s="17">
        <v>0.84379999999999999</v>
      </c>
    </row>
    <row r="92" spans="1:5" x14ac:dyDescent="0.25">
      <c r="A92" s="4">
        <v>45</v>
      </c>
      <c r="B92" s="4" t="s">
        <v>61</v>
      </c>
      <c r="C92" s="5">
        <v>0.26</v>
      </c>
      <c r="D92" s="5">
        <v>0</v>
      </c>
      <c r="E92" s="17">
        <v>0.28110000000000002</v>
      </c>
    </row>
    <row r="93" spans="1:5" x14ac:dyDescent="0.25">
      <c r="A93" s="4">
        <v>45</v>
      </c>
      <c r="B93" s="4" t="s">
        <v>62</v>
      </c>
      <c r="C93" s="5">
        <v>0</v>
      </c>
      <c r="D93" s="5">
        <v>0</v>
      </c>
      <c r="E93" s="17">
        <v>0</v>
      </c>
    </row>
    <row r="94" spans="1:5" x14ac:dyDescent="0.25">
      <c r="A94" s="4">
        <v>45.5</v>
      </c>
      <c r="B94" s="4" t="s">
        <v>59</v>
      </c>
      <c r="C94" s="5">
        <v>1</v>
      </c>
      <c r="D94" s="5">
        <v>0</v>
      </c>
      <c r="E94" s="17">
        <v>1</v>
      </c>
    </row>
    <row r="95" spans="1:5" x14ac:dyDescent="0.25">
      <c r="A95" s="4">
        <v>45.5</v>
      </c>
      <c r="B95" s="4" t="s">
        <v>60</v>
      </c>
      <c r="C95" s="5">
        <v>0.4</v>
      </c>
      <c r="D95" s="5">
        <v>0.75</v>
      </c>
      <c r="E95" s="17">
        <v>0.95</v>
      </c>
    </row>
    <row r="96" spans="1:5" x14ac:dyDescent="0.25">
      <c r="A96" s="4">
        <v>45.5</v>
      </c>
      <c r="B96" s="4" t="s">
        <v>61</v>
      </c>
      <c r="C96" s="5">
        <v>0</v>
      </c>
      <c r="D96" s="5">
        <v>0.1</v>
      </c>
      <c r="E96" s="17">
        <f>ROUND(D96/0.85,2)</f>
        <v>0.12</v>
      </c>
    </row>
    <row r="97" spans="1:5" x14ac:dyDescent="0.25">
      <c r="A97" s="4">
        <v>45.5</v>
      </c>
      <c r="B97" s="4" t="s">
        <v>62</v>
      </c>
      <c r="C97" s="5">
        <v>0</v>
      </c>
      <c r="D97" s="5">
        <v>0</v>
      </c>
      <c r="E97" s="17">
        <v>0</v>
      </c>
    </row>
    <row r="98" spans="1:5" x14ac:dyDescent="0.25">
      <c r="A98" s="4">
        <v>49.5</v>
      </c>
      <c r="B98" s="4" t="s">
        <v>59</v>
      </c>
      <c r="C98" s="5">
        <v>0</v>
      </c>
      <c r="D98" s="5">
        <v>1</v>
      </c>
      <c r="E98" s="17">
        <v>0.9</v>
      </c>
    </row>
    <row r="99" spans="1:5" x14ac:dyDescent="0.25">
      <c r="A99" s="4">
        <v>49.5</v>
      </c>
      <c r="B99" s="4" t="s">
        <v>60</v>
      </c>
      <c r="C99" s="5">
        <v>0</v>
      </c>
      <c r="D99" s="5">
        <v>0.8</v>
      </c>
      <c r="E99" s="17">
        <v>0.72600000000000009</v>
      </c>
    </row>
    <row r="100" spans="1:5" x14ac:dyDescent="0.25">
      <c r="A100" s="4">
        <v>49.5</v>
      </c>
      <c r="B100" s="4" t="s">
        <v>61</v>
      </c>
      <c r="C100" s="5">
        <v>0</v>
      </c>
      <c r="D100" s="5">
        <v>0.3</v>
      </c>
      <c r="E100" s="17">
        <v>0.34350000000000003</v>
      </c>
    </row>
    <row r="101" spans="1:5" x14ac:dyDescent="0.25">
      <c r="A101" s="4">
        <v>49.5</v>
      </c>
      <c r="B101" s="4" t="s">
        <v>62</v>
      </c>
      <c r="C101" s="5">
        <v>0</v>
      </c>
      <c r="D101" s="5">
        <v>0</v>
      </c>
      <c r="E101" s="17">
        <v>0</v>
      </c>
    </row>
    <row r="102" spans="1:5" x14ac:dyDescent="0.25">
      <c r="A102" s="4">
        <v>50</v>
      </c>
      <c r="B102" s="4" t="s">
        <v>59</v>
      </c>
      <c r="C102" s="5">
        <v>1</v>
      </c>
      <c r="D102" s="5">
        <v>0</v>
      </c>
      <c r="E102" s="17">
        <v>1</v>
      </c>
    </row>
    <row r="103" spans="1:5" x14ac:dyDescent="0.25">
      <c r="A103" s="4">
        <v>50</v>
      </c>
      <c r="B103" s="4" t="s">
        <v>60</v>
      </c>
      <c r="C103" s="5">
        <v>0.88</v>
      </c>
      <c r="D103" s="5">
        <v>0</v>
      </c>
      <c r="E103" s="17">
        <v>0.91669999999999996</v>
      </c>
    </row>
    <row r="104" spans="1:5" x14ac:dyDescent="0.25">
      <c r="A104" s="4">
        <v>50</v>
      </c>
      <c r="B104" s="4" t="s">
        <v>61</v>
      </c>
      <c r="C104" s="5">
        <v>0.5</v>
      </c>
      <c r="D104" s="5">
        <v>0</v>
      </c>
      <c r="E104" s="17">
        <v>0.54049999999999998</v>
      </c>
    </row>
    <row r="105" spans="1:5" x14ac:dyDescent="0.25">
      <c r="A105" s="4">
        <v>50</v>
      </c>
      <c r="B105" s="4" t="s">
        <v>62</v>
      </c>
      <c r="C105" s="5">
        <v>0</v>
      </c>
      <c r="D105" s="5">
        <v>0</v>
      </c>
      <c r="E105" s="17">
        <v>0</v>
      </c>
    </row>
    <row r="106" spans="1:5" x14ac:dyDescent="0.25">
      <c r="A106" s="4">
        <v>50.5</v>
      </c>
      <c r="B106" s="4" t="s">
        <v>59</v>
      </c>
      <c r="C106" s="5">
        <v>1</v>
      </c>
      <c r="D106" s="5">
        <v>0</v>
      </c>
      <c r="E106" s="17">
        <v>1</v>
      </c>
    </row>
    <row r="107" spans="1:5" x14ac:dyDescent="0.25">
      <c r="A107" s="4">
        <v>50.5</v>
      </c>
      <c r="B107" s="4" t="s">
        <v>60</v>
      </c>
      <c r="C107" s="5">
        <v>0.65</v>
      </c>
      <c r="D107" s="5">
        <v>0.8</v>
      </c>
      <c r="E107" s="17">
        <v>0.98</v>
      </c>
    </row>
    <row r="108" spans="1:5" x14ac:dyDescent="0.25">
      <c r="A108" s="4">
        <v>50.5</v>
      </c>
      <c r="B108" s="4" t="s">
        <v>61</v>
      </c>
      <c r="C108" s="5">
        <v>0</v>
      </c>
      <c r="D108" s="5">
        <v>0.15</v>
      </c>
      <c r="E108" s="17">
        <f>ROUND(D108/0.85,2)</f>
        <v>0.18</v>
      </c>
    </row>
    <row r="109" spans="1:5" x14ac:dyDescent="0.25">
      <c r="A109" s="4">
        <v>50.5</v>
      </c>
      <c r="B109" s="4" t="s">
        <v>62</v>
      </c>
      <c r="C109" s="5">
        <v>0</v>
      </c>
      <c r="D109" s="5">
        <v>0</v>
      </c>
      <c r="E109" s="17">
        <v>0</v>
      </c>
    </row>
    <row r="110" spans="1:5" x14ac:dyDescent="0.25">
      <c r="A110" s="4">
        <v>51</v>
      </c>
      <c r="B110" s="4" t="s">
        <v>59</v>
      </c>
      <c r="C110" s="5">
        <v>1</v>
      </c>
      <c r="D110" s="5">
        <v>0</v>
      </c>
      <c r="E110" s="17">
        <v>1</v>
      </c>
    </row>
    <row r="111" spans="1:5" x14ac:dyDescent="0.25">
      <c r="A111" s="4">
        <v>51</v>
      </c>
      <c r="B111" s="4" t="s">
        <v>60</v>
      </c>
      <c r="C111" s="5">
        <v>0.77500000000000002</v>
      </c>
      <c r="D111" s="5">
        <v>0</v>
      </c>
      <c r="E111" s="17">
        <v>0.80730000000000002</v>
      </c>
    </row>
    <row r="112" spans="1:5" x14ac:dyDescent="0.25">
      <c r="A112" s="4">
        <v>51</v>
      </c>
      <c r="B112" s="4" t="s">
        <v>61</v>
      </c>
      <c r="C112" s="5">
        <v>0.6</v>
      </c>
      <c r="D112" s="5">
        <v>0</v>
      </c>
      <c r="E112" s="17">
        <v>0.64859999999999995</v>
      </c>
    </row>
    <row r="113" spans="1:5" x14ac:dyDescent="0.25">
      <c r="A113" s="4">
        <v>51</v>
      </c>
      <c r="B113" s="4" t="s">
        <v>62</v>
      </c>
      <c r="C113" s="5">
        <v>0</v>
      </c>
      <c r="D113" s="5">
        <v>0</v>
      </c>
      <c r="E113" s="17">
        <v>0</v>
      </c>
    </row>
    <row r="114" spans="1:5" x14ac:dyDescent="0.25">
      <c r="A114" s="4">
        <v>51.5</v>
      </c>
      <c r="B114" s="4" t="s">
        <v>59</v>
      </c>
      <c r="C114" s="5">
        <v>1</v>
      </c>
      <c r="D114" s="5">
        <v>0</v>
      </c>
      <c r="E114" s="17">
        <v>1</v>
      </c>
    </row>
    <row r="115" spans="1:5" x14ac:dyDescent="0.25">
      <c r="A115" s="4">
        <v>51.5</v>
      </c>
      <c r="B115" s="4" t="s">
        <v>60</v>
      </c>
      <c r="C115" s="5">
        <v>0.6</v>
      </c>
      <c r="D115" s="5">
        <v>1</v>
      </c>
      <c r="E115" s="17">
        <v>0.98</v>
      </c>
    </row>
    <row r="116" spans="1:5" x14ac:dyDescent="0.25">
      <c r="A116" s="4">
        <v>51.5</v>
      </c>
      <c r="B116" s="4" t="s">
        <v>61</v>
      </c>
      <c r="C116" s="5">
        <v>0</v>
      </c>
      <c r="D116" s="5">
        <v>0</v>
      </c>
      <c r="E116" s="17">
        <v>0</v>
      </c>
    </row>
    <row r="117" spans="1:5" x14ac:dyDescent="0.25">
      <c r="A117" s="4">
        <v>51.5</v>
      </c>
      <c r="B117" s="4" t="s">
        <v>62</v>
      </c>
      <c r="C117" s="5">
        <v>0</v>
      </c>
      <c r="D117" s="5">
        <v>0</v>
      </c>
      <c r="E117" s="17">
        <v>0</v>
      </c>
    </row>
    <row r="118" spans="1:5" x14ac:dyDescent="0.25">
      <c r="A118" s="4">
        <v>52</v>
      </c>
      <c r="B118" s="4" t="s">
        <v>59</v>
      </c>
      <c r="C118" s="5">
        <v>1</v>
      </c>
      <c r="D118" s="5">
        <v>0</v>
      </c>
      <c r="E118" s="17">
        <v>1</v>
      </c>
    </row>
    <row r="119" spans="1:5" x14ac:dyDescent="0.25">
      <c r="A119" s="4">
        <v>52</v>
      </c>
      <c r="B119" s="4" t="s">
        <v>60</v>
      </c>
      <c r="C119" s="5">
        <v>0.85</v>
      </c>
      <c r="D119" s="5">
        <v>0</v>
      </c>
      <c r="E119" s="17">
        <v>0.88539999999999996</v>
      </c>
    </row>
    <row r="120" spans="1:5" x14ac:dyDescent="0.25">
      <c r="A120" s="4">
        <v>52</v>
      </c>
      <c r="B120" s="4" t="s">
        <v>61</v>
      </c>
      <c r="C120" s="5">
        <v>0.47499999999999998</v>
      </c>
      <c r="D120" s="5">
        <v>0</v>
      </c>
      <c r="E120" s="17">
        <v>0.51349999999999996</v>
      </c>
    </row>
    <row r="121" spans="1:5" x14ac:dyDescent="0.25">
      <c r="A121" s="4">
        <v>52</v>
      </c>
      <c r="B121" s="4" t="s">
        <v>62</v>
      </c>
      <c r="C121" s="5">
        <v>0</v>
      </c>
      <c r="D121" s="5">
        <v>0</v>
      </c>
      <c r="E121" s="17">
        <v>0</v>
      </c>
    </row>
    <row r="122" spans="1:5" x14ac:dyDescent="0.25">
      <c r="A122" s="4">
        <v>52.5</v>
      </c>
      <c r="B122" s="4" t="s">
        <v>59</v>
      </c>
      <c r="C122" s="5">
        <v>1</v>
      </c>
      <c r="D122" s="5">
        <v>0</v>
      </c>
      <c r="E122" s="17">
        <v>1</v>
      </c>
    </row>
    <row r="123" spans="1:5" x14ac:dyDescent="0.25">
      <c r="A123" s="4">
        <v>52.5</v>
      </c>
      <c r="B123" s="4" t="s">
        <v>60</v>
      </c>
      <c r="C123" s="5">
        <v>0.85</v>
      </c>
      <c r="D123" s="5">
        <v>0.57499999999999996</v>
      </c>
      <c r="E123" s="17">
        <v>0.98</v>
      </c>
    </row>
    <row r="124" spans="1:5" x14ac:dyDescent="0.25">
      <c r="A124" s="4">
        <v>52.5</v>
      </c>
      <c r="B124" s="4" t="s">
        <v>61</v>
      </c>
      <c r="C124" s="5">
        <v>0</v>
      </c>
      <c r="D124" s="5">
        <v>0.28600000000000081</v>
      </c>
      <c r="E124" s="17">
        <f>ROUND(D124/0.85,2)</f>
        <v>0.34</v>
      </c>
    </row>
    <row r="125" spans="1:5" x14ac:dyDescent="0.25">
      <c r="A125" s="4">
        <v>52.5</v>
      </c>
      <c r="B125" s="4" t="s">
        <v>62</v>
      </c>
      <c r="C125" s="5">
        <v>0</v>
      </c>
      <c r="D125" s="5">
        <v>0</v>
      </c>
      <c r="E125" s="17">
        <v>0</v>
      </c>
    </row>
    <row r="126" spans="1:5" x14ac:dyDescent="0.25">
      <c r="A126" s="4">
        <v>70</v>
      </c>
      <c r="B126" s="4" t="s">
        <v>59</v>
      </c>
      <c r="C126" s="5">
        <v>1</v>
      </c>
      <c r="D126" s="5">
        <v>0</v>
      </c>
      <c r="E126" s="17">
        <v>1</v>
      </c>
    </row>
    <row r="127" spans="1:5" x14ac:dyDescent="0.25">
      <c r="A127" s="4">
        <v>70</v>
      </c>
      <c r="B127" s="4" t="s">
        <v>60</v>
      </c>
      <c r="C127" s="5">
        <v>0.82</v>
      </c>
      <c r="D127" s="5">
        <v>0</v>
      </c>
      <c r="E127" s="17">
        <v>0.85419999999999996</v>
      </c>
    </row>
    <row r="128" spans="1:5" x14ac:dyDescent="0.25">
      <c r="A128" s="4">
        <v>70</v>
      </c>
      <c r="B128" s="4" t="s">
        <v>61</v>
      </c>
      <c r="C128" s="5">
        <v>0.5</v>
      </c>
      <c r="D128" s="5">
        <v>0</v>
      </c>
      <c r="E128" s="17">
        <v>0.54049999999999998</v>
      </c>
    </row>
    <row r="129" spans="1:5" x14ac:dyDescent="0.25">
      <c r="A129" s="4">
        <v>70</v>
      </c>
      <c r="B129" s="4" t="s">
        <v>62</v>
      </c>
      <c r="C129" s="5">
        <v>0</v>
      </c>
      <c r="D129" s="5">
        <v>0</v>
      </c>
      <c r="E129" s="17">
        <v>0</v>
      </c>
    </row>
    <row r="130" spans="1:5" x14ac:dyDescent="0.25">
      <c r="A130" s="4">
        <v>70.5</v>
      </c>
      <c r="B130" s="4" t="s">
        <v>59</v>
      </c>
      <c r="C130" s="5">
        <v>1</v>
      </c>
      <c r="D130" s="5">
        <v>0</v>
      </c>
      <c r="E130" s="17">
        <v>1</v>
      </c>
    </row>
    <row r="131" spans="1:5" x14ac:dyDescent="0.25">
      <c r="A131" s="4">
        <v>70.5</v>
      </c>
      <c r="B131" s="4" t="s">
        <v>60</v>
      </c>
      <c r="C131" s="5">
        <v>0.77500000000000002</v>
      </c>
      <c r="D131" s="5">
        <v>0.65</v>
      </c>
      <c r="E131" s="17">
        <v>0.97499999999999998</v>
      </c>
    </row>
    <row r="132" spans="1:5" x14ac:dyDescent="0.25">
      <c r="A132" s="4">
        <v>70.5</v>
      </c>
      <c r="B132" s="4" t="s">
        <v>61</v>
      </c>
      <c r="C132" s="5">
        <v>0</v>
      </c>
      <c r="D132" s="5">
        <v>0.4</v>
      </c>
      <c r="E132" s="17">
        <f>ROUND(D132/0.85,2)</f>
        <v>0.47</v>
      </c>
    </row>
    <row r="133" spans="1:5" x14ac:dyDescent="0.25">
      <c r="A133" s="4">
        <v>70.5</v>
      </c>
      <c r="B133" s="4" t="s">
        <v>62</v>
      </c>
      <c r="C133" s="5">
        <v>0</v>
      </c>
      <c r="D133" s="5">
        <v>0</v>
      </c>
      <c r="E133" s="17">
        <v>0</v>
      </c>
    </row>
    <row r="134" spans="1:5" x14ac:dyDescent="0.25">
      <c r="A134" s="4">
        <v>100</v>
      </c>
      <c r="B134" s="4" t="s">
        <v>59</v>
      </c>
      <c r="C134" s="5">
        <v>0</v>
      </c>
      <c r="D134" s="5">
        <v>3</v>
      </c>
      <c r="E134" s="17">
        <v>1</v>
      </c>
    </row>
    <row r="135" spans="1:5" x14ac:dyDescent="0.25">
      <c r="A135" s="4">
        <v>100</v>
      </c>
      <c r="B135" s="4" t="s">
        <v>60</v>
      </c>
      <c r="C135" s="5">
        <v>0</v>
      </c>
      <c r="D135" s="5">
        <f>$D$134*$E135+ROUND(LOG(E135)*0.25,3)</f>
        <v>2.2189999999999999</v>
      </c>
      <c r="E135" s="17">
        <v>0.75</v>
      </c>
    </row>
    <row r="136" spans="1:5" x14ac:dyDescent="0.25">
      <c r="A136" s="4">
        <v>100</v>
      </c>
      <c r="B136" s="4" t="s">
        <v>61</v>
      </c>
      <c r="C136" s="5">
        <v>0</v>
      </c>
      <c r="D136" s="5">
        <f t="shared" ref="D136" si="0">$D$134*$E136+ROUND(LOG(E136)*0.25,3)</f>
        <v>0.59899999999999998</v>
      </c>
      <c r="E136" s="17">
        <v>0.25</v>
      </c>
    </row>
    <row r="137" spans="1:5" x14ac:dyDescent="0.25">
      <c r="A137" s="4">
        <v>100</v>
      </c>
      <c r="B137" s="4" t="s">
        <v>62</v>
      </c>
      <c r="C137" s="5">
        <v>0</v>
      </c>
      <c r="D137" s="5">
        <v>0</v>
      </c>
      <c r="E137" s="17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L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12" x14ac:dyDescent="0.25">
      <c r="A1" s="2" t="s">
        <v>149</v>
      </c>
      <c r="B1" s="2" t="s">
        <v>20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2" t="s">
        <v>137</v>
      </c>
    </row>
    <row r="2" spans="1:12" x14ac:dyDescent="0.25">
      <c r="A2" t="s">
        <v>1</v>
      </c>
      <c r="B2">
        <v>1</v>
      </c>
      <c r="C2">
        <v>9</v>
      </c>
      <c r="D2">
        <v>9</v>
      </c>
      <c r="E2">
        <v>3</v>
      </c>
      <c r="F2">
        <v>3</v>
      </c>
      <c r="G2">
        <v>0</v>
      </c>
      <c r="H2">
        <v>3</v>
      </c>
      <c r="I2">
        <v>0</v>
      </c>
      <c r="J2">
        <v>0</v>
      </c>
      <c r="K2">
        <v>0</v>
      </c>
      <c r="L2">
        <v>0</v>
      </c>
    </row>
    <row r="3" spans="1:1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5" sqref="N15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1200</v>
      </c>
      <c r="E2">
        <v>700</v>
      </c>
      <c r="F2">
        <v>4500</v>
      </c>
      <c r="G2" s="18"/>
      <c r="H2" s="18"/>
      <c r="I2">
        <v>300</v>
      </c>
      <c r="J2">
        <v>100</v>
      </c>
      <c r="K2" s="18"/>
      <c r="L2" s="18"/>
      <c r="M2">
        <v>950</v>
      </c>
    </row>
    <row r="3" spans="1:14" x14ac:dyDescent="0.25">
      <c r="A3" t="s">
        <v>7</v>
      </c>
      <c r="B3" s="18"/>
      <c r="C3">
        <v>0</v>
      </c>
      <c r="D3" s="18"/>
      <c r="E3" s="18"/>
      <c r="G3" s="18"/>
      <c r="H3">
        <v>600</v>
      </c>
      <c r="I3" s="18"/>
      <c r="J3" s="18"/>
      <c r="K3">
        <v>950</v>
      </c>
      <c r="L3" s="18"/>
      <c r="M3" s="18"/>
      <c r="N3" s="18"/>
    </row>
    <row r="4" spans="1:14" x14ac:dyDescent="0.25">
      <c r="A4" t="s">
        <v>8</v>
      </c>
      <c r="B4">
        <v>1200</v>
      </c>
      <c r="C4" s="18"/>
      <c r="D4">
        <v>0</v>
      </c>
      <c r="E4" s="18"/>
      <c r="G4" s="18"/>
      <c r="H4">
        <v>1500</v>
      </c>
      <c r="I4" s="18"/>
      <c r="K4" s="18"/>
      <c r="L4" s="18"/>
      <c r="M4" s="18"/>
      <c r="N4" s="18"/>
    </row>
    <row r="5" spans="1:14" x14ac:dyDescent="0.25">
      <c r="A5" t="s">
        <v>9</v>
      </c>
      <c r="B5">
        <v>700</v>
      </c>
      <c r="C5" s="18"/>
      <c r="D5" s="18"/>
      <c r="E5">
        <v>0</v>
      </c>
      <c r="F5">
        <v>1750</v>
      </c>
      <c r="G5" s="18"/>
      <c r="H5" s="18"/>
      <c r="I5" s="18"/>
      <c r="J5" s="18"/>
      <c r="K5" s="18"/>
      <c r="L5">
        <v>600</v>
      </c>
      <c r="M5" s="18"/>
      <c r="N5">
        <v>800</v>
      </c>
    </row>
    <row r="6" spans="1:14" x14ac:dyDescent="0.25">
      <c r="A6" t="s">
        <v>2</v>
      </c>
      <c r="B6">
        <v>4500</v>
      </c>
      <c r="E6">
        <v>1750</v>
      </c>
      <c r="F6">
        <v>0</v>
      </c>
      <c r="G6">
        <v>800</v>
      </c>
      <c r="H6">
        <v>3200</v>
      </c>
      <c r="I6" s="18"/>
      <c r="J6" s="18"/>
      <c r="L6">
        <v>150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800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600</v>
      </c>
      <c r="D8">
        <v>1500</v>
      </c>
      <c r="E8" s="18"/>
      <c r="F8">
        <v>3200</v>
      </c>
      <c r="G8" s="18"/>
      <c r="H8">
        <v>0</v>
      </c>
      <c r="I8" s="18"/>
      <c r="J8">
        <v>870</v>
      </c>
      <c r="K8" s="18"/>
      <c r="L8" s="18"/>
      <c r="M8" s="18"/>
      <c r="N8" s="18"/>
    </row>
    <row r="9" spans="1:14" x14ac:dyDescent="0.25">
      <c r="A9" t="s">
        <v>12</v>
      </c>
      <c r="B9">
        <v>300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</row>
    <row r="10" spans="1:14" x14ac:dyDescent="0.25">
      <c r="A10" t="s">
        <v>13</v>
      </c>
      <c r="B10">
        <v>100</v>
      </c>
      <c r="C10" s="18"/>
      <c r="E10" s="18"/>
      <c r="F10" s="18"/>
      <c r="G10" s="18"/>
      <c r="H10">
        <v>870</v>
      </c>
      <c r="I10" s="18"/>
      <c r="J10">
        <v>0</v>
      </c>
      <c r="K10" s="18"/>
      <c r="L10" s="18"/>
      <c r="N10" s="18"/>
    </row>
    <row r="11" spans="1:14" x14ac:dyDescent="0.25">
      <c r="A11" t="s">
        <v>14</v>
      </c>
      <c r="B11" s="18"/>
      <c r="C11">
        <v>950</v>
      </c>
      <c r="D11" s="18"/>
      <c r="E11" s="18"/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600</v>
      </c>
      <c r="F12">
        <v>150</v>
      </c>
      <c r="G12" s="18"/>
      <c r="H12" s="18"/>
      <c r="I12" s="18"/>
      <c r="J12" s="18"/>
      <c r="K12" s="18"/>
      <c r="L12">
        <v>0</v>
      </c>
      <c r="M12" s="18"/>
    </row>
    <row r="13" spans="1:14" x14ac:dyDescent="0.25">
      <c r="A13" t="s">
        <v>16</v>
      </c>
      <c r="B13">
        <v>950</v>
      </c>
      <c r="C13" s="18"/>
      <c r="D13" s="18"/>
      <c r="E13" s="18"/>
      <c r="F13" s="18"/>
      <c r="G13" s="18"/>
      <c r="H13" s="18"/>
      <c r="K13" s="18"/>
      <c r="L13" s="18"/>
      <c r="M13">
        <v>0</v>
      </c>
      <c r="N13" s="18"/>
    </row>
    <row r="14" spans="1:14" x14ac:dyDescent="0.25">
      <c r="A14" t="s">
        <v>17</v>
      </c>
      <c r="C14" s="18"/>
      <c r="D14" s="18"/>
      <c r="E14">
        <v>800</v>
      </c>
      <c r="F14" s="18"/>
      <c r="G14" s="18"/>
      <c r="H14" s="18"/>
      <c r="J14" s="18"/>
      <c r="K14" s="18"/>
      <c r="M14" s="18"/>
      <c r="N14"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B2">
        <v>0</v>
      </c>
      <c r="C2" s="18"/>
      <c r="D2">
        <v>429</v>
      </c>
      <c r="E2">
        <v>308</v>
      </c>
      <c r="F2">
        <v>464</v>
      </c>
      <c r="G2" s="18"/>
      <c r="H2" s="18"/>
      <c r="I2">
        <v>434</v>
      </c>
      <c r="J2">
        <v>576</v>
      </c>
      <c r="K2" s="18"/>
      <c r="L2" s="18"/>
      <c r="M2">
        <v>198</v>
      </c>
      <c r="N2">
        <v>422</v>
      </c>
    </row>
    <row r="3" spans="1:14" x14ac:dyDescent="0.25">
      <c r="A3" t="s">
        <v>7</v>
      </c>
      <c r="B3" s="18"/>
      <c r="C3">
        <v>0</v>
      </c>
      <c r="D3" s="18"/>
      <c r="E3" s="18"/>
      <c r="F3">
        <v>408</v>
      </c>
      <c r="G3" s="18"/>
      <c r="H3">
        <v>483</v>
      </c>
      <c r="I3" s="18"/>
      <c r="J3" s="18"/>
      <c r="K3">
        <v>176</v>
      </c>
      <c r="L3" s="18"/>
      <c r="M3" s="18"/>
      <c r="N3" s="18"/>
    </row>
    <row r="4" spans="1:14" x14ac:dyDescent="0.25">
      <c r="A4" t="s">
        <v>8</v>
      </c>
      <c r="B4">
        <v>429</v>
      </c>
      <c r="C4" s="18"/>
      <c r="D4">
        <v>0</v>
      </c>
      <c r="E4" s="18"/>
      <c r="F4">
        <v>512</v>
      </c>
      <c r="G4" s="18"/>
      <c r="H4">
        <v>444</v>
      </c>
      <c r="I4" s="18"/>
      <c r="J4">
        <v>591</v>
      </c>
      <c r="K4" s="18"/>
      <c r="L4" s="18"/>
      <c r="M4" s="18"/>
      <c r="N4" s="18"/>
    </row>
    <row r="5" spans="1:14" x14ac:dyDescent="0.25">
      <c r="A5" t="s">
        <v>9</v>
      </c>
      <c r="B5">
        <v>308</v>
      </c>
      <c r="C5" s="18"/>
      <c r="D5" s="18"/>
      <c r="E5">
        <v>0</v>
      </c>
      <c r="F5">
        <v>442</v>
      </c>
      <c r="G5" s="18"/>
      <c r="H5" s="18"/>
      <c r="I5" s="18"/>
      <c r="J5" s="18"/>
      <c r="K5" s="18"/>
      <c r="L5">
        <v>389</v>
      </c>
      <c r="M5" s="18"/>
      <c r="N5">
        <v>305</v>
      </c>
    </row>
    <row r="6" spans="1:14" x14ac:dyDescent="0.25">
      <c r="A6" t="s">
        <v>2</v>
      </c>
      <c r="B6">
        <v>464</v>
      </c>
      <c r="C6">
        <v>408</v>
      </c>
      <c r="D6">
        <v>512</v>
      </c>
      <c r="E6">
        <v>442</v>
      </c>
      <c r="F6">
        <v>0</v>
      </c>
      <c r="G6">
        <v>536</v>
      </c>
      <c r="H6">
        <v>780</v>
      </c>
      <c r="I6" s="18"/>
      <c r="J6" s="18"/>
      <c r="K6">
        <v>349</v>
      </c>
      <c r="L6">
        <v>633</v>
      </c>
      <c r="M6" s="18"/>
      <c r="N6" s="18"/>
    </row>
    <row r="7" spans="1:14" x14ac:dyDescent="0.25">
      <c r="A7" t="s">
        <v>10</v>
      </c>
      <c r="B7" s="18"/>
      <c r="C7" s="18"/>
      <c r="D7" s="18"/>
      <c r="E7" s="18"/>
      <c r="F7">
        <v>536</v>
      </c>
      <c r="G7">
        <v>0</v>
      </c>
      <c r="H7" s="18"/>
      <c r="I7" s="18"/>
      <c r="J7" s="18"/>
      <c r="K7" s="18"/>
      <c r="L7" s="18"/>
      <c r="M7" s="18"/>
      <c r="N7" s="18"/>
    </row>
    <row r="8" spans="1:14" x14ac:dyDescent="0.25">
      <c r="A8" t="s">
        <v>11</v>
      </c>
      <c r="B8" s="18"/>
      <c r="C8">
        <v>483</v>
      </c>
      <c r="D8">
        <v>444</v>
      </c>
      <c r="E8" s="18"/>
      <c r="F8">
        <v>780</v>
      </c>
      <c r="G8" s="18"/>
      <c r="H8">
        <v>0</v>
      </c>
      <c r="I8" s="18"/>
      <c r="J8">
        <v>916</v>
      </c>
      <c r="K8" s="18"/>
      <c r="L8" s="18"/>
      <c r="M8" s="18"/>
      <c r="N8" s="18"/>
    </row>
    <row r="9" spans="1:14" x14ac:dyDescent="0.25">
      <c r="A9" t="s">
        <v>12</v>
      </c>
      <c r="B9">
        <v>434</v>
      </c>
      <c r="C9" s="18"/>
      <c r="D9" s="18"/>
      <c r="E9" s="18"/>
      <c r="F9" s="18"/>
      <c r="G9" s="18"/>
      <c r="H9" s="18"/>
      <c r="I9">
        <v>0</v>
      </c>
      <c r="J9" s="18"/>
      <c r="K9" s="18"/>
      <c r="L9" s="18"/>
      <c r="M9">
        <v>395</v>
      </c>
      <c r="N9">
        <v>172</v>
      </c>
    </row>
    <row r="10" spans="1:14" x14ac:dyDescent="0.25">
      <c r="A10" t="s">
        <v>13</v>
      </c>
      <c r="B10">
        <v>576</v>
      </c>
      <c r="C10" s="18"/>
      <c r="D10">
        <v>591</v>
      </c>
      <c r="E10" s="18"/>
      <c r="F10" s="18"/>
      <c r="G10" s="18"/>
      <c r="H10">
        <v>916</v>
      </c>
      <c r="I10" s="18"/>
      <c r="J10">
        <v>0</v>
      </c>
      <c r="K10" s="18"/>
      <c r="L10" s="18"/>
      <c r="M10">
        <v>415</v>
      </c>
      <c r="N10" s="18"/>
    </row>
    <row r="11" spans="1:14" x14ac:dyDescent="0.25">
      <c r="A11" t="s">
        <v>14</v>
      </c>
      <c r="B11" s="18"/>
      <c r="C11">
        <v>176</v>
      </c>
      <c r="D11" s="18"/>
      <c r="E11" s="18"/>
      <c r="F11">
        <v>349</v>
      </c>
      <c r="G11" s="18"/>
      <c r="H11" s="18"/>
      <c r="I11" s="18"/>
      <c r="J11" s="18"/>
      <c r="K11">
        <v>0</v>
      </c>
      <c r="L11" s="18"/>
      <c r="M11" s="18"/>
      <c r="N11" s="18"/>
    </row>
    <row r="12" spans="1:14" x14ac:dyDescent="0.25">
      <c r="A12" t="s">
        <v>15</v>
      </c>
      <c r="B12" s="18"/>
      <c r="C12" s="18"/>
      <c r="D12" s="18"/>
      <c r="E12">
        <v>389</v>
      </c>
      <c r="F12">
        <v>633</v>
      </c>
      <c r="G12" s="18"/>
      <c r="H12" s="18"/>
      <c r="I12" s="18"/>
      <c r="J12" s="18"/>
      <c r="K12" s="18"/>
      <c r="L12">
        <v>0</v>
      </c>
      <c r="M12" s="18"/>
      <c r="N12">
        <v>374</v>
      </c>
    </row>
    <row r="13" spans="1:14" x14ac:dyDescent="0.25">
      <c r="A13" t="s">
        <v>16</v>
      </c>
      <c r="B13">
        <v>198</v>
      </c>
      <c r="C13" s="18"/>
      <c r="D13" s="18"/>
      <c r="E13" s="18"/>
      <c r="F13" s="18"/>
      <c r="G13" s="18"/>
      <c r="H13" s="18"/>
      <c r="I13">
        <v>395</v>
      </c>
      <c r="J13">
        <v>415</v>
      </c>
      <c r="K13" s="18"/>
      <c r="L13" s="18"/>
      <c r="M13">
        <v>0</v>
      </c>
      <c r="N13" s="18"/>
    </row>
    <row r="14" spans="1:14" x14ac:dyDescent="0.25">
      <c r="A14" t="s">
        <v>17</v>
      </c>
      <c r="B14">
        <v>422</v>
      </c>
      <c r="C14" s="18"/>
      <c r="D14" s="18"/>
      <c r="E14">
        <v>305</v>
      </c>
      <c r="F14" s="18"/>
      <c r="G14" s="18"/>
      <c r="H14" s="18"/>
      <c r="I14">
        <v>172</v>
      </c>
      <c r="J14" s="18"/>
      <c r="K14" s="18"/>
      <c r="L14">
        <v>374</v>
      </c>
      <c r="M14" s="18"/>
      <c r="N14">
        <v>0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761F-2504-4C8D-8040-F9E9B5E3E6FE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0" t="s">
        <v>138</v>
      </c>
      <c r="C2" t="s">
        <v>138</v>
      </c>
    </row>
    <row r="3" spans="1:3" x14ac:dyDescent="0.25">
      <c r="A3" t="s">
        <v>4</v>
      </c>
      <c r="B3" s="10">
        <v>0</v>
      </c>
      <c r="C3">
        <v>0</v>
      </c>
    </row>
    <row r="4" spans="1:3" x14ac:dyDescent="0.25">
      <c r="A4" t="s">
        <v>5</v>
      </c>
      <c r="B4" t="s">
        <v>138</v>
      </c>
      <c r="C4" t="s">
        <v>138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122</v>
      </c>
      <c r="B6">
        <v>0</v>
      </c>
      <c r="C6">
        <v>0</v>
      </c>
    </row>
    <row r="7" spans="1:3" x14ac:dyDescent="0.25">
      <c r="A7" t="s">
        <v>123</v>
      </c>
      <c r="B7">
        <v>0</v>
      </c>
      <c r="C7">
        <v>0</v>
      </c>
    </row>
    <row r="8" spans="1:3" x14ac:dyDescent="0.25">
      <c r="A8" t="s">
        <v>124</v>
      </c>
      <c r="B8">
        <v>0</v>
      </c>
      <c r="C8">
        <v>0</v>
      </c>
    </row>
    <row r="9" spans="1:3" x14ac:dyDescent="0.25">
      <c r="A9" t="s">
        <v>125</v>
      </c>
      <c r="B9">
        <v>0</v>
      </c>
      <c r="C9">
        <v>0</v>
      </c>
    </row>
    <row r="10" spans="1:3" x14ac:dyDescent="0.25">
      <c r="A10" t="s">
        <v>126</v>
      </c>
      <c r="B10">
        <v>0</v>
      </c>
      <c r="C10">
        <v>0</v>
      </c>
    </row>
    <row r="11" spans="1:3" x14ac:dyDescent="0.25">
      <c r="A11" t="s">
        <v>127</v>
      </c>
      <c r="B11">
        <v>0</v>
      </c>
      <c r="C11">
        <v>0</v>
      </c>
    </row>
    <row r="12" spans="1:3" x14ac:dyDescent="0.25">
      <c r="A12" t="s">
        <v>117</v>
      </c>
      <c r="B12" t="s">
        <v>138</v>
      </c>
      <c r="C12" t="s">
        <v>138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18DA-91F3-45FB-AD2F-2A0676B90C2D}">
  <dimension ref="A1:E13"/>
  <sheetViews>
    <sheetView tabSelected="1" workbookViewId="0">
      <selection activeCell="D15" sqref="D15"/>
    </sheetView>
  </sheetViews>
  <sheetFormatPr baseColWidth="10" defaultRowHeight="15" x14ac:dyDescent="0.25"/>
  <cols>
    <col min="4" max="4" width="40.140625" bestFit="1" customWidth="1"/>
  </cols>
  <sheetData>
    <row r="1" spans="1:5" x14ac:dyDescent="0.25">
      <c r="A1" s="2" t="s">
        <v>58</v>
      </c>
      <c r="B1" s="2" t="s">
        <v>258</v>
      </c>
      <c r="C1" s="2" t="s">
        <v>247</v>
      </c>
      <c r="D1" s="2" t="s">
        <v>246</v>
      </c>
      <c r="E1" s="2" t="s">
        <v>245</v>
      </c>
    </row>
    <row r="2" spans="1:5" x14ac:dyDescent="0.25">
      <c r="A2" t="s">
        <v>20</v>
      </c>
      <c r="B2">
        <v>0.27</v>
      </c>
      <c r="C2">
        <v>0</v>
      </c>
      <c r="D2" t="s">
        <v>257</v>
      </c>
      <c r="E2" t="s">
        <v>244</v>
      </c>
    </row>
    <row r="3" spans="1:5" x14ac:dyDescent="0.25">
      <c r="A3" t="s">
        <v>128</v>
      </c>
      <c r="B3">
        <v>4.0599999999999996</v>
      </c>
      <c r="C3">
        <v>0</v>
      </c>
      <c r="D3" t="s">
        <v>253</v>
      </c>
      <c r="E3" t="s">
        <v>243</v>
      </c>
    </row>
    <row r="4" spans="1:5" x14ac:dyDescent="0.25">
      <c r="A4" t="s">
        <v>129</v>
      </c>
      <c r="B4">
        <v>6.12</v>
      </c>
      <c r="C4">
        <v>0</v>
      </c>
      <c r="D4" t="s">
        <v>254</v>
      </c>
      <c r="E4" t="s">
        <v>243</v>
      </c>
    </row>
    <row r="5" spans="1:5" x14ac:dyDescent="0.25">
      <c r="A5" t="s">
        <v>130</v>
      </c>
      <c r="B5">
        <v>2.36</v>
      </c>
      <c r="C5">
        <v>0</v>
      </c>
      <c r="D5" t="s">
        <v>255</v>
      </c>
      <c r="E5" t="s">
        <v>243</v>
      </c>
    </row>
    <row r="6" spans="1:5" x14ac:dyDescent="0.25">
      <c r="A6" t="s">
        <v>131</v>
      </c>
      <c r="B6">
        <f>(B5+B3)/2</f>
        <v>3.21</v>
      </c>
      <c r="C6">
        <v>0</v>
      </c>
      <c r="D6" t="s">
        <v>250</v>
      </c>
      <c r="E6">
        <v>8</v>
      </c>
    </row>
    <row r="7" spans="1:5" x14ac:dyDescent="0.25">
      <c r="A7" t="s">
        <v>132</v>
      </c>
      <c r="B7">
        <v>0</v>
      </c>
      <c r="C7">
        <v>0</v>
      </c>
      <c r="D7" t="s">
        <v>251</v>
      </c>
      <c r="E7">
        <v>8</v>
      </c>
    </row>
    <row r="8" spans="1:5" x14ac:dyDescent="0.25">
      <c r="A8" t="s">
        <v>133</v>
      </c>
      <c r="B8">
        <v>4.04</v>
      </c>
      <c r="C8">
        <v>0</v>
      </c>
      <c r="D8" t="s">
        <v>256</v>
      </c>
      <c r="E8" t="s">
        <v>242</v>
      </c>
    </row>
    <row r="9" spans="1:5" x14ac:dyDescent="0.25">
      <c r="A9" t="s">
        <v>134</v>
      </c>
      <c r="B9">
        <v>0</v>
      </c>
      <c r="C9">
        <v>5028</v>
      </c>
      <c r="D9" t="s">
        <v>249</v>
      </c>
      <c r="E9" t="s">
        <v>240</v>
      </c>
    </row>
    <row r="10" spans="1:5" x14ac:dyDescent="0.25">
      <c r="A10" t="s">
        <v>135</v>
      </c>
      <c r="B10">
        <v>0</v>
      </c>
      <c r="C10">
        <v>2831</v>
      </c>
      <c r="D10" t="s">
        <v>248</v>
      </c>
      <c r="E10" t="s">
        <v>241</v>
      </c>
    </row>
    <row r="11" spans="1:5" x14ac:dyDescent="0.25">
      <c r="A11" t="s">
        <v>136</v>
      </c>
      <c r="B11">
        <v>0</v>
      </c>
      <c r="C11">
        <v>0</v>
      </c>
      <c r="D11" t="s">
        <v>251</v>
      </c>
      <c r="E11">
        <v>8</v>
      </c>
    </row>
    <row r="12" spans="1:5" x14ac:dyDescent="0.25">
      <c r="A12" t="s">
        <v>137</v>
      </c>
      <c r="B12">
        <v>0</v>
      </c>
      <c r="C12">
        <v>0</v>
      </c>
      <c r="D12" t="s">
        <v>251</v>
      </c>
      <c r="E12">
        <v>8</v>
      </c>
    </row>
    <row r="13" spans="1:5" x14ac:dyDescent="0.25">
      <c r="A13" t="s">
        <v>252</v>
      </c>
      <c r="B13">
        <v>0</v>
      </c>
      <c r="C13">
        <v>0</v>
      </c>
      <c r="D13" t="s">
        <v>251</v>
      </c>
      <c r="E13">
        <v>8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F39"/>
  <sheetViews>
    <sheetView workbookViewId="0">
      <pane ySplit="1" topLeftCell="A5" activePane="bottomLeft" state="frozen"/>
      <selection pane="bottomLeft" activeCell="D4" sqref="D4"/>
    </sheetView>
  </sheetViews>
  <sheetFormatPr baseColWidth="10" defaultRowHeight="15" x14ac:dyDescent="0.25"/>
  <cols>
    <col min="1" max="1" width="13.85546875" style="3" bestFit="1" customWidth="1"/>
    <col min="2" max="2" width="38.85546875" bestFit="1" customWidth="1"/>
    <col min="3" max="3" width="14.140625" bestFit="1" customWidth="1"/>
    <col min="6" max="6" width="11.42578125" style="3"/>
  </cols>
  <sheetData>
    <row r="1" spans="1:6" s="15" customFormat="1" ht="30" x14ac:dyDescent="0.25">
      <c r="A1" s="13" t="s">
        <v>18</v>
      </c>
      <c r="B1" s="14" t="s">
        <v>19</v>
      </c>
      <c r="C1" s="14" t="s">
        <v>65</v>
      </c>
      <c r="D1" s="14" t="s">
        <v>144</v>
      </c>
      <c r="E1" s="14" t="s">
        <v>142</v>
      </c>
      <c r="F1" s="13" t="s">
        <v>143</v>
      </c>
    </row>
    <row r="2" spans="1:6" x14ac:dyDescent="0.25">
      <c r="A2" s="3">
        <v>10</v>
      </c>
      <c r="B2" t="s">
        <v>20</v>
      </c>
      <c r="C2" t="s">
        <v>80</v>
      </c>
    </row>
    <row r="3" spans="1:6" x14ac:dyDescent="0.25">
      <c r="A3" s="3">
        <v>20</v>
      </c>
      <c r="B3" t="s">
        <v>21</v>
      </c>
      <c r="C3" t="s">
        <v>81</v>
      </c>
    </row>
    <row r="4" spans="1:6" x14ac:dyDescent="0.25">
      <c r="A4" s="3">
        <v>20.5</v>
      </c>
      <c r="B4" t="s">
        <v>22</v>
      </c>
      <c r="C4" t="s">
        <v>82</v>
      </c>
      <c r="D4" s="11">
        <f>'FEASIBLE_INPUT-OUTPUT_BAK'!$C$10/'FEASIBLE_INPUT-OUTPUT_BAK'!$D$11</f>
        <v>1.8181818181818181</v>
      </c>
      <c r="E4" s="11">
        <f>('FEASIBLE_INPUT-OUTPUT_BAK'!C10-'FEASIBLE_INPUT-OUTPUT_BAK'!C11)/('FEASIBLE_INPUT-OUTPUT_BAK'!D10-'FEASIBLE_INPUT-OUTPUT_BAK'!D11)</f>
        <v>-0.22727272727272727</v>
      </c>
      <c r="F4" s="12">
        <f>'FEASIBLE_INPUT-OUTPUT_BAK'!$C$10/('FEASIBLE_INPUT-OUTPUT_BAK'!C11+'FEASIBLE_INPUT-OUTPUT_BAK'!$D$11)</f>
        <v>0.70175438596491224</v>
      </c>
    </row>
    <row r="5" spans="1:6" x14ac:dyDescent="0.25">
      <c r="A5" s="3">
        <v>21</v>
      </c>
      <c r="B5" t="s">
        <v>23</v>
      </c>
      <c r="C5" t="s">
        <v>83</v>
      </c>
    </row>
    <row r="6" spans="1:6" x14ac:dyDescent="0.25">
      <c r="A6" s="3">
        <v>21.5</v>
      </c>
      <c r="B6" t="s">
        <v>24</v>
      </c>
      <c r="C6" t="s">
        <v>84</v>
      </c>
      <c r="D6" s="11">
        <f>'FEASIBLE_INPUT-OUTPUT_BAK'!$C$18/'FEASIBLE_INPUT-OUTPUT_BAK'!$D$19</f>
        <v>1.6666666666666667</v>
      </c>
      <c r="E6" s="11">
        <f>('FEASIBLE_INPUT-OUTPUT_BAK'!C18-'FEASIBLE_INPUT-OUTPUT_BAK'!C19)/('FEASIBLE_INPUT-OUTPUT_BAK'!D18-'FEASIBLE_INPUT-OUTPUT_BAK'!D19)</f>
        <v>-0.2</v>
      </c>
      <c r="F6" s="12">
        <f>'FEASIBLE_INPUT-OUTPUT_BAK'!$C$18/('FEASIBLE_INPUT-OUTPUT_BAK'!C19+'FEASIBLE_INPUT-OUTPUT_BAK'!$D$19)</f>
        <v>0.67567567567567566</v>
      </c>
    </row>
    <row r="7" spans="1:6" x14ac:dyDescent="0.25">
      <c r="A7" s="3">
        <v>30</v>
      </c>
      <c r="B7" t="s">
        <v>25</v>
      </c>
      <c r="C7" t="s">
        <v>85</v>
      </c>
    </row>
    <row r="8" spans="1:6" x14ac:dyDescent="0.25">
      <c r="A8" s="3">
        <v>30.5</v>
      </c>
      <c r="B8" t="s">
        <v>26</v>
      </c>
      <c r="C8" t="s">
        <v>86</v>
      </c>
      <c r="D8" s="11">
        <f>'FEASIBLE_INPUT-OUTPUT_BAK'!$C$26/'FEASIBLE_INPUT-OUTPUT_BAK'!$D$27</f>
        <v>1.8181818181818181</v>
      </c>
      <c r="E8" s="11">
        <f>('FEASIBLE_INPUT-OUTPUT_BAK'!C26-'FEASIBLE_INPUT-OUTPUT_BAK'!C27)/('FEASIBLE_INPUT-OUTPUT_BAK'!D26-'FEASIBLE_INPUT-OUTPUT_BAK'!D27)</f>
        <v>-0.22727272727272727</v>
      </c>
      <c r="F8" s="12">
        <f>'FEASIBLE_INPUT-OUTPUT_BAK'!$C$26/('FEASIBLE_INPUT-OUTPUT_BAK'!C27+'FEASIBLE_INPUT-OUTPUT_BAK'!$D$27)</f>
        <v>0.70175438596491224</v>
      </c>
    </row>
    <row r="9" spans="1:6" x14ac:dyDescent="0.25">
      <c r="A9" s="3">
        <v>31</v>
      </c>
      <c r="B9" t="s">
        <v>27</v>
      </c>
      <c r="C9" t="s">
        <v>87</v>
      </c>
    </row>
    <row r="10" spans="1:6" x14ac:dyDescent="0.25">
      <c r="A10" s="3">
        <v>31.5</v>
      </c>
      <c r="B10" t="s">
        <v>28</v>
      </c>
      <c r="C10" t="s">
        <v>88</v>
      </c>
      <c r="D10" s="11">
        <f>'FEASIBLE_INPUT-OUTPUT_BAK'!$C$34/'FEASIBLE_INPUT-OUTPUT_BAK'!$D$35</f>
        <v>1.7391304347826089</v>
      </c>
      <c r="E10" s="11">
        <f>('FEASIBLE_INPUT-OUTPUT_BAK'!C34-'FEASIBLE_INPUT-OUTPUT_BAK'!C35)/('FEASIBLE_INPUT-OUTPUT_BAK'!D34-'FEASIBLE_INPUT-OUTPUT_BAK'!D35)</f>
        <v>-0.21739130434782611</v>
      </c>
      <c r="F10" s="12">
        <f>'FEASIBLE_INPUT-OUTPUT_BAK'!$C$34/('FEASIBLE_INPUT-OUTPUT_BAK'!C35+'FEASIBLE_INPUT-OUTPUT_BAK'!$D$35)</f>
        <v>0.68965517241379315</v>
      </c>
    </row>
    <row r="11" spans="1:6" x14ac:dyDescent="0.25">
      <c r="A11" s="3">
        <v>32</v>
      </c>
      <c r="B11" t="s">
        <v>29</v>
      </c>
      <c r="C11" t="s">
        <v>89</v>
      </c>
    </row>
    <row r="12" spans="1:6" x14ac:dyDescent="0.25">
      <c r="A12" s="3">
        <v>32.5</v>
      </c>
      <c r="B12" t="s">
        <v>30</v>
      </c>
      <c r="C12" t="s">
        <v>90</v>
      </c>
      <c r="D12" s="11">
        <f>'FEASIBLE_INPUT-OUTPUT_BAK'!$C$42/'FEASIBLE_INPUT-OUTPUT_BAK'!$D$43</f>
        <v>1.6666666666666667</v>
      </c>
      <c r="E12" s="11">
        <f>('FEASIBLE_INPUT-OUTPUT_BAK'!C42-'FEASIBLE_INPUT-OUTPUT_BAK'!C43)/('FEASIBLE_INPUT-OUTPUT_BAK'!D42-'FEASIBLE_INPUT-OUTPUT_BAK'!D43)</f>
        <v>-0.2</v>
      </c>
      <c r="F12" s="12">
        <f>'FEASIBLE_INPUT-OUTPUT_BAK'!$C$42/('FEASIBLE_INPUT-OUTPUT_BAK'!C43+'FEASIBLE_INPUT-OUTPUT_BAK'!$D$43)</f>
        <v>0.67567567567567566</v>
      </c>
    </row>
    <row r="13" spans="1:6" x14ac:dyDescent="0.25">
      <c r="A13" s="3">
        <v>33</v>
      </c>
      <c r="B13" t="s">
        <v>31</v>
      </c>
      <c r="C13" t="s">
        <v>91</v>
      </c>
    </row>
    <row r="14" spans="1:6" x14ac:dyDescent="0.25">
      <c r="A14" s="3">
        <v>40</v>
      </c>
      <c r="B14" t="s">
        <v>32</v>
      </c>
      <c r="C14" t="s">
        <v>92</v>
      </c>
    </row>
    <row r="15" spans="1:6" x14ac:dyDescent="0.25">
      <c r="A15" s="3">
        <v>40.5</v>
      </c>
      <c r="B15" t="s">
        <v>33</v>
      </c>
      <c r="C15" t="s">
        <v>93</v>
      </c>
      <c r="D15" s="11">
        <f>'FEASIBLE_INPUT-OUTPUT_BAK'!$C$54/'FEASIBLE_INPUT-OUTPUT_BAK'!$D$55</f>
        <v>0.83333333333333337</v>
      </c>
      <c r="E15" s="11">
        <f>('FEASIBLE_INPUT-OUTPUT_BAK'!C54-'FEASIBLE_INPUT-OUTPUT_BAK'!C55)/('FEASIBLE_INPUT-OUTPUT_BAK'!D54-'FEASIBLE_INPUT-OUTPUT_BAK'!D55)</f>
        <v>-0.375</v>
      </c>
      <c r="F15" s="12">
        <f>'FEASIBLE_INPUT-OUTPUT_BAK'!$C$54/('FEASIBLE_INPUT-OUTPUT_BAK'!C55+'FEASIBLE_INPUT-OUTPUT_BAK'!$D$55)</f>
        <v>0.5714285714285714</v>
      </c>
    </row>
    <row r="16" spans="1:6" x14ac:dyDescent="0.25">
      <c r="A16" s="3">
        <v>41</v>
      </c>
      <c r="B16" t="s">
        <v>34</v>
      </c>
      <c r="C16" t="s">
        <v>94</v>
      </c>
    </row>
    <row r="17" spans="1:6" x14ac:dyDescent="0.25">
      <c r="A17" s="3">
        <v>41.5</v>
      </c>
      <c r="B17" t="s">
        <v>35</v>
      </c>
      <c r="C17" t="s">
        <v>95</v>
      </c>
      <c r="D17" s="11">
        <f>'FEASIBLE_INPUT-OUTPUT_BAK'!$C$62/'FEASIBLE_INPUT-OUTPUT_BAK'!$D$63</f>
        <v>0.8</v>
      </c>
      <c r="E17" s="11">
        <f>('FEASIBLE_INPUT-OUTPUT_BAK'!C62-'FEASIBLE_INPUT-OUTPUT_BAK'!C63)/('FEASIBLE_INPUT-OUTPUT_BAK'!D62-'FEASIBLE_INPUT-OUTPUT_BAK'!D63)</f>
        <v>-0.3</v>
      </c>
      <c r="F17" s="12">
        <f>'FEASIBLE_INPUT-OUTPUT_BAK'!$C$62/('FEASIBLE_INPUT-OUTPUT_BAK'!C63+'FEASIBLE_INPUT-OUTPUT_BAK'!$D$63)</f>
        <v>0.53333333333333333</v>
      </c>
    </row>
    <row r="18" spans="1:6" x14ac:dyDescent="0.25">
      <c r="A18" s="3">
        <v>42</v>
      </c>
      <c r="B18" t="s">
        <v>36</v>
      </c>
      <c r="C18" t="s">
        <v>96</v>
      </c>
    </row>
    <row r="19" spans="1:6" x14ac:dyDescent="0.25">
      <c r="A19" s="3">
        <v>42.5</v>
      </c>
      <c r="B19" t="s">
        <v>37</v>
      </c>
      <c r="C19" t="s">
        <v>97</v>
      </c>
      <c r="D19" s="11">
        <f>'FEASIBLE_INPUT-OUTPUT_BAK'!$C$70/'FEASIBLE_INPUT-OUTPUT_BAK'!$D$71</f>
        <v>0.86956521739130443</v>
      </c>
      <c r="E19" s="11">
        <f>('FEASIBLE_INPUT-OUTPUT_BAK'!C70-'FEASIBLE_INPUT-OUTPUT_BAK'!C71)/('FEASIBLE_INPUT-OUTPUT_BAK'!D70-'FEASIBLE_INPUT-OUTPUT_BAK'!D71)</f>
        <v>-0.28695652173913044</v>
      </c>
      <c r="F19" s="12">
        <f>'FEASIBLE_INPUT-OUTPUT_BAK'!$C$70/('FEASIBLE_INPUT-OUTPUT_BAK'!C71+'FEASIBLE_INPUT-OUTPUT_BAK'!$D$71)</f>
        <v>0.5494505494505495</v>
      </c>
    </row>
    <row r="20" spans="1:6" x14ac:dyDescent="0.25">
      <c r="A20" s="3">
        <v>43</v>
      </c>
      <c r="B20" t="s">
        <v>38</v>
      </c>
      <c r="C20" t="s">
        <v>98</v>
      </c>
    </row>
    <row r="21" spans="1:6" x14ac:dyDescent="0.25">
      <c r="A21" s="3">
        <v>43.5</v>
      </c>
      <c r="B21" t="s">
        <v>39</v>
      </c>
      <c r="C21" t="s">
        <v>99</v>
      </c>
      <c r="D21" s="11">
        <f>'FEASIBLE_INPUT-OUTPUT_BAK'!$C$78/'FEASIBLE_INPUT-OUTPUT_BAK'!$D$79</f>
        <v>2</v>
      </c>
      <c r="E21" s="11">
        <f>('FEASIBLE_INPUT-OUTPUT_BAK'!C78-'FEASIBLE_INPUT-OUTPUT_BAK'!C79)/('FEASIBLE_INPUT-OUTPUT_BAK'!D78-'FEASIBLE_INPUT-OUTPUT_BAK'!D79)</f>
        <v>-0.35000000000000009</v>
      </c>
      <c r="F21" s="12">
        <f>'FEASIBLE_INPUT-OUTPUT_BAK'!$C$78/('FEASIBLE_INPUT-OUTPUT_BAK'!C79+'FEASIBLE_INPUT-OUTPUT_BAK'!$D$79)</f>
        <v>0.75471698113207553</v>
      </c>
    </row>
    <row r="22" spans="1:6" x14ac:dyDescent="0.25">
      <c r="A22" s="3">
        <v>44</v>
      </c>
      <c r="B22" t="s">
        <v>40</v>
      </c>
      <c r="C22" t="s">
        <v>100</v>
      </c>
    </row>
    <row r="23" spans="1:6" x14ac:dyDescent="0.25">
      <c r="A23" s="3">
        <v>44.5</v>
      </c>
      <c r="B23" t="s">
        <v>41</v>
      </c>
      <c r="C23" t="s">
        <v>101</v>
      </c>
      <c r="D23" s="11">
        <f>'FEASIBLE_INPUT-OUTPUT_BAK'!$C$86/'FEASIBLE_INPUT-OUTPUT_BAK'!$D$87</f>
        <v>1.3333333333333333</v>
      </c>
      <c r="E23" s="11">
        <f>('FEASIBLE_INPUT-OUTPUT_BAK'!C86-'FEASIBLE_INPUT-OUTPUT_BAK'!C87)/('FEASIBLE_INPUT-OUTPUT_BAK'!D86-'FEASIBLE_INPUT-OUTPUT_BAK'!D87)</f>
        <v>-0.23333333333333339</v>
      </c>
      <c r="F23" s="12">
        <f>'FEASIBLE_INPUT-OUTPUT_BAK'!$C$86/('FEASIBLE_INPUT-OUTPUT_BAK'!C87+'FEASIBLE_INPUT-OUTPUT_BAK'!$D$87)</f>
        <v>0.63492063492063489</v>
      </c>
    </row>
    <row r="24" spans="1:6" x14ac:dyDescent="0.25">
      <c r="A24" s="3">
        <v>45</v>
      </c>
      <c r="B24" t="s">
        <v>42</v>
      </c>
      <c r="C24" t="s">
        <v>102</v>
      </c>
    </row>
    <row r="25" spans="1:6" x14ac:dyDescent="0.25">
      <c r="A25" s="3">
        <v>45.5</v>
      </c>
      <c r="B25" t="s">
        <v>43</v>
      </c>
      <c r="C25" t="s">
        <v>103</v>
      </c>
      <c r="D25" s="11">
        <f>'FEASIBLE_INPUT-OUTPUT_BAK'!$C$94/'FEASIBLE_INPUT-OUTPUT_BAK'!$D$95</f>
        <v>1.3333333333333333</v>
      </c>
      <c r="E25" s="11">
        <f>('FEASIBLE_INPUT-OUTPUT_BAK'!C94-'FEASIBLE_INPUT-OUTPUT_BAK'!C95)/('FEASIBLE_INPUT-OUTPUT_BAK'!D94-'FEASIBLE_INPUT-OUTPUT_BAK'!D95)</f>
        <v>-0.79999999999999993</v>
      </c>
      <c r="F25" s="12">
        <f>'FEASIBLE_INPUT-OUTPUT_BAK'!$C$94/('FEASIBLE_INPUT-OUTPUT_BAK'!C95+'FEASIBLE_INPUT-OUTPUT_BAK'!$D$95)</f>
        <v>0.86956521739130443</v>
      </c>
    </row>
    <row r="26" spans="1:6" x14ac:dyDescent="0.25">
      <c r="A26" s="3">
        <v>49.5</v>
      </c>
      <c r="B26" t="s">
        <v>44</v>
      </c>
      <c r="C26" t="s">
        <v>104</v>
      </c>
    </row>
    <row r="27" spans="1:6" x14ac:dyDescent="0.25">
      <c r="A27" s="3">
        <v>50</v>
      </c>
      <c r="B27" t="s">
        <v>45</v>
      </c>
      <c r="C27" t="s">
        <v>105</v>
      </c>
    </row>
    <row r="28" spans="1:6" x14ac:dyDescent="0.25">
      <c r="A28" s="3">
        <v>50.5</v>
      </c>
      <c r="B28" t="s">
        <v>46</v>
      </c>
      <c r="C28" t="s">
        <v>106</v>
      </c>
      <c r="D28" s="11">
        <f>'FEASIBLE_INPUT-OUTPUT_BAK'!$C$106/'FEASIBLE_INPUT-OUTPUT_BAK'!$D$107</f>
        <v>1.25</v>
      </c>
      <c r="E28" s="11">
        <f>('FEASIBLE_INPUT-OUTPUT_BAK'!C106-'FEASIBLE_INPUT-OUTPUT_BAK'!C107)/('FEASIBLE_INPUT-OUTPUT_BAK'!D106-'FEASIBLE_INPUT-OUTPUT_BAK'!D107)</f>
        <v>-0.43749999999999994</v>
      </c>
      <c r="F28" s="12">
        <f>'FEASIBLE_INPUT-OUTPUT_BAK'!$C$106/('FEASIBLE_INPUT-OUTPUT_BAK'!C107+'FEASIBLE_INPUT-OUTPUT_BAK'!$D$107)</f>
        <v>0.68965517241379304</v>
      </c>
    </row>
    <row r="29" spans="1:6" x14ac:dyDescent="0.25">
      <c r="A29" s="3">
        <v>51</v>
      </c>
      <c r="B29" t="s">
        <v>47</v>
      </c>
      <c r="C29" t="s">
        <v>107</v>
      </c>
    </row>
    <row r="30" spans="1:6" x14ac:dyDescent="0.25">
      <c r="A30" s="3">
        <v>51.5</v>
      </c>
      <c r="B30" t="s">
        <v>48</v>
      </c>
      <c r="C30" t="s">
        <v>108</v>
      </c>
      <c r="D30" s="11">
        <f>'FEASIBLE_INPUT-OUTPUT_BAK'!$C$114/'FEASIBLE_INPUT-OUTPUT_BAK'!$D$115</f>
        <v>1</v>
      </c>
      <c r="E30" s="11">
        <f>('FEASIBLE_INPUT-OUTPUT_BAK'!C114-'FEASIBLE_INPUT-OUTPUT_BAK'!C115)/('FEASIBLE_INPUT-OUTPUT_BAK'!D114-'FEASIBLE_INPUT-OUTPUT_BAK'!D115)</f>
        <v>-0.4</v>
      </c>
      <c r="F30" s="12">
        <f>'FEASIBLE_INPUT-OUTPUT_BAK'!$C$114/('FEASIBLE_INPUT-OUTPUT_BAK'!C115+'FEASIBLE_INPUT-OUTPUT_BAK'!$D$115)</f>
        <v>0.625</v>
      </c>
    </row>
    <row r="31" spans="1:6" x14ac:dyDescent="0.25">
      <c r="A31" s="3">
        <v>52</v>
      </c>
      <c r="B31" t="s">
        <v>49</v>
      </c>
      <c r="C31" t="s">
        <v>109</v>
      </c>
    </row>
    <row r="32" spans="1:6" x14ac:dyDescent="0.25">
      <c r="A32" s="3">
        <v>52.5</v>
      </c>
      <c r="B32" t="s">
        <v>141</v>
      </c>
      <c r="C32" t="s">
        <v>110</v>
      </c>
      <c r="D32" s="11">
        <f>'FEASIBLE_INPUT-OUTPUT_BAK'!$C$122/'FEASIBLE_INPUT-OUTPUT_BAK'!$D$123</f>
        <v>1.7391304347826089</v>
      </c>
      <c r="E32" s="11">
        <f>('FEASIBLE_INPUT-OUTPUT_BAK'!C122-'FEASIBLE_INPUT-OUTPUT_BAK'!C123)/('FEASIBLE_INPUT-OUTPUT_BAK'!D122-'FEASIBLE_INPUT-OUTPUT_BAK'!D123)</f>
        <v>-0.26086956521739135</v>
      </c>
      <c r="F32" s="12">
        <f>'FEASIBLE_INPUT-OUTPUT_BAK'!$C$122/('FEASIBLE_INPUT-OUTPUT_BAK'!C123+'FEASIBLE_INPUT-OUTPUT_BAK'!$D$123)</f>
        <v>0.70175438596491235</v>
      </c>
    </row>
    <row r="33" spans="1:6" x14ac:dyDescent="0.25">
      <c r="A33" s="3">
        <v>60</v>
      </c>
      <c r="B33" t="s">
        <v>50</v>
      </c>
      <c r="C33" t="s">
        <v>111</v>
      </c>
    </row>
    <row r="34" spans="1:6" x14ac:dyDescent="0.25">
      <c r="A34" s="3">
        <v>61</v>
      </c>
      <c r="B34" t="s">
        <v>51</v>
      </c>
      <c r="C34" t="s">
        <v>112</v>
      </c>
    </row>
    <row r="35" spans="1:6" x14ac:dyDescent="0.25">
      <c r="A35" s="3">
        <v>62</v>
      </c>
      <c r="B35" t="s">
        <v>52</v>
      </c>
    </row>
    <row r="36" spans="1:6" x14ac:dyDescent="0.25">
      <c r="A36" s="3">
        <v>63</v>
      </c>
      <c r="B36" t="s">
        <v>53</v>
      </c>
      <c r="C36" t="s">
        <v>113</v>
      </c>
    </row>
    <row r="37" spans="1:6" x14ac:dyDescent="0.25">
      <c r="A37" s="3">
        <v>70</v>
      </c>
      <c r="B37" t="s">
        <v>54</v>
      </c>
      <c r="C37" t="s">
        <v>114</v>
      </c>
    </row>
    <row r="38" spans="1:6" x14ac:dyDescent="0.25">
      <c r="A38" s="3">
        <v>70.5</v>
      </c>
      <c r="B38" t="s">
        <v>55</v>
      </c>
      <c r="C38" t="s">
        <v>115</v>
      </c>
      <c r="D38" s="11">
        <f>'FEASIBLE_INPUT-OUTPUT_BAK'!$C$130/'FEASIBLE_INPUT-OUTPUT_BAK'!$D$131</f>
        <v>1.5384615384615383</v>
      </c>
      <c r="E38" s="11">
        <f>('FEASIBLE_INPUT-OUTPUT_BAK'!C130-'FEASIBLE_INPUT-OUTPUT_BAK'!C131)/('FEASIBLE_INPUT-OUTPUT_BAK'!D130-'FEASIBLE_INPUT-OUTPUT_BAK'!D131)</f>
        <v>-0.34615384615384609</v>
      </c>
      <c r="F38" s="12">
        <f>'FEASIBLE_INPUT-OUTPUT_BAK'!$C$130/('FEASIBLE_INPUT-OUTPUT_BAK'!C131+'FEASIBLE_INPUT-OUTPUT_BAK'!$D$131)</f>
        <v>0.70175438596491224</v>
      </c>
    </row>
    <row r="39" spans="1:6" x14ac:dyDescent="0.25">
      <c r="A39" s="3">
        <v>100</v>
      </c>
      <c r="B39" t="s">
        <v>56</v>
      </c>
      <c r="C39" t="s">
        <v>116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B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sheetData>
    <row r="1" spans="1:2" x14ac:dyDescent="0.25">
      <c r="A1" s="2" t="s">
        <v>149</v>
      </c>
      <c r="B1" s="2" t="s">
        <v>63</v>
      </c>
    </row>
    <row r="2" spans="1:2" x14ac:dyDescent="0.25">
      <c r="A2" t="s">
        <v>1</v>
      </c>
      <c r="B2">
        <v>0.05</v>
      </c>
    </row>
    <row r="3" spans="1:2" x14ac:dyDescent="0.25">
      <c r="A3" t="s">
        <v>2</v>
      </c>
      <c r="B3">
        <v>0.03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F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2" sqref="C22"/>
    </sheetView>
  </sheetViews>
  <sheetFormatPr baseColWidth="10" defaultRowHeight="15" x14ac:dyDescent="0.25"/>
  <sheetData>
    <row r="1" spans="1:6" x14ac:dyDescent="0.25">
      <c r="A1" s="2" t="s">
        <v>149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 x14ac:dyDescent="0.25">
      <c r="A2" t="s">
        <v>1</v>
      </c>
      <c r="B2">
        <v>2012</v>
      </c>
      <c r="C2">
        <v>0.36288500000000001</v>
      </c>
      <c r="D2">
        <v>5.5190000000000001</v>
      </c>
      <c r="E2">
        <v>1.373</v>
      </c>
      <c r="F2">
        <v>0</v>
      </c>
    </row>
    <row r="3" spans="1:6" x14ac:dyDescent="0.25">
      <c r="A3" t="s">
        <v>1</v>
      </c>
      <c r="B3">
        <v>2013</v>
      </c>
      <c r="C3">
        <v>0.62597400000000003</v>
      </c>
      <c r="D3">
        <v>5.5730000000000004</v>
      </c>
      <c r="E3">
        <v>1.6879999999999999</v>
      </c>
      <c r="F3">
        <v>0</v>
      </c>
    </row>
    <row r="4" spans="1:6" x14ac:dyDescent="0.25">
      <c r="A4" t="s">
        <v>1</v>
      </c>
      <c r="B4">
        <v>2014</v>
      </c>
      <c r="C4">
        <v>0.785246</v>
      </c>
      <c r="D4">
        <v>5.6150000000000002</v>
      </c>
      <c r="E4">
        <v>2.0960000000000001</v>
      </c>
      <c r="F4">
        <v>0</v>
      </c>
    </row>
    <row r="5" spans="1:6" x14ac:dyDescent="0.25">
      <c r="A5" t="s">
        <v>1</v>
      </c>
      <c r="B5">
        <v>2015</v>
      </c>
      <c r="C5">
        <v>0.93709799999999999</v>
      </c>
      <c r="D5">
        <v>5.6559999999999997</v>
      </c>
      <c r="E5">
        <v>2.4209999999999998</v>
      </c>
      <c r="F5">
        <v>0</v>
      </c>
    </row>
    <row r="6" spans="1:6" x14ac:dyDescent="0.25">
      <c r="A6" t="s">
        <v>1</v>
      </c>
      <c r="B6">
        <v>2016</v>
      </c>
      <c r="C6">
        <v>1.0960160000000001</v>
      </c>
      <c r="D6">
        <v>5.7</v>
      </c>
      <c r="E6">
        <v>2.649</v>
      </c>
      <c r="F6">
        <v>0</v>
      </c>
    </row>
    <row r="7" spans="1:6" x14ac:dyDescent="0.25">
      <c r="A7" t="s">
        <v>1</v>
      </c>
      <c r="B7">
        <v>2017</v>
      </c>
      <c r="C7">
        <v>1.2689710000000001</v>
      </c>
      <c r="D7">
        <v>5.7140000000000004</v>
      </c>
      <c r="E7">
        <v>2.8439999999999999</v>
      </c>
      <c r="F7">
        <v>0</v>
      </c>
    </row>
    <row r="8" spans="1:6" x14ac:dyDescent="0.25">
      <c r="A8" t="s">
        <v>1</v>
      </c>
      <c r="B8">
        <v>2018</v>
      </c>
      <c r="C8">
        <v>1.4376409999999999</v>
      </c>
      <c r="D8">
        <v>5.7220000000000004</v>
      </c>
      <c r="E8">
        <v>3.0449999999999999</v>
      </c>
      <c r="F8">
        <v>0</v>
      </c>
    </row>
    <row r="9" spans="1:6" x14ac:dyDescent="0.25">
      <c r="A9" t="s">
        <v>1</v>
      </c>
      <c r="B9">
        <v>2019</v>
      </c>
      <c r="F9">
        <v>0</v>
      </c>
    </row>
    <row r="10" spans="1:6" x14ac:dyDescent="0.25">
      <c r="A10" t="s">
        <v>1</v>
      </c>
      <c r="B10">
        <v>2020</v>
      </c>
      <c r="F10">
        <v>0</v>
      </c>
    </row>
    <row r="11" spans="1:6" x14ac:dyDescent="0.25">
      <c r="A11" t="s">
        <v>2</v>
      </c>
      <c r="B11">
        <v>2012</v>
      </c>
      <c r="C11">
        <v>34.076999999999998</v>
      </c>
      <c r="D11">
        <v>4.5179999999999998</v>
      </c>
      <c r="E11">
        <v>30.710999999999999</v>
      </c>
      <c r="F11">
        <v>0.26800000000000002</v>
      </c>
    </row>
    <row r="12" spans="1:6" x14ac:dyDescent="0.25">
      <c r="A12" t="s">
        <v>2</v>
      </c>
      <c r="B12">
        <v>2013</v>
      </c>
      <c r="C12">
        <v>36.71</v>
      </c>
      <c r="D12">
        <v>4.5009999999999994</v>
      </c>
      <c r="E12">
        <v>32.969000000000001</v>
      </c>
      <c r="F12">
        <v>0.50800000000000001</v>
      </c>
    </row>
    <row r="13" spans="1:6" x14ac:dyDescent="0.25">
      <c r="A13" t="s">
        <v>2</v>
      </c>
      <c r="B13">
        <v>2014</v>
      </c>
      <c r="C13">
        <v>37.9</v>
      </c>
      <c r="D13">
        <v>4.4909999999999997</v>
      </c>
      <c r="E13">
        <v>37.619999999999997</v>
      </c>
      <c r="F13">
        <v>0.99399999999999999</v>
      </c>
    </row>
    <row r="14" spans="1:6" x14ac:dyDescent="0.25">
      <c r="A14" t="s">
        <v>2</v>
      </c>
      <c r="B14">
        <v>2015</v>
      </c>
      <c r="C14">
        <v>39.223999999999997</v>
      </c>
      <c r="D14">
        <v>4.5</v>
      </c>
      <c r="E14">
        <v>41.296999999999997</v>
      </c>
      <c r="F14">
        <v>3.2829999999999999</v>
      </c>
    </row>
    <row r="15" spans="1:6" x14ac:dyDescent="0.25">
      <c r="A15" t="s">
        <v>2</v>
      </c>
      <c r="B15">
        <v>2016</v>
      </c>
      <c r="C15">
        <v>40.679000000000002</v>
      </c>
      <c r="D15">
        <v>4.5</v>
      </c>
      <c r="E15">
        <v>45.283000000000001</v>
      </c>
      <c r="F15">
        <v>4.1520000000000001</v>
      </c>
    </row>
    <row r="16" spans="1:6" x14ac:dyDescent="0.25">
      <c r="A16" t="s">
        <v>2</v>
      </c>
      <c r="B16">
        <v>2017</v>
      </c>
      <c r="C16">
        <v>42.338999999999999</v>
      </c>
      <c r="D16">
        <v>4.5</v>
      </c>
      <c r="E16">
        <v>50.290999999999997</v>
      </c>
      <c r="F16">
        <v>5.4269999999999996</v>
      </c>
    </row>
    <row r="17" spans="1:6" x14ac:dyDescent="0.25">
      <c r="A17" t="s">
        <v>2</v>
      </c>
      <c r="B17">
        <v>2018</v>
      </c>
      <c r="C17">
        <v>45.277000000000001</v>
      </c>
      <c r="D17">
        <v>4.5069999999999997</v>
      </c>
      <c r="E17">
        <v>52.564999999999998</v>
      </c>
      <c r="F17">
        <v>6.4169999999999998</v>
      </c>
    </row>
    <row r="18" spans="1:6" x14ac:dyDescent="0.25">
      <c r="A18" t="s">
        <v>2</v>
      </c>
      <c r="B18">
        <v>2019</v>
      </c>
    </row>
    <row r="19" spans="1:6" x14ac:dyDescent="0.25">
      <c r="A19" t="s">
        <v>2</v>
      </c>
      <c r="B19">
        <v>2020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I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RowHeight="15" x14ac:dyDescent="0.25"/>
  <cols>
    <col min="9" max="9" width="12.140625" bestFit="1" customWidth="1"/>
  </cols>
  <sheetData>
    <row r="1" spans="1:9" ht="45" x14ac:dyDescent="0.25">
      <c r="A1" s="2" t="s">
        <v>149</v>
      </c>
      <c r="B1" s="14" t="s">
        <v>147</v>
      </c>
      <c r="C1" s="14" t="s">
        <v>64</v>
      </c>
      <c r="D1" s="23" t="s">
        <v>148</v>
      </c>
      <c r="E1" s="24" t="s">
        <v>145</v>
      </c>
      <c r="F1" s="24" t="s">
        <v>146</v>
      </c>
      <c r="G1" s="14" t="s">
        <v>224</v>
      </c>
    </row>
    <row r="2" spans="1:9" ht="30" customHeight="1" x14ac:dyDescent="0.25">
      <c r="A2" s="20" t="s">
        <v>1</v>
      </c>
      <c r="B2" s="20" t="s">
        <v>3</v>
      </c>
      <c r="C2" s="1">
        <v>40</v>
      </c>
      <c r="D2" s="20">
        <f>D6</f>
        <v>630000</v>
      </c>
      <c r="E2" s="20">
        <f t="shared" ref="E2:F2" si="0">E6</f>
        <v>11440</v>
      </c>
      <c r="F2" s="21">
        <f t="shared" si="0"/>
        <v>0</v>
      </c>
      <c r="G2" s="1">
        <f>ROUND((WACC!$B$2*(1+WACC!$B$2)^$C2)/((1+WACC!$B$2)^$C2-1)*$D2,0)</f>
        <v>36715</v>
      </c>
      <c r="H2" s="30"/>
      <c r="I2" s="31"/>
    </row>
    <row r="3" spans="1:9" ht="30" customHeight="1" x14ac:dyDescent="0.25">
      <c r="A3" s="20" t="s">
        <v>1</v>
      </c>
      <c r="B3" s="20" t="s">
        <v>4</v>
      </c>
      <c r="C3" s="1">
        <f>C7</f>
        <v>50</v>
      </c>
      <c r="D3" s="20">
        <f t="shared" ref="D3:F5" si="1">D7</f>
        <v>2800000</v>
      </c>
      <c r="E3" s="20">
        <f t="shared" si="1"/>
        <v>47500</v>
      </c>
      <c r="F3" s="21">
        <f t="shared" si="1"/>
        <v>0</v>
      </c>
      <c r="G3" s="1">
        <f>ROUND((WACC!$B$2*(1+WACC!$B$2)^$C3)/((1+WACC!$B$2)^$C3-1)*$D3,0)</f>
        <v>153375</v>
      </c>
      <c r="I3" s="25"/>
    </row>
    <row r="4" spans="1:9" x14ac:dyDescent="0.25">
      <c r="A4" t="s">
        <v>1</v>
      </c>
      <c r="B4" t="s">
        <v>5</v>
      </c>
      <c r="C4" s="1">
        <f>C8</f>
        <v>30</v>
      </c>
      <c r="D4" s="20">
        <f t="shared" si="1"/>
        <v>1040000</v>
      </c>
      <c r="E4" s="20">
        <f t="shared" si="1"/>
        <v>12600</v>
      </c>
      <c r="F4" s="21">
        <f t="shared" si="1"/>
        <v>1.35</v>
      </c>
      <c r="G4" s="1">
        <f>ROUND((WACC!$B$2*(1+WACC!$B$2)^$C4)/((1+WACC!$B$2)^$C4-1)*$D4,0)</f>
        <v>67653</v>
      </c>
      <c r="I4" s="25"/>
    </row>
    <row r="5" spans="1:9" x14ac:dyDescent="0.25">
      <c r="A5" t="s">
        <v>1</v>
      </c>
      <c r="B5" t="s">
        <v>6</v>
      </c>
      <c r="C5" s="1">
        <f>C9</f>
        <v>30</v>
      </c>
      <c r="D5" s="20">
        <f t="shared" si="1"/>
        <v>1930000</v>
      </c>
      <c r="E5" s="20">
        <f t="shared" si="1"/>
        <v>36053</v>
      </c>
      <c r="F5" s="21">
        <f t="shared" si="1"/>
        <v>2.7</v>
      </c>
      <c r="G5" s="1">
        <f>ROUND((WACC!$B$2*(1+WACC!$B$2)^$C5)/((1+WACC!$B$2)^$C5-1)*$D5,0)</f>
        <v>125549</v>
      </c>
      <c r="I5" s="25"/>
    </row>
    <row r="6" spans="1:9" x14ac:dyDescent="0.25">
      <c r="A6" t="s">
        <v>2</v>
      </c>
      <c r="B6" s="20" t="s">
        <v>3</v>
      </c>
      <c r="C6" s="1">
        <v>40</v>
      </c>
      <c r="D6" s="1">
        <v>630000</v>
      </c>
      <c r="E6" s="1">
        <v>11440</v>
      </c>
      <c r="F6" s="7">
        <v>0</v>
      </c>
      <c r="G6" s="1">
        <f>ROUND((WACC!$B$3*(1+WACC!$B$3)^$C6)/((1+WACC!$B$3)^$C6-1)*$D6,0)</f>
        <v>27255</v>
      </c>
      <c r="I6" s="25"/>
    </row>
    <row r="7" spans="1:9" x14ac:dyDescent="0.25">
      <c r="A7" t="s">
        <v>2</v>
      </c>
      <c r="B7" s="20" t="s">
        <v>4</v>
      </c>
      <c r="C7" s="1">
        <v>50</v>
      </c>
      <c r="D7" s="22">
        <v>2800000</v>
      </c>
      <c r="E7" s="1">
        <v>47500</v>
      </c>
      <c r="F7" s="7">
        <v>0</v>
      </c>
      <c r="G7" s="1">
        <f>ROUND((WACC!$B$3*(1+WACC!$B$3)^$C7)/((1+WACC!$B$3)^$C7-1)*$D7,0)</f>
        <v>108823</v>
      </c>
      <c r="I7" s="25"/>
    </row>
    <row r="8" spans="1:9" x14ac:dyDescent="0.25">
      <c r="A8" t="s">
        <v>2</v>
      </c>
      <c r="B8" t="s">
        <v>5</v>
      </c>
      <c r="C8" s="1">
        <v>30</v>
      </c>
      <c r="D8" s="1">
        <v>1040000</v>
      </c>
      <c r="E8" s="1">
        <v>12600</v>
      </c>
      <c r="F8" s="7">
        <v>1.35</v>
      </c>
      <c r="G8" s="1">
        <f>ROUND((WACC!$B$3*(1+WACC!$B$3)^$C8)/((1+WACC!$B$3)^$C8-1)*$D8,0)</f>
        <v>53060</v>
      </c>
      <c r="I8" s="25"/>
    </row>
    <row r="9" spans="1:9" x14ac:dyDescent="0.25">
      <c r="A9" t="s">
        <v>2</v>
      </c>
      <c r="B9" t="s">
        <v>6</v>
      </c>
      <c r="C9" s="1">
        <v>30</v>
      </c>
      <c r="D9" s="1">
        <v>1930000</v>
      </c>
      <c r="E9" s="1">
        <v>36053</v>
      </c>
      <c r="F9" s="7">
        <v>2.7</v>
      </c>
      <c r="G9" s="1">
        <f>ROUND((WACC!$B$3*(1+WACC!$B$3)^$C9)/((1+WACC!$B$3)^$C9-1)*$D9,0)</f>
        <v>98467</v>
      </c>
      <c r="I9" s="25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O15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E8" sqref="E8"/>
    </sheetView>
  </sheetViews>
  <sheetFormatPr baseColWidth="10" defaultRowHeight="15" x14ac:dyDescent="0.25"/>
  <cols>
    <col min="4" max="7" width="11.42578125" customWidth="1"/>
  </cols>
  <sheetData>
    <row r="1" spans="1:15" s="15" customFormat="1" ht="30" x14ac:dyDescent="0.25">
      <c r="A1" s="14" t="s">
        <v>149</v>
      </c>
      <c r="B1" s="14" t="s">
        <v>147</v>
      </c>
      <c r="C1" s="14" t="s">
        <v>64</v>
      </c>
      <c r="D1" s="14" t="s">
        <v>118</v>
      </c>
      <c r="E1" s="14" t="s">
        <v>119</v>
      </c>
      <c r="F1" s="24" t="s">
        <v>145</v>
      </c>
      <c r="G1" s="24" t="s">
        <v>146</v>
      </c>
      <c r="H1" s="14" t="s">
        <v>120</v>
      </c>
      <c r="I1" s="14" t="s">
        <v>121</v>
      </c>
    </row>
    <row r="2" spans="1:15" x14ac:dyDescent="0.25">
      <c r="A2" t="s">
        <v>1</v>
      </c>
      <c r="B2" t="s">
        <v>122</v>
      </c>
      <c r="C2">
        <v>50</v>
      </c>
      <c r="D2" s="1">
        <v>3000000</v>
      </c>
      <c r="E2" s="1">
        <v>6500</v>
      </c>
      <c r="F2" s="1">
        <v>9000</v>
      </c>
      <c r="G2">
        <v>0</v>
      </c>
      <c r="H2" s="1">
        <f>D2*(WACC!$B$2*(1+WACC!$B$2)^$C2)/((1+WACC!$B$2)^$C2-1)</f>
        <v>164330.20645720942</v>
      </c>
      <c r="I2" s="1">
        <f>E2*(WACC!$B$3*(1+WACC!$B$3)^$C2)/((1+WACC!$B$3)^$C2-1)</f>
        <v>252.62571387089088</v>
      </c>
      <c r="N2" s="1"/>
      <c r="O2" s="1"/>
    </row>
    <row r="3" spans="1:15" x14ac:dyDescent="0.25">
      <c r="A3" t="s">
        <v>1</v>
      </c>
      <c r="B3" t="s">
        <v>123</v>
      </c>
      <c r="C3">
        <v>50</v>
      </c>
      <c r="D3" s="1">
        <v>3000000</v>
      </c>
      <c r="E3" s="1">
        <v>6500</v>
      </c>
      <c r="F3" s="1">
        <v>9000</v>
      </c>
      <c r="G3" s="1">
        <v>0</v>
      </c>
      <c r="H3" s="1">
        <f>D3*(WACC!$B$2*(1+WACC!$B$2)^$C3)/((1+WACC!$B$2)^$C3-1)</f>
        <v>164330.20645720942</v>
      </c>
      <c r="I3" s="1">
        <f>E3*(WACC!$B$3*(1+WACC!$B$3)^$C3)/((1+WACC!$B$3)^$C3-1)</f>
        <v>252.62571387089088</v>
      </c>
      <c r="N3" s="1"/>
      <c r="O3" s="1"/>
    </row>
    <row r="4" spans="1:15" x14ac:dyDescent="0.25">
      <c r="A4" t="s">
        <v>1</v>
      </c>
      <c r="B4" t="s">
        <v>124</v>
      </c>
      <c r="C4">
        <v>50</v>
      </c>
      <c r="D4" s="1">
        <v>3000000</v>
      </c>
      <c r="E4" s="1">
        <v>6500</v>
      </c>
      <c r="F4" s="1">
        <v>9000</v>
      </c>
      <c r="G4" s="1">
        <v>0</v>
      </c>
      <c r="H4" s="1">
        <f>D4*(WACC!$B$2*(1+WACC!$B$2)^$C4)/((1+WACC!$B$2)^$C4-1)</f>
        <v>164330.20645720942</v>
      </c>
      <c r="I4" s="1">
        <f>E4*(WACC!$B$3*(1+WACC!$B$3)^$C4)/((1+WACC!$B$3)^$C4-1)</f>
        <v>252.62571387089088</v>
      </c>
      <c r="N4" s="1"/>
      <c r="O4" s="1"/>
    </row>
    <row r="5" spans="1:15" x14ac:dyDescent="0.25">
      <c r="A5" t="s">
        <v>1</v>
      </c>
      <c r="B5" t="s">
        <v>125</v>
      </c>
      <c r="C5">
        <v>50</v>
      </c>
      <c r="D5" s="1">
        <v>2400000</v>
      </c>
      <c r="E5" s="1">
        <v>6500</v>
      </c>
      <c r="F5" s="1">
        <v>8000</v>
      </c>
      <c r="G5" s="1">
        <v>0</v>
      </c>
      <c r="H5" s="1">
        <f>D5*(WACC!$B$2*(1+WACC!$B$2)^$C5)/((1+WACC!$B$2)^$C5-1)</f>
        <v>131464.16516576754</v>
      </c>
      <c r="I5" s="1">
        <f>E5*(WACC!$B$3*(1+WACC!$B$3)^$C5)/((1+WACC!$B$3)^$C5-1)</f>
        <v>252.62571387089088</v>
      </c>
      <c r="N5" s="1"/>
      <c r="O5" s="1"/>
    </row>
    <row r="6" spans="1:15" x14ac:dyDescent="0.25">
      <c r="A6" t="s">
        <v>1</v>
      </c>
      <c r="B6" t="s">
        <v>126</v>
      </c>
      <c r="C6">
        <v>50</v>
      </c>
      <c r="D6" s="1">
        <v>2400000</v>
      </c>
      <c r="E6" s="1">
        <v>6500</v>
      </c>
      <c r="F6" s="1">
        <v>8000</v>
      </c>
      <c r="G6" s="1">
        <v>0</v>
      </c>
      <c r="H6" s="1">
        <f>D6*(WACC!$B$2*(1+WACC!$B$2)^$C6)/((1+WACC!$B$2)^$C6-1)</f>
        <v>131464.16516576754</v>
      </c>
      <c r="I6" s="1">
        <f>E6*(WACC!$B$3*(1+WACC!$B$3)^$C6)/((1+WACC!$B$3)^$C6-1)</f>
        <v>252.62571387089088</v>
      </c>
    </row>
    <row r="7" spans="1:15" x14ac:dyDescent="0.25">
      <c r="A7" t="s">
        <v>1</v>
      </c>
      <c r="B7" t="s">
        <v>127</v>
      </c>
      <c r="C7">
        <v>50</v>
      </c>
      <c r="D7" s="1">
        <v>2400000</v>
      </c>
      <c r="E7" s="1">
        <v>6500</v>
      </c>
      <c r="F7" s="1">
        <v>8000</v>
      </c>
      <c r="G7" s="1">
        <v>0</v>
      </c>
      <c r="H7" s="1">
        <f>D7*(WACC!$B$2*(1+WACC!$B$2)^$C7)/((1+WACC!$B$2)^$C7-1)</f>
        <v>131464.16516576754</v>
      </c>
      <c r="I7" s="1">
        <f>E7*(WACC!$B$3*(1+WACC!$B$3)^$C7)/((1+WACC!$B$3)^$C7-1)</f>
        <v>252.62571387089088</v>
      </c>
    </row>
    <row r="8" spans="1:15" x14ac:dyDescent="0.25">
      <c r="A8" t="s">
        <v>1</v>
      </c>
      <c r="B8" t="s">
        <v>117</v>
      </c>
      <c r="C8">
        <v>25</v>
      </c>
      <c r="D8" s="1">
        <v>160000</v>
      </c>
      <c r="E8" s="1">
        <v>142000</v>
      </c>
      <c r="F8" s="1">
        <v>540</v>
      </c>
      <c r="G8" s="8">
        <v>1.8</v>
      </c>
      <c r="H8" s="1">
        <f>D8*(WACC!$B$2*(1+WACC!$B$2)^$C8)/((1+WACC!$B$2)^$C8-1)</f>
        <v>11352.393167876739</v>
      </c>
      <c r="I8" s="1">
        <f>E8*(WACC!$B$3*(1+WACC!$B$3)^$C8)/((1+WACC!$B$3)^$C8-1)</f>
        <v>8154.7576875561499</v>
      </c>
    </row>
    <row r="9" spans="1:15" x14ac:dyDescent="0.25">
      <c r="D9" s="8"/>
      <c r="E9" s="6"/>
      <c r="F9" s="6"/>
      <c r="G9" s="6"/>
      <c r="H9" s="7"/>
    </row>
    <row r="10" spans="1:15" x14ac:dyDescent="0.25">
      <c r="D10" s="8"/>
      <c r="E10" s="6"/>
      <c r="F10" s="6"/>
      <c r="G10" s="6"/>
      <c r="H10" s="7"/>
    </row>
    <row r="11" spans="1:15" x14ac:dyDescent="0.25">
      <c r="E11" s="9"/>
      <c r="F11" s="9"/>
      <c r="G11" s="9"/>
      <c r="H11" s="7"/>
    </row>
    <row r="14" spans="1:15" x14ac:dyDescent="0.25">
      <c r="D14" s="8"/>
      <c r="E14" s="9"/>
      <c r="F14" s="9"/>
      <c r="G14" s="9"/>
      <c r="H14" s="7"/>
    </row>
    <row r="15" spans="1:15" x14ac:dyDescent="0.25">
      <c r="D15" s="8"/>
      <c r="E15" s="1"/>
      <c r="F15" s="1"/>
      <c r="G15" s="1"/>
      <c r="H15" s="7"/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S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10" sqref="R10"/>
    </sheetView>
  </sheetViews>
  <sheetFormatPr baseColWidth="10" defaultRowHeight="15" x14ac:dyDescent="0.25"/>
  <cols>
    <col min="2" max="2" width="14.140625" bestFit="1" customWidth="1"/>
  </cols>
  <sheetData>
    <row r="1" spans="1:19" x14ac:dyDescent="0.25">
      <c r="A1" s="2" t="s">
        <v>18</v>
      </c>
      <c r="B1" s="2" t="s">
        <v>65</v>
      </c>
      <c r="C1" s="28" t="s">
        <v>66</v>
      </c>
      <c r="D1" s="28" t="s">
        <v>67</v>
      </c>
      <c r="E1" s="28" t="s">
        <v>68</v>
      </c>
      <c r="F1" s="28" t="s">
        <v>69</v>
      </c>
      <c r="G1" s="28" t="s">
        <v>70</v>
      </c>
      <c r="H1" s="28" t="s">
        <v>71</v>
      </c>
      <c r="I1" s="28" t="s">
        <v>72</v>
      </c>
      <c r="J1" s="28" t="s">
        <v>73</v>
      </c>
      <c r="K1" s="28" t="s">
        <v>74</v>
      </c>
      <c r="L1" s="28" t="s">
        <v>75</v>
      </c>
      <c r="M1" s="2" t="s">
        <v>76</v>
      </c>
      <c r="N1" s="2" t="s">
        <v>77</v>
      </c>
      <c r="O1" s="2" t="s">
        <v>64</v>
      </c>
      <c r="P1" s="2" t="s">
        <v>78</v>
      </c>
      <c r="Q1" s="2" t="s">
        <v>79</v>
      </c>
    </row>
    <row r="2" spans="1:19" x14ac:dyDescent="0.25">
      <c r="A2">
        <v>10</v>
      </c>
      <c r="B2" t="s">
        <v>80</v>
      </c>
      <c r="C2" s="18">
        <v>24</v>
      </c>
      <c r="D2" s="18">
        <v>4</v>
      </c>
      <c r="E2" s="18">
        <v>12</v>
      </c>
      <c r="F2" s="18">
        <v>18</v>
      </c>
      <c r="G2" s="18">
        <v>30</v>
      </c>
      <c r="H2" s="18">
        <v>1.95</v>
      </c>
      <c r="I2" s="18">
        <v>2.0625</v>
      </c>
      <c r="J2" s="18">
        <v>3.05</v>
      </c>
      <c r="K2" s="18">
        <v>1</v>
      </c>
      <c r="L2" s="18">
        <v>0.62</v>
      </c>
      <c r="M2" s="8">
        <f>LOOKUP($A2,tech_full!$A$3:$A$38,tech_full!$T$3:$T$38)</f>
        <v>2.5</v>
      </c>
      <c r="N2" s="1">
        <f>LOOKUP($A2,tech_full!$A$3:$A$38,tech_full!$U$3:$U$38)</f>
        <v>121800.00000000001</v>
      </c>
      <c r="O2" s="1">
        <f>LOOKUP($A2,tech_full!$A$3:$A$38,tech_full!$V$3:$V$38)</f>
        <v>40</v>
      </c>
      <c r="P2" s="1">
        <f>LOOKUP($A2,tech_full!$A$3:$A$38,tech_full!$S$3:$S$38)*1000</f>
        <v>5800000</v>
      </c>
      <c r="Q2" s="1">
        <f>P2*(WACC!$B$2*(1+WACC!$B$2)^$O2)/((1+WACC!$B$2)^$O2-1)</f>
        <v>338013.33476300299</v>
      </c>
      <c r="S2" s="7"/>
    </row>
    <row r="3" spans="1:19" x14ac:dyDescent="0.25">
      <c r="A3">
        <v>20</v>
      </c>
      <c r="B3" t="s">
        <v>81</v>
      </c>
      <c r="C3" s="18">
        <v>12</v>
      </c>
      <c r="D3" s="18">
        <v>4</v>
      </c>
      <c r="E3" s="18">
        <v>12</v>
      </c>
      <c r="F3" s="18">
        <v>18</v>
      </c>
      <c r="G3" s="18">
        <v>30</v>
      </c>
      <c r="H3" s="18">
        <v>3.95</v>
      </c>
      <c r="I3" s="18">
        <v>4.4000000000000004</v>
      </c>
      <c r="J3" s="18">
        <v>6</v>
      </c>
      <c r="K3" s="18">
        <v>1</v>
      </c>
      <c r="L3" s="18">
        <v>0.65</v>
      </c>
      <c r="M3" s="8">
        <f>LOOKUP($A3,tech_full!$A$3:$A$38,tech_full!$T$3:$T$38)</f>
        <v>2</v>
      </c>
      <c r="N3" s="1">
        <f>LOOKUP($A3,tech_full!$A$3:$A$38,tech_full!$U$3:$U$38)</f>
        <v>60000</v>
      </c>
      <c r="O3" s="1">
        <f>LOOKUP($A3,tech_full!$A$3:$A$38,tech_full!$V$3:$V$38)</f>
        <v>40</v>
      </c>
      <c r="P3" s="1">
        <f>LOOKUP($A3,tech_full!$A$3:$A$38,tech_full!$S$3:$S$38)*1000</f>
        <v>1700000</v>
      </c>
      <c r="Q3" s="1">
        <f>P3*(WACC!$B$2*(1+WACC!$B$2)^$O3)/((1+WACC!$B$2)^$O3-1)</f>
        <v>99072.873982259509</v>
      </c>
      <c r="S3" s="7"/>
    </row>
    <row r="4" spans="1:19" x14ac:dyDescent="0.25">
      <c r="A4">
        <v>20.5</v>
      </c>
      <c r="B4" t="s">
        <v>82</v>
      </c>
      <c r="C4" s="18">
        <v>12</v>
      </c>
      <c r="D4" s="18">
        <v>4</v>
      </c>
      <c r="E4" s="18">
        <v>12</v>
      </c>
      <c r="F4" s="18">
        <v>18</v>
      </c>
      <c r="G4" s="18">
        <v>30</v>
      </c>
      <c r="H4" s="18">
        <v>3.95</v>
      </c>
      <c r="I4" s="18">
        <v>4.4000000000000004</v>
      </c>
      <c r="J4" s="18">
        <v>6</v>
      </c>
      <c r="K4" s="18">
        <v>1</v>
      </c>
      <c r="L4" s="18">
        <v>0.55000000000000004</v>
      </c>
      <c r="M4" s="8">
        <f>LOOKUP($A4,tech_full!$A$3:$A$38,tech_full!$T$3:$T$38)</f>
        <v>2</v>
      </c>
      <c r="N4" s="1">
        <f>LOOKUP($A4,tech_full!$A$3:$A$38,tech_full!$U$3:$U$38)</f>
        <v>60000</v>
      </c>
      <c r="O4" s="1">
        <f>LOOKUP($A4,tech_full!$A$3:$A$38,tech_full!$V$3:$V$38)</f>
        <v>40</v>
      </c>
      <c r="P4" s="1">
        <f>LOOKUP($A4,tech_full!$A$3:$A$38,tech_full!$S$3:$S$38)*1000</f>
        <v>1700000</v>
      </c>
      <c r="Q4" s="1">
        <f>P4*(WACC!$B$2*(1+WACC!$B$2)^$O4)/((1+WACC!$B$2)^$O4-1)</f>
        <v>99072.873982259509</v>
      </c>
      <c r="S4" s="7"/>
    </row>
    <row r="5" spans="1:19" x14ac:dyDescent="0.25">
      <c r="A5">
        <v>21</v>
      </c>
      <c r="B5" t="s">
        <v>83</v>
      </c>
      <c r="C5" s="18">
        <v>2</v>
      </c>
      <c r="D5" s="18">
        <v>4</v>
      </c>
      <c r="E5" s="18">
        <v>8</v>
      </c>
      <c r="F5" s="18">
        <v>14</v>
      </c>
      <c r="G5" s="18">
        <v>24</v>
      </c>
      <c r="H5" s="18">
        <v>3.7</v>
      </c>
      <c r="I5" s="18">
        <v>4.25</v>
      </c>
      <c r="J5" s="18">
        <v>5.5</v>
      </c>
      <c r="K5" s="18">
        <v>0.75</v>
      </c>
      <c r="L5" s="18">
        <v>0.4</v>
      </c>
      <c r="M5" s="8">
        <f>LOOKUP($A5,tech_full!$A$3:$A$38,tech_full!$T$3:$T$38)</f>
        <v>4.5</v>
      </c>
      <c r="N5" s="1">
        <f>LOOKUP($A5,tech_full!$A$3:$A$38,tech_full!$U$3:$U$38)</f>
        <v>50000</v>
      </c>
      <c r="O5" s="1">
        <f>LOOKUP($A5,tech_full!$A$3:$A$38,tech_full!$V$3:$V$38)</f>
        <v>40</v>
      </c>
      <c r="P5" s="1">
        <f>LOOKUP($A5,tech_full!$A$3:$A$38,tech_full!$S$3:$S$38)*1000</f>
        <v>2000000</v>
      </c>
      <c r="Q5" s="1">
        <f>P5*(WACC!$B$2*(1+WACC!$B$2)^$O5)/((1+WACC!$B$2)^$O5-1)</f>
        <v>116556.32233207001</v>
      </c>
      <c r="S5" s="7"/>
    </row>
    <row r="6" spans="1:19" x14ac:dyDescent="0.25">
      <c r="A6">
        <v>21.5</v>
      </c>
      <c r="B6" t="s">
        <v>84</v>
      </c>
      <c r="C6" s="18">
        <v>2</v>
      </c>
      <c r="D6" s="18">
        <v>4</v>
      </c>
      <c r="E6" s="18">
        <v>8</v>
      </c>
      <c r="F6" s="18">
        <v>14</v>
      </c>
      <c r="G6" s="18">
        <v>24</v>
      </c>
      <c r="H6" s="18">
        <v>3.7</v>
      </c>
      <c r="I6" s="18">
        <v>4.25</v>
      </c>
      <c r="J6" s="18">
        <v>5.5</v>
      </c>
      <c r="K6" s="18">
        <v>0.75</v>
      </c>
      <c r="L6" s="18">
        <v>0.35</v>
      </c>
      <c r="M6" s="8">
        <f>LOOKUP($A6,tech_full!$A$3:$A$38,tech_full!$T$3:$T$38)</f>
        <v>4.5</v>
      </c>
      <c r="N6" s="1">
        <f>LOOKUP($A6,tech_full!$A$3:$A$38,tech_full!$U$3:$U$38)</f>
        <v>52625</v>
      </c>
      <c r="O6" s="1">
        <f>LOOKUP($A6,tech_full!$A$3:$A$38,tech_full!$V$3:$V$38)</f>
        <v>40</v>
      </c>
      <c r="P6" s="1">
        <f>LOOKUP($A6,tech_full!$A$3:$A$38,tech_full!$S$3:$S$38)*1000</f>
        <v>2105000</v>
      </c>
      <c r="Q6" s="1">
        <f>P6*(WACC!$B$2*(1+WACC!$B$2)^$O6)/((1+WACC!$B$2)^$O6-1)</f>
        <v>122675.52925450366</v>
      </c>
      <c r="S6" s="7"/>
    </row>
    <row r="7" spans="1:19" x14ac:dyDescent="0.25">
      <c r="A7">
        <v>30</v>
      </c>
      <c r="B7" t="s">
        <v>85</v>
      </c>
      <c r="C7" s="18">
        <v>6</v>
      </c>
      <c r="D7" s="18">
        <v>6</v>
      </c>
      <c r="E7" s="18">
        <v>8</v>
      </c>
      <c r="F7" s="18">
        <v>14</v>
      </c>
      <c r="G7" s="18">
        <v>24</v>
      </c>
      <c r="H7" s="18">
        <v>3.95</v>
      </c>
      <c r="I7" s="18">
        <v>4.4000000000000004</v>
      </c>
      <c r="J7" s="18">
        <v>6</v>
      </c>
      <c r="K7" s="18">
        <v>1</v>
      </c>
      <c r="L7" s="18">
        <v>0.52500000000000002</v>
      </c>
      <c r="M7" s="8">
        <f>LOOKUP($A7,tech_full!$A$3:$A$38,tech_full!$T$3:$T$38)</f>
        <v>6</v>
      </c>
      <c r="N7" s="1">
        <f>LOOKUP($A7,tech_full!$A$3:$A$38,tech_full!$U$3:$U$38)</f>
        <v>30000</v>
      </c>
      <c r="O7" s="1">
        <f>LOOKUP($A7,tech_full!$A$3:$A$38,tech_full!$V$3:$V$38)</f>
        <v>40</v>
      </c>
      <c r="P7" s="1">
        <f>LOOKUP($A7,tech_full!$A$3:$A$38,tech_full!$S$3:$S$38)*1000</f>
        <v>1200000</v>
      </c>
      <c r="Q7" s="1">
        <f>P7*(WACC!$B$2*(1+WACC!$B$2)^$O7)/((1+WACC!$B$2)^$O7-1)</f>
        <v>69933.793399242</v>
      </c>
      <c r="S7" s="7"/>
    </row>
    <row r="8" spans="1:19" x14ac:dyDescent="0.25">
      <c r="A8">
        <v>30.5</v>
      </c>
      <c r="B8" t="s">
        <v>86</v>
      </c>
      <c r="C8" s="18">
        <v>6</v>
      </c>
      <c r="D8" s="18">
        <v>6</v>
      </c>
      <c r="E8" s="18">
        <v>8</v>
      </c>
      <c r="F8" s="18">
        <v>14</v>
      </c>
      <c r="G8" s="18">
        <v>24</v>
      </c>
      <c r="H8" s="18">
        <v>3.95</v>
      </c>
      <c r="I8" s="18">
        <v>4.4000000000000004</v>
      </c>
      <c r="J8" s="18">
        <v>6</v>
      </c>
      <c r="K8" s="18">
        <v>1</v>
      </c>
      <c r="L8" s="18">
        <v>0.52500000000000002</v>
      </c>
      <c r="M8" s="8">
        <f>LOOKUP($A8,tech_full!$A$3:$A$38,tech_full!$T$3:$T$38)</f>
        <v>6</v>
      </c>
      <c r="N8" s="1">
        <f>LOOKUP($A8,tech_full!$A$3:$A$38,tech_full!$U$3:$U$38)</f>
        <v>30000</v>
      </c>
      <c r="O8" s="1">
        <f>LOOKUP($A8,tech_full!$A$3:$A$38,tech_full!$V$3:$V$38)</f>
        <v>40</v>
      </c>
      <c r="P8" s="1">
        <f>LOOKUP($A8,tech_full!$A$3:$A$38,tech_full!$S$3:$S$38)*1000</f>
        <v>1263000</v>
      </c>
      <c r="Q8" s="1">
        <f>P8*(WACC!$B$2*(1+WACC!$B$2)^$O8)/((1+WACC!$B$2)^$O8-1)</f>
        <v>73605.31755270221</v>
      </c>
      <c r="S8" s="7"/>
    </row>
    <row r="9" spans="1:19" x14ac:dyDescent="0.25">
      <c r="A9">
        <v>31</v>
      </c>
      <c r="B9" t="s">
        <v>87</v>
      </c>
      <c r="C9" s="18">
        <v>4</v>
      </c>
      <c r="D9" s="18">
        <v>2</v>
      </c>
      <c r="E9" s="18">
        <v>8</v>
      </c>
      <c r="F9" s="18">
        <v>14</v>
      </c>
      <c r="G9" s="18">
        <v>24</v>
      </c>
      <c r="H9" s="18">
        <v>3.7</v>
      </c>
      <c r="I9" s="18">
        <v>4.25</v>
      </c>
      <c r="J9" s="18">
        <v>5.5</v>
      </c>
      <c r="K9" s="18">
        <v>0.75</v>
      </c>
      <c r="L9" s="18">
        <v>0.4</v>
      </c>
      <c r="M9" s="8">
        <f>LOOKUP($A9,tech_full!$A$3:$A$38,tech_full!$T$3:$T$38)</f>
        <v>6</v>
      </c>
      <c r="N9" s="1">
        <f>LOOKUP($A9,tech_full!$A$3:$A$38,tech_full!$U$3:$U$38)</f>
        <v>25000</v>
      </c>
      <c r="O9" s="1">
        <f>LOOKUP($A9,tech_full!$A$3:$A$38,tech_full!$V$3:$V$38)</f>
        <v>40</v>
      </c>
      <c r="P9" s="1">
        <f>LOOKUP($A9,tech_full!$A$3:$A$38,tech_full!$S$3:$S$38)*1000</f>
        <v>1300000</v>
      </c>
      <c r="Q9" s="1">
        <f>P9*(WACC!$B$2*(1+WACC!$B$2)^$O9)/((1+WACC!$B$2)^$O9-1)</f>
        <v>75761.609515845499</v>
      </c>
      <c r="S9" s="7"/>
    </row>
    <row r="10" spans="1:19" x14ac:dyDescent="0.25">
      <c r="A10">
        <v>31.5</v>
      </c>
      <c r="B10" t="s">
        <v>88</v>
      </c>
      <c r="C10" s="18">
        <v>4</v>
      </c>
      <c r="D10" s="18">
        <v>2</v>
      </c>
      <c r="E10" s="18">
        <v>8</v>
      </c>
      <c r="F10" s="18">
        <v>14</v>
      </c>
      <c r="G10" s="18">
        <v>24</v>
      </c>
      <c r="H10" s="18">
        <v>3.7</v>
      </c>
      <c r="I10" s="18">
        <v>4.25</v>
      </c>
      <c r="J10" s="18">
        <v>5.5</v>
      </c>
      <c r="K10" s="18">
        <v>0.75</v>
      </c>
      <c r="L10" s="18">
        <v>0.4</v>
      </c>
      <c r="M10" s="8">
        <f>LOOKUP($A10,tech_full!$A$3:$A$38,tech_full!$T$3:$T$38)</f>
        <v>6</v>
      </c>
      <c r="N10" s="1">
        <f>LOOKUP($A10,tech_full!$A$3:$A$38,tech_full!$U$3:$U$38)</f>
        <v>25000</v>
      </c>
      <c r="O10" s="1">
        <f>LOOKUP($A10,tech_full!$A$3:$A$38,tech_full!$V$3:$V$38)</f>
        <v>40</v>
      </c>
      <c r="P10" s="1">
        <f>LOOKUP($A10,tech_full!$A$3:$A$38,tech_full!$S$3:$S$38)*1000</f>
        <v>1368000</v>
      </c>
      <c r="Q10" s="1">
        <f>P10*(WACC!$B$2*(1+WACC!$B$2)^$O10)/((1+WACC!$B$2)^$O10-1)</f>
        <v>79724.524475135884</v>
      </c>
      <c r="S10" s="7"/>
    </row>
    <row r="11" spans="1:19" x14ac:dyDescent="0.25">
      <c r="A11">
        <v>32</v>
      </c>
      <c r="B11" t="s">
        <v>89</v>
      </c>
      <c r="C11" s="18">
        <v>4</v>
      </c>
      <c r="D11" s="18">
        <v>2</v>
      </c>
      <c r="E11" s="18">
        <v>8</v>
      </c>
      <c r="F11" s="18">
        <v>14</v>
      </c>
      <c r="G11" s="18">
        <v>24</v>
      </c>
      <c r="H11" s="18">
        <v>3.7</v>
      </c>
      <c r="I11" s="18">
        <v>4.25</v>
      </c>
      <c r="J11" s="18">
        <v>5.5</v>
      </c>
      <c r="K11" s="18">
        <v>0.625</v>
      </c>
      <c r="L11" s="18">
        <v>0.35699999999999998</v>
      </c>
      <c r="M11" s="8">
        <f>LOOKUP($A11,tech_full!$A$3:$A$38,tech_full!$T$3:$T$38)</f>
        <v>2.9</v>
      </c>
      <c r="N11" s="1">
        <f>LOOKUP($A11,tech_full!$A$3:$A$38,tech_full!$U$3:$U$38)</f>
        <v>31000</v>
      </c>
      <c r="O11" s="1">
        <f>LOOKUP($A11,tech_full!$A$3:$A$38,tech_full!$V$3:$V$38)</f>
        <v>40</v>
      </c>
      <c r="P11" s="1">
        <f>LOOKUP($A11,tech_full!$A$3:$A$38,tech_full!$S$3:$S$38)*1000</f>
        <v>1900000</v>
      </c>
      <c r="Q11" s="1">
        <f>P11*(WACC!$B$2*(1+WACC!$B$2)^$O11)/((1+WACC!$B$2)^$O11-1)</f>
        <v>110728.50621546649</v>
      </c>
      <c r="S11" s="7"/>
    </row>
    <row r="12" spans="1:19" x14ac:dyDescent="0.25">
      <c r="A12">
        <v>32.5</v>
      </c>
      <c r="B12" t="s">
        <v>90</v>
      </c>
      <c r="C12" s="18">
        <v>4</v>
      </c>
      <c r="D12" s="18">
        <v>2</v>
      </c>
      <c r="E12" s="18">
        <v>8</v>
      </c>
      <c r="F12" s="18">
        <v>14</v>
      </c>
      <c r="G12" s="18">
        <v>24</v>
      </c>
      <c r="H12" s="18">
        <v>3.7</v>
      </c>
      <c r="I12" s="18">
        <v>4.25</v>
      </c>
      <c r="J12" s="18">
        <v>5.5</v>
      </c>
      <c r="K12" s="18">
        <v>0.625</v>
      </c>
      <c r="L12" s="18">
        <v>0.375</v>
      </c>
      <c r="M12" s="8">
        <f>LOOKUP($A12,tech_full!$A$3:$A$38,tech_full!$T$3:$T$38)</f>
        <v>2.9</v>
      </c>
      <c r="N12" s="1">
        <f>LOOKUP($A12,tech_full!$A$3:$A$38,tech_full!$U$3:$U$38)</f>
        <v>31000</v>
      </c>
      <c r="O12" s="1">
        <f>LOOKUP($A12,tech_full!$A$3:$A$38,tech_full!$V$3:$V$38)</f>
        <v>40</v>
      </c>
      <c r="P12" s="1">
        <f>LOOKUP($A12,tech_full!$A$3:$A$38,tech_full!$S$3:$S$38)*1000</f>
        <v>2000000</v>
      </c>
      <c r="Q12" s="1">
        <f>P12*(WACC!$B$2*(1+WACC!$B$2)^$O12)/((1+WACC!$B$2)^$O12-1)</f>
        <v>116556.32233207001</v>
      </c>
      <c r="S12" s="7"/>
    </row>
    <row r="13" spans="1:19" x14ac:dyDescent="0.25">
      <c r="A13">
        <v>33</v>
      </c>
      <c r="B13" t="s">
        <v>91</v>
      </c>
      <c r="C13" s="18">
        <v>2</v>
      </c>
      <c r="D13" s="18">
        <v>2</v>
      </c>
      <c r="E13" s="18">
        <v>8</v>
      </c>
      <c r="F13" s="18">
        <v>12</v>
      </c>
      <c r="G13" s="18">
        <v>24</v>
      </c>
      <c r="H13" s="18">
        <v>1.6</v>
      </c>
      <c r="I13" s="18">
        <v>1.75</v>
      </c>
      <c r="J13" s="18">
        <v>2.75</v>
      </c>
      <c r="K13" s="18">
        <v>0.625</v>
      </c>
      <c r="L13" s="18">
        <v>0.2</v>
      </c>
      <c r="M13" s="8">
        <f>LOOKUP($A13,tech_full!$A$3:$A$38,tech_full!$T$3:$T$38)</f>
        <v>5</v>
      </c>
      <c r="N13" s="1">
        <f>LOOKUP($A13,tech_full!$A$3:$A$38,tech_full!$U$3:$U$38)</f>
        <v>57500</v>
      </c>
      <c r="O13" s="1">
        <f>LOOKUP($A13,tech_full!$A$3:$A$38,tech_full!$V$3:$V$38)</f>
        <v>35</v>
      </c>
      <c r="P13" s="1">
        <f>LOOKUP($A13,tech_full!$A$3:$A$38,tech_full!$S$3:$S$38)*1000</f>
        <v>2300000</v>
      </c>
      <c r="Q13" s="1">
        <f>P13*(WACC!$B$2*(1+WACC!$B$2)^$O13)/((1+WACC!$B$2)^$O13-1)</f>
        <v>140464.92663095458</v>
      </c>
      <c r="S13" s="7"/>
    </row>
    <row r="14" spans="1:19" x14ac:dyDescent="0.25">
      <c r="A14">
        <v>40</v>
      </c>
      <c r="B14" t="s">
        <v>92</v>
      </c>
      <c r="C14" s="18">
        <v>6</v>
      </c>
      <c r="D14" s="18">
        <v>1</v>
      </c>
      <c r="E14" s="18">
        <v>8</v>
      </c>
      <c r="F14" s="18">
        <v>12</v>
      </c>
      <c r="G14" s="18">
        <v>24</v>
      </c>
      <c r="H14" s="18">
        <v>1.6</v>
      </c>
      <c r="I14" s="18">
        <v>1.75</v>
      </c>
      <c r="J14" s="18">
        <v>2.75</v>
      </c>
      <c r="K14" s="18">
        <v>0.625</v>
      </c>
      <c r="L14" s="18">
        <v>0.5</v>
      </c>
      <c r="M14" s="8">
        <f>LOOKUP($A14,tech_full!$A$3:$A$38,tech_full!$T$3:$T$38)</f>
        <v>3</v>
      </c>
      <c r="N14" s="1">
        <f>LOOKUP($A14,tech_full!$A$3:$A$38,tech_full!$U$3:$U$38)</f>
        <v>15000</v>
      </c>
      <c r="O14" s="1">
        <f>LOOKUP($A14,tech_full!$A$3:$A$38,tech_full!$V$3:$V$38)</f>
        <v>30</v>
      </c>
      <c r="P14" s="1">
        <f>LOOKUP($A14,tech_full!$A$3:$A$38,tech_full!$S$3:$S$38)*1000</f>
        <v>400000</v>
      </c>
      <c r="Q14" s="1">
        <f>P14*(WACC!$B$2*(1+WACC!$B$2)^$O14)/((1+WACC!$B$2)^$O14-1)</f>
        <v>26020.574032110635</v>
      </c>
      <c r="S14" s="7"/>
    </row>
    <row r="15" spans="1:19" x14ac:dyDescent="0.25">
      <c r="A15">
        <v>40.5</v>
      </c>
      <c r="B15" t="s">
        <v>93</v>
      </c>
      <c r="C15" s="18">
        <v>6</v>
      </c>
      <c r="D15" s="18">
        <v>1</v>
      </c>
      <c r="E15" s="18">
        <v>8</v>
      </c>
      <c r="F15" s="18">
        <v>12</v>
      </c>
      <c r="G15" s="18">
        <v>24</v>
      </c>
      <c r="H15" s="18">
        <v>1.6</v>
      </c>
      <c r="I15" s="18">
        <v>1.75</v>
      </c>
      <c r="J15" s="18">
        <v>2.75</v>
      </c>
      <c r="K15" s="18">
        <v>0.625</v>
      </c>
      <c r="L15" s="18">
        <v>0.5</v>
      </c>
      <c r="M15" s="8">
        <f>LOOKUP($A15,tech_full!$A$3:$A$38,tech_full!$T$3:$T$38)</f>
        <v>3</v>
      </c>
      <c r="N15" s="1">
        <f>LOOKUP($A15,tech_full!$A$3:$A$38,tech_full!$U$3:$U$38)</f>
        <v>15000</v>
      </c>
      <c r="O15" s="1">
        <f>LOOKUP($A15,tech_full!$A$3:$A$38,tech_full!$V$3:$V$38)</f>
        <v>30</v>
      </c>
      <c r="P15" s="1">
        <f>LOOKUP($A15,tech_full!$A$3:$A$38,tech_full!$S$3:$S$38)*1000</f>
        <v>400000</v>
      </c>
      <c r="Q15" s="1">
        <f>P15*(WACC!$B$2*(1+WACC!$B$2)^$O15)/((1+WACC!$B$2)^$O15-1)</f>
        <v>26020.574032110635</v>
      </c>
      <c r="S15" s="7"/>
    </row>
    <row r="16" spans="1:19" x14ac:dyDescent="0.25">
      <c r="A16">
        <v>41</v>
      </c>
      <c r="B16" t="s">
        <v>94</v>
      </c>
      <c r="C16" s="18">
        <v>4</v>
      </c>
      <c r="D16" s="18">
        <v>1</v>
      </c>
      <c r="E16" s="18">
        <v>6</v>
      </c>
      <c r="F16" s="18">
        <v>12</v>
      </c>
      <c r="G16" s="18">
        <v>24</v>
      </c>
      <c r="H16" s="18">
        <v>1.7</v>
      </c>
      <c r="I16" s="18">
        <v>1.8125</v>
      </c>
      <c r="J16" s="18">
        <v>2.8</v>
      </c>
      <c r="K16" s="18">
        <v>0.75</v>
      </c>
      <c r="L16" s="18">
        <v>0.75</v>
      </c>
      <c r="M16" s="8">
        <f>LOOKUP($A16,tech_full!$A$3:$A$38,tech_full!$T$3:$T$38)</f>
        <v>4.5</v>
      </c>
      <c r="N16" s="1">
        <f>LOOKUP($A16,tech_full!$A$3:$A$38,tech_full!$U$3:$U$38)</f>
        <v>8068</v>
      </c>
      <c r="O16" s="1">
        <f>LOOKUP($A16,tech_full!$A$3:$A$38,tech_full!$V$3:$V$38)</f>
        <v>25</v>
      </c>
      <c r="P16" s="1">
        <f>LOOKUP($A16,tech_full!$A$3:$A$38,tech_full!$S$3:$S$38)*1000</f>
        <v>454000</v>
      </c>
      <c r="Q16" s="1">
        <f>P16*(WACC!$B$2*(1+WACC!$B$2)^$O16)/((1+WACC!$B$2)^$O16-1)</f>
        <v>32212.415613850248</v>
      </c>
      <c r="S16" s="7"/>
    </row>
    <row r="17" spans="1:19" x14ac:dyDescent="0.25">
      <c r="A17">
        <v>41.5</v>
      </c>
      <c r="B17" t="s">
        <v>95</v>
      </c>
      <c r="C17" s="18">
        <v>4</v>
      </c>
      <c r="D17" s="18">
        <v>1</v>
      </c>
      <c r="E17" s="18">
        <v>6</v>
      </c>
      <c r="F17" s="18">
        <v>12</v>
      </c>
      <c r="G17" s="18">
        <v>24</v>
      </c>
      <c r="H17" s="18">
        <v>1.7</v>
      </c>
      <c r="I17" s="18">
        <v>1.8125</v>
      </c>
      <c r="J17" s="18">
        <v>2.8</v>
      </c>
      <c r="K17" s="18">
        <v>0.75</v>
      </c>
      <c r="L17" s="18">
        <v>0.7</v>
      </c>
      <c r="M17" s="8">
        <f>LOOKUP($A17,tech_full!$A$3:$A$38,tech_full!$T$3:$T$38)</f>
        <v>4.5</v>
      </c>
      <c r="N17" s="1">
        <f>LOOKUP($A17,tech_full!$A$3:$A$38,tech_full!$U$3:$U$38)</f>
        <v>8068</v>
      </c>
      <c r="O17" s="1">
        <f>LOOKUP($A17,tech_full!$A$3:$A$38,tech_full!$V$3:$V$38)</f>
        <v>25</v>
      </c>
      <c r="P17" s="1">
        <f>LOOKUP($A17,tech_full!$A$3:$A$38,tech_full!$S$3:$S$38)*1000</f>
        <v>454000</v>
      </c>
      <c r="Q17" s="1">
        <f>P17*(WACC!$B$2*(1+WACC!$B$2)^$O17)/((1+WACC!$B$2)^$O17-1)</f>
        <v>32212.415613850248</v>
      </c>
      <c r="S17" s="7"/>
    </row>
    <row r="18" spans="1:19" x14ac:dyDescent="0.25">
      <c r="A18">
        <v>42</v>
      </c>
      <c r="B18" t="s">
        <v>96</v>
      </c>
      <c r="C18" s="18">
        <v>1</v>
      </c>
      <c r="D18" s="18">
        <v>1</v>
      </c>
      <c r="E18" s="18">
        <v>6</v>
      </c>
      <c r="F18" s="18">
        <v>12</v>
      </c>
      <c r="G18" s="18">
        <v>24</v>
      </c>
      <c r="H18" s="18">
        <v>1.45</v>
      </c>
      <c r="I18" s="18">
        <v>1.55</v>
      </c>
      <c r="J18" s="18">
        <v>2.6</v>
      </c>
      <c r="K18" s="18">
        <v>0.5</v>
      </c>
      <c r="L18" s="18">
        <v>0.7</v>
      </c>
      <c r="M18" s="8">
        <f>LOOKUP($A18,tech_full!$A$3:$A$38,tech_full!$T$3:$T$38)</f>
        <v>4.4000000000000004</v>
      </c>
      <c r="N18" s="1">
        <f>LOOKUP($A18,tech_full!$A$3:$A$38,tech_full!$U$3:$U$38)</f>
        <v>19500</v>
      </c>
      <c r="O18" s="1">
        <f>LOOKUP($A18,tech_full!$A$3:$A$38,tech_full!$V$3:$V$38)</f>
        <v>25</v>
      </c>
      <c r="P18" s="1">
        <f>LOOKUP($A18,tech_full!$A$3:$A$38,tech_full!$S$3:$S$38)*1000</f>
        <v>590000</v>
      </c>
      <c r="Q18" s="1">
        <f>P18*(WACC!$B$2*(1+WACC!$B$2)^$O18)/((1+WACC!$B$2)^$O18-1)</f>
        <v>41861.949806545475</v>
      </c>
      <c r="S18" s="7"/>
    </row>
    <row r="19" spans="1:19" x14ac:dyDescent="0.25">
      <c r="A19">
        <v>42.5</v>
      </c>
      <c r="B19" t="s">
        <v>97</v>
      </c>
      <c r="C19" s="18">
        <v>2</v>
      </c>
      <c r="D19" s="18">
        <v>1</v>
      </c>
      <c r="E19" s="18">
        <v>6</v>
      </c>
      <c r="F19" s="18">
        <v>12</v>
      </c>
      <c r="G19" s="18">
        <v>24</v>
      </c>
      <c r="H19" s="18">
        <v>1.45</v>
      </c>
      <c r="I19" s="18">
        <v>1.55</v>
      </c>
      <c r="J19" s="18">
        <v>2.6</v>
      </c>
      <c r="K19" s="18">
        <v>0.5</v>
      </c>
      <c r="L19" s="18">
        <v>0.65</v>
      </c>
      <c r="M19" s="8">
        <f>LOOKUP($A19,tech_full!$A$3:$A$38,tech_full!$T$3:$T$38)</f>
        <v>4.4000000000000004</v>
      </c>
      <c r="N19" s="1">
        <f>LOOKUP($A19,tech_full!$A$3:$A$38,tech_full!$U$3:$U$38)</f>
        <v>19500</v>
      </c>
      <c r="O19" s="1">
        <f>LOOKUP($A19,tech_full!$A$3:$A$38,tech_full!$V$3:$V$38)</f>
        <v>25</v>
      </c>
      <c r="P19" s="1">
        <f>LOOKUP($A19,tech_full!$A$3:$A$38,tech_full!$S$3:$S$38)*1000</f>
        <v>590000</v>
      </c>
      <c r="Q19" s="1">
        <f>P19*(WACC!$B$2*(1+WACC!$B$2)^$O19)/((1+WACC!$B$2)^$O19-1)</f>
        <v>41861.949806545475</v>
      </c>
      <c r="S19" s="7"/>
    </row>
    <row r="20" spans="1:19" x14ac:dyDescent="0.25">
      <c r="A20">
        <v>43</v>
      </c>
      <c r="B20" t="s">
        <v>98</v>
      </c>
      <c r="C20" s="18">
        <v>4</v>
      </c>
      <c r="D20" s="18">
        <v>1</v>
      </c>
      <c r="E20" s="18">
        <v>6</v>
      </c>
      <c r="F20" s="18">
        <v>12</v>
      </c>
      <c r="G20" s="18">
        <v>24</v>
      </c>
      <c r="H20" s="18">
        <v>1.7</v>
      </c>
      <c r="I20" s="18">
        <v>1.8125</v>
      </c>
      <c r="J20" s="18">
        <v>2.8</v>
      </c>
      <c r="K20" s="18">
        <v>0.75</v>
      </c>
      <c r="L20" s="18">
        <v>0.352112676056338</v>
      </c>
      <c r="M20" s="8">
        <f>LOOKUP($A20,tech_full!$A$3:$A$38,tech_full!$T$3:$T$38)</f>
        <v>4</v>
      </c>
      <c r="N20" s="1">
        <f>LOOKUP($A20,tech_full!$A$3:$A$38,tech_full!$U$3:$U$38)</f>
        <v>20000</v>
      </c>
      <c r="O20" s="1">
        <f>LOOKUP($A20,tech_full!$A$3:$A$38,tech_full!$V$3:$V$38)</f>
        <v>30</v>
      </c>
      <c r="P20" s="1">
        <f>LOOKUP($A20,tech_full!$A$3:$A$38,tech_full!$S$3:$S$38)*1000</f>
        <v>800000</v>
      </c>
      <c r="Q20" s="1">
        <f>P20*(WACC!$B$2*(1+WACC!$B$2)^$O20)/((1+WACC!$B$2)^$O20-1)</f>
        <v>52041.14806422127</v>
      </c>
      <c r="S20" s="7"/>
    </row>
    <row r="21" spans="1:19" x14ac:dyDescent="0.25">
      <c r="A21">
        <v>43.5</v>
      </c>
      <c r="B21" t="s">
        <v>99</v>
      </c>
      <c r="C21" s="18">
        <v>4</v>
      </c>
      <c r="D21" s="18">
        <v>1</v>
      </c>
      <c r="E21" s="18">
        <v>6</v>
      </c>
      <c r="F21" s="18">
        <v>12</v>
      </c>
      <c r="G21" s="18">
        <v>24</v>
      </c>
      <c r="H21" s="18">
        <v>1.7</v>
      </c>
      <c r="I21" s="18">
        <v>1.8125</v>
      </c>
      <c r="J21" s="18">
        <v>2.8</v>
      </c>
      <c r="K21" s="18">
        <v>0.75</v>
      </c>
      <c r="L21" s="18">
        <v>0.375</v>
      </c>
      <c r="M21" s="8">
        <f>LOOKUP($A21,tech_full!$A$3:$A$38,tech_full!$T$3:$T$38)</f>
        <v>4</v>
      </c>
      <c r="N21" s="1">
        <f>LOOKUP($A21,tech_full!$A$3:$A$38,tech_full!$U$3:$U$38)</f>
        <v>20000</v>
      </c>
      <c r="O21" s="1">
        <f>LOOKUP($A21,tech_full!$A$3:$A$38,tech_full!$V$3:$V$38)</f>
        <v>30</v>
      </c>
      <c r="P21" s="1">
        <f>LOOKUP($A21,tech_full!$A$3:$A$38,tech_full!$S$3:$S$38)*1000</f>
        <v>842000</v>
      </c>
      <c r="Q21" s="1">
        <f>P21*(WACC!$B$2*(1+WACC!$B$2)^$O21)/((1+WACC!$B$2)^$O21-1)</f>
        <v>54773.308337592884</v>
      </c>
      <c r="S21" s="7"/>
    </row>
    <row r="22" spans="1:19" x14ac:dyDescent="0.25">
      <c r="A22">
        <v>44</v>
      </c>
      <c r="B22" t="s">
        <v>100</v>
      </c>
      <c r="C22" s="18">
        <v>2</v>
      </c>
      <c r="D22" s="18">
        <v>1</v>
      </c>
      <c r="E22" s="18">
        <v>6</v>
      </c>
      <c r="F22" s="18">
        <v>12</v>
      </c>
      <c r="G22" s="18">
        <v>24</v>
      </c>
      <c r="H22" s="18">
        <v>1.55</v>
      </c>
      <c r="I22" s="18">
        <v>1.65</v>
      </c>
      <c r="J22" s="18">
        <v>2.5</v>
      </c>
      <c r="K22" s="18">
        <v>0.5</v>
      </c>
      <c r="L22" s="18">
        <v>0.49872122762148335</v>
      </c>
      <c r="M22" s="8">
        <f>LOOKUP($A22,tech_full!$A$3:$A$38,tech_full!$T$3:$T$38)</f>
        <v>4.4000000000000004</v>
      </c>
      <c r="N22" s="1">
        <f>LOOKUP($A22,tech_full!$A$3:$A$38,tech_full!$U$3:$U$38)</f>
        <v>27835</v>
      </c>
      <c r="O22" s="1">
        <f>LOOKUP($A22,tech_full!$A$3:$A$38,tech_full!$V$3:$V$38)</f>
        <v>25</v>
      </c>
      <c r="P22" s="1">
        <f>LOOKUP($A22,tech_full!$A$3:$A$38,tech_full!$S$3:$S$38)*1000</f>
        <v>836000</v>
      </c>
      <c r="Q22" s="1">
        <f>P22*(WACC!$B$2*(1+WACC!$B$2)^$O22)/((1+WACC!$B$2)^$O22-1)</f>
        <v>59316.254302155969</v>
      </c>
      <c r="S22" s="7"/>
    </row>
    <row r="23" spans="1:19" x14ac:dyDescent="0.25">
      <c r="A23">
        <v>44.5</v>
      </c>
      <c r="B23" t="s">
        <v>101</v>
      </c>
      <c r="C23" s="18">
        <v>2</v>
      </c>
      <c r="D23" s="18">
        <v>1</v>
      </c>
      <c r="E23" s="18">
        <v>6</v>
      </c>
      <c r="F23" s="18">
        <v>12</v>
      </c>
      <c r="G23" s="18">
        <v>24</v>
      </c>
      <c r="H23" s="18">
        <v>1.55</v>
      </c>
      <c r="I23" s="18">
        <v>1.65</v>
      </c>
      <c r="J23" s="18">
        <v>2.5</v>
      </c>
      <c r="K23" s="18">
        <v>0.5</v>
      </c>
      <c r="L23" s="18">
        <v>0.38</v>
      </c>
      <c r="M23" s="8">
        <f>LOOKUP($A23,tech_full!$A$3:$A$38,tech_full!$T$3:$T$38)</f>
        <v>4.4000000000000004</v>
      </c>
      <c r="N23" s="1">
        <f>LOOKUP($A23,tech_full!$A$3:$A$38,tech_full!$U$3:$U$38)</f>
        <v>29300</v>
      </c>
      <c r="O23" s="1">
        <f>LOOKUP($A23,tech_full!$A$3:$A$38,tech_full!$V$3:$V$38)</f>
        <v>25</v>
      </c>
      <c r="P23" s="1">
        <f>LOOKUP($A23,tech_full!$A$3:$A$38,tech_full!$S$3:$S$38)*1000</f>
        <v>880000</v>
      </c>
      <c r="Q23" s="1">
        <f>P23*(WACC!$B$2*(1+WACC!$B$2)^$O23)/((1+WACC!$B$2)^$O23-1)</f>
        <v>62438.162423322065</v>
      </c>
      <c r="S23" s="7"/>
    </row>
    <row r="24" spans="1:19" x14ac:dyDescent="0.25">
      <c r="A24">
        <v>45</v>
      </c>
      <c r="B24" t="s">
        <v>102</v>
      </c>
      <c r="C24" s="18">
        <v>1</v>
      </c>
      <c r="D24" s="18">
        <v>1</v>
      </c>
      <c r="E24" s="18">
        <v>6</v>
      </c>
      <c r="F24" s="18">
        <v>12</v>
      </c>
      <c r="G24" s="18">
        <v>24</v>
      </c>
      <c r="H24" s="18">
        <v>1.55</v>
      </c>
      <c r="I24" s="18">
        <v>1.65</v>
      </c>
      <c r="J24" s="18">
        <v>2.5</v>
      </c>
      <c r="K24" s="18">
        <v>0.5</v>
      </c>
      <c r="L24" s="18">
        <v>0.25</v>
      </c>
      <c r="M24" s="8">
        <f>LOOKUP($A24,tech_full!$A$3:$A$38,tech_full!$T$3:$T$38)</f>
        <v>5.4</v>
      </c>
      <c r="N24" s="1">
        <f>LOOKUP($A24,tech_full!$A$3:$A$38,tech_full!$U$3:$U$38)</f>
        <v>9262.5</v>
      </c>
      <c r="O24" s="1">
        <f>LOOKUP($A24,tech_full!$A$3:$A$38,tech_full!$V$3:$V$38)</f>
        <v>25</v>
      </c>
      <c r="P24" s="1">
        <f>LOOKUP($A24,tech_full!$A$3:$A$38,tech_full!$S$3:$S$38)*1000</f>
        <v>902500</v>
      </c>
      <c r="Q24" s="1">
        <f>P24*(WACC!$B$2*(1+WACC!$B$2)^$O24)/((1+WACC!$B$2)^$O24-1)</f>
        <v>64034.592712554731</v>
      </c>
      <c r="S24" s="7"/>
    </row>
    <row r="25" spans="1:19" x14ac:dyDescent="0.25">
      <c r="A25">
        <v>45.5</v>
      </c>
      <c r="B25" t="s">
        <v>103</v>
      </c>
      <c r="C25" s="18">
        <v>1</v>
      </c>
      <c r="D25" s="18">
        <v>1</v>
      </c>
      <c r="E25" s="18">
        <v>6</v>
      </c>
      <c r="F25" s="18">
        <v>12</v>
      </c>
      <c r="G25" s="18">
        <v>24</v>
      </c>
      <c r="H25" s="18">
        <v>1.55</v>
      </c>
      <c r="I25" s="18">
        <v>1.65</v>
      </c>
      <c r="J25" s="18">
        <v>2.5</v>
      </c>
      <c r="K25" s="18">
        <v>0.5</v>
      </c>
      <c r="L25" s="18">
        <v>0.25</v>
      </c>
      <c r="M25" s="8">
        <f>LOOKUP($A25,tech_full!$A$3:$A$38,tech_full!$T$3:$T$38)</f>
        <v>5.4</v>
      </c>
      <c r="N25" s="1">
        <f>LOOKUP($A25,tech_full!$A$3:$A$38,tech_full!$U$3:$U$38)</f>
        <v>9750</v>
      </c>
      <c r="O25" s="1">
        <f>LOOKUP($A25,tech_full!$A$3:$A$38,tech_full!$V$3:$V$38)</f>
        <v>25</v>
      </c>
      <c r="P25" s="1">
        <f>LOOKUP($A25,tech_full!$A$3:$A$38,tech_full!$S$3:$S$38)*1000</f>
        <v>950000</v>
      </c>
      <c r="Q25" s="1">
        <f>P25*(WACC!$B$2*(1+WACC!$B$2)^$O25)/((1+WACC!$B$2)^$O25-1)</f>
        <v>67404.834434268138</v>
      </c>
      <c r="S25" s="7"/>
    </row>
    <row r="26" spans="1:19" x14ac:dyDescent="0.25">
      <c r="A26">
        <v>49.5</v>
      </c>
      <c r="B26" t="s">
        <v>104</v>
      </c>
      <c r="C26" s="18">
        <v>0</v>
      </c>
      <c r="D26" s="18">
        <v>1</v>
      </c>
      <c r="E26" s="18">
        <v>1</v>
      </c>
      <c r="F26" s="18">
        <v>2</v>
      </c>
      <c r="G26" s="18">
        <v>4</v>
      </c>
      <c r="H26" s="18">
        <v>1</v>
      </c>
      <c r="I26" s="18">
        <v>1.1000000000000001</v>
      </c>
      <c r="J26" s="18">
        <v>1.2</v>
      </c>
      <c r="K26" s="18">
        <v>1</v>
      </c>
      <c r="L26" s="18">
        <v>0.99</v>
      </c>
      <c r="M26" s="8">
        <f>LOOKUP($A26,tech_full!$A$3:$A$38,tech_full!$T$3:$T$38)</f>
        <v>1</v>
      </c>
      <c r="N26" s="1">
        <f>LOOKUP($A26,tech_full!$A$3:$A$38,tech_full!$U$3:$U$38)</f>
        <v>1950</v>
      </c>
      <c r="O26" s="1">
        <f>LOOKUP($A26,tech_full!$A$3:$A$38,tech_full!$V$3:$V$38)</f>
        <v>25</v>
      </c>
      <c r="P26" s="1">
        <f>LOOKUP($A26,tech_full!$A$3:$A$38,tech_full!$S$3:$S$38)*1000</f>
        <v>60000</v>
      </c>
      <c r="Q26" s="1">
        <f>P26*(WACC!$B$2*(1+WACC!$B$2)^$O26)/((1+WACC!$B$2)^$O26-1)</f>
        <v>4257.1474379537767</v>
      </c>
      <c r="S26" s="7"/>
    </row>
    <row r="27" spans="1:19" x14ac:dyDescent="0.25">
      <c r="A27">
        <v>50</v>
      </c>
      <c r="B27" t="s">
        <v>105</v>
      </c>
      <c r="C27" s="18">
        <v>4</v>
      </c>
      <c r="D27" s="18">
        <v>1</v>
      </c>
      <c r="E27" s="18">
        <v>8</v>
      </c>
      <c r="F27" s="18">
        <v>12</v>
      </c>
      <c r="G27" s="18">
        <v>24</v>
      </c>
      <c r="H27" s="18">
        <v>1.65</v>
      </c>
      <c r="I27" s="18">
        <v>1.8</v>
      </c>
      <c r="J27" s="18">
        <v>2.625</v>
      </c>
      <c r="K27" s="18">
        <v>0.625</v>
      </c>
      <c r="L27" s="18">
        <v>0.5</v>
      </c>
      <c r="M27" s="8">
        <f>LOOKUP($A27,tech_full!$A$3:$A$38,tech_full!$T$3:$T$38)</f>
        <v>3</v>
      </c>
      <c r="N27" s="1">
        <f>LOOKUP($A27,tech_full!$A$3:$A$38,tech_full!$U$3:$U$38)</f>
        <v>6000</v>
      </c>
      <c r="O27" s="1">
        <f>LOOKUP($A27,tech_full!$A$3:$A$38,tech_full!$V$3:$V$38)</f>
        <v>30</v>
      </c>
      <c r="P27" s="1">
        <f>LOOKUP($A27,tech_full!$A$3:$A$38,tech_full!$S$3:$S$38)*1000</f>
        <v>400000</v>
      </c>
      <c r="Q27" s="1">
        <f>P27*(WACC!$B$2*(1+WACC!$B$2)^$O27)/((1+WACC!$B$2)^$O27-1)</f>
        <v>26020.574032110635</v>
      </c>
      <c r="S27" s="7"/>
    </row>
    <row r="28" spans="1:19" x14ac:dyDescent="0.25">
      <c r="A28">
        <v>50.5</v>
      </c>
      <c r="B28" t="s">
        <v>106</v>
      </c>
      <c r="C28" s="18">
        <v>4</v>
      </c>
      <c r="D28" s="18">
        <v>1</v>
      </c>
      <c r="E28" s="18">
        <v>8</v>
      </c>
      <c r="F28" s="18">
        <v>12</v>
      </c>
      <c r="G28" s="18">
        <v>24</v>
      </c>
      <c r="H28" s="18">
        <v>1.65</v>
      </c>
      <c r="I28" s="18">
        <v>1.8</v>
      </c>
      <c r="J28" s="18">
        <v>2.625</v>
      </c>
      <c r="K28" s="18">
        <v>0.625</v>
      </c>
      <c r="L28" s="18">
        <v>0.5</v>
      </c>
      <c r="M28" s="8">
        <f>LOOKUP($A28,tech_full!$A$3:$A$38,tech_full!$T$3:$T$38)</f>
        <v>3</v>
      </c>
      <c r="N28" s="1">
        <f>LOOKUP($A28,tech_full!$A$3:$A$38,tech_full!$U$3:$U$38)</f>
        <v>6000</v>
      </c>
      <c r="O28" s="1">
        <f>LOOKUP($A28,tech_full!$A$3:$A$38,tech_full!$V$3:$V$38)</f>
        <v>30</v>
      </c>
      <c r="P28" s="1">
        <f>LOOKUP($A28,tech_full!$A$3:$A$38,tech_full!$S$3:$S$38)*1000</f>
        <v>400000</v>
      </c>
      <c r="Q28" s="1">
        <f>P28*(WACC!$B$2*(1+WACC!$B$2)^$O28)/((1+WACC!$B$2)^$O28-1)</f>
        <v>26020.574032110635</v>
      </c>
      <c r="S28" s="7"/>
    </row>
    <row r="29" spans="1:19" x14ac:dyDescent="0.25">
      <c r="A29">
        <v>51</v>
      </c>
      <c r="B29" t="s">
        <v>107</v>
      </c>
      <c r="C29" s="18">
        <v>4</v>
      </c>
      <c r="D29" s="18">
        <v>1</v>
      </c>
      <c r="E29" s="18">
        <v>6</v>
      </c>
      <c r="F29" s="18">
        <v>12</v>
      </c>
      <c r="G29" s="18">
        <v>24</v>
      </c>
      <c r="H29" s="18">
        <v>1.65</v>
      </c>
      <c r="I29" s="18">
        <v>1.8</v>
      </c>
      <c r="J29" s="18">
        <v>2.625</v>
      </c>
      <c r="K29" s="18">
        <v>0.625</v>
      </c>
      <c r="L29" s="18">
        <v>0.77500000000000002</v>
      </c>
      <c r="M29" s="8">
        <f>LOOKUP($A29,tech_full!$A$3:$A$38,tech_full!$T$3:$T$38)</f>
        <v>4.5</v>
      </c>
      <c r="N29" s="1">
        <f>LOOKUP($A29,tech_full!$A$3:$A$38,tech_full!$U$3:$U$38)</f>
        <v>8068</v>
      </c>
      <c r="O29" s="1">
        <f>LOOKUP($A29,tech_full!$A$3:$A$38,tech_full!$V$3:$V$38)</f>
        <v>25</v>
      </c>
      <c r="P29" s="1">
        <f>LOOKUP($A29,tech_full!$A$3:$A$38,tech_full!$S$3:$S$38)*1000</f>
        <v>378000</v>
      </c>
      <c r="Q29" s="1">
        <f>P29*(WACC!$B$2*(1+WACC!$B$2)^$O29)/((1+WACC!$B$2)^$O29-1)</f>
        <v>26820.028859108796</v>
      </c>
      <c r="S29" s="7"/>
    </row>
    <row r="30" spans="1:19" x14ac:dyDescent="0.25">
      <c r="A30">
        <v>51.5</v>
      </c>
      <c r="B30" t="s">
        <v>108</v>
      </c>
      <c r="C30" s="18">
        <v>4</v>
      </c>
      <c r="D30" s="18">
        <v>1</v>
      </c>
      <c r="E30" s="18">
        <v>6</v>
      </c>
      <c r="F30" s="18">
        <v>12</v>
      </c>
      <c r="G30" s="18">
        <v>24</v>
      </c>
      <c r="H30" s="18">
        <v>1.65</v>
      </c>
      <c r="I30" s="18">
        <v>1.8</v>
      </c>
      <c r="J30" s="18">
        <v>2.625</v>
      </c>
      <c r="K30" s="18">
        <v>0.625</v>
      </c>
      <c r="L30" s="18">
        <v>0.67500000000000004</v>
      </c>
      <c r="M30" s="8">
        <f>LOOKUP($A30,tech_full!$A$3:$A$38,tech_full!$T$3:$T$38)</f>
        <v>4.5</v>
      </c>
      <c r="N30" s="1">
        <f>LOOKUP($A30,tech_full!$A$3:$A$38,tech_full!$U$3:$U$38)</f>
        <v>8068</v>
      </c>
      <c r="O30" s="1">
        <f>LOOKUP($A30,tech_full!$A$3:$A$38,tech_full!$V$3:$V$38)</f>
        <v>25</v>
      </c>
      <c r="P30" s="1">
        <f>LOOKUP($A30,tech_full!$A$3:$A$38,tech_full!$S$3:$S$38)*1000</f>
        <v>378000</v>
      </c>
      <c r="Q30" s="1">
        <f>P30*(WACC!$B$2*(1+WACC!$B$2)^$O30)/((1+WACC!$B$2)^$O30-1)</f>
        <v>26820.028859108796</v>
      </c>
      <c r="S30" s="7"/>
    </row>
    <row r="31" spans="1:19" x14ac:dyDescent="0.25">
      <c r="A31">
        <v>52</v>
      </c>
      <c r="B31" t="s">
        <v>109</v>
      </c>
      <c r="C31" s="18">
        <v>4</v>
      </c>
      <c r="D31" s="18">
        <v>1</v>
      </c>
      <c r="E31" s="18">
        <v>6</v>
      </c>
      <c r="F31" s="18">
        <v>12</v>
      </c>
      <c r="G31" s="18">
        <v>24</v>
      </c>
      <c r="H31" s="18">
        <v>1.65</v>
      </c>
      <c r="I31" s="18">
        <v>1.8</v>
      </c>
      <c r="J31" s="18">
        <v>2.625</v>
      </c>
      <c r="K31" s="18">
        <v>0.625</v>
      </c>
      <c r="L31" s="18">
        <v>0.45454545454545453</v>
      </c>
      <c r="M31" s="8">
        <f>LOOKUP($A31,tech_full!$A$3:$A$38,tech_full!$T$3:$T$38)</f>
        <v>4</v>
      </c>
      <c r="N31" s="1">
        <f>LOOKUP($A31,tech_full!$A$3:$A$38,tech_full!$U$3:$U$38)</f>
        <v>25000</v>
      </c>
      <c r="O31" s="1">
        <f>LOOKUP($A31,tech_full!$A$3:$A$38,tech_full!$V$3:$V$38)</f>
        <v>25</v>
      </c>
      <c r="P31" s="1">
        <f>LOOKUP($A31,tech_full!$A$3:$A$38,tech_full!$S$3:$S$38)*1000</f>
        <v>800000</v>
      </c>
      <c r="Q31" s="1">
        <f>P31*(WACC!$B$2*(1+WACC!$B$2)^$O31)/((1+WACC!$B$2)^$O31-1)</f>
        <v>56761.965839383694</v>
      </c>
      <c r="S31" s="7"/>
    </row>
    <row r="32" spans="1:19" x14ac:dyDescent="0.25">
      <c r="A32">
        <v>52.5</v>
      </c>
      <c r="B32" t="s">
        <v>110</v>
      </c>
      <c r="C32" s="18">
        <v>4</v>
      </c>
      <c r="D32" s="18">
        <v>1</v>
      </c>
      <c r="E32" s="18">
        <v>6</v>
      </c>
      <c r="F32" s="18">
        <v>12</v>
      </c>
      <c r="G32" s="18">
        <v>24</v>
      </c>
      <c r="H32" s="18">
        <v>1.65</v>
      </c>
      <c r="I32" s="18">
        <v>1.8</v>
      </c>
      <c r="J32" s="18">
        <v>2.625</v>
      </c>
      <c r="K32" s="18">
        <v>0.625</v>
      </c>
      <c r="L32" s="18">
        <v>0.45454545454545453</v>
      </c>
      <c r="M32" s="8">
        <f>LOOKUP($A32,tech_full!$A$3:$A$38,tech_full!$T$3:$T$38)</f>
        <v>4</v>
      </c>
      <c r="N32" s="1">
        <f>LOOKUP($A32,tech_full!$A$3:$A$38,tech_full!$U$3:$U$38)</f>
        <v>25000</v>
      </c>
      <c r="O32" s="1">
        <f>LOOKUP($A32,tech_full!$A$3:$A$38,tech_full!$V$3:$V$38)</f>
        <v>25</v>
      </c>
      <c r="P32" s="1">
        <f>LOOKUP($A32,tech_full!$A$3:$A$38,tech_full!$S$3:$S$38)*1000</f>
        <v>842000</v>
      </c>
      <c r="Q32" s="1">
        <f>P32*(WACC!$B$2*(1+WACC!$B$2)^$O32)/((1+WACC!$B$2)^$O32-1)</f>
        <v>59741.969045951344</v>
      </c>
      <c r="S32" s="7"/>
    </row>
    <row r="33" spans="1:19" x14ac:dyDescent="0.25">
      <c r="A33">
        <v>60</v>
      </c>
      <c r="B33" t="s">
        <v>111</v>
      </c>
      <c r="C33" s="18">
        <v>1</v>
      </c>
      <c r="D33" s="18">
        <v>1</v>
      </c>
      <c r="E33" s="18">
        <v>1</v>
      </c>
      <c r="F33" s="18">
        <v>1</v>
      </c>
      <c r="G33" s="18">
        <v>1</v>
      </c>
      <c r="H33" s="18">
        <v>0.5</v>
      </c>
      <c r="I33" s="18">
        <v>0.5</v>
      </c>
      <c r="J33" s="18">
        <v>0.5</v>
      </c>
      <c r="K33" s="18">
        <v>0.1</v>
      </c>
      <c r="L33" s="18">
        <v>0</v>
      </c>
      <c r="M33" s="8">
        <f>LOOKUP($A33,tech_full!$A$3:$A$38,tech_full!$T$3:$T$38)</f>
        <v>0</v>
      </c>
      <c r="N33" s="1">
        <f>LOOKUP($A33,tech_full!$A$3:$A$38,tech_full!$U$3:$U$38)</f>
        <v>60000</v>
      </c>
      <c r="O33" s="1">
        <f>LOOKUP($A33,tech_full!$A$3:$A$38,tech_full!$V$3:$V$38)</f>
        <v>60</v>
      </c>
      <c r="P33" s="1">
        <f>LOOKUP($A33,tech_full!$A$3:$A$38,tech_full!$S$3:$S$38)*1000</f>
        <v>3000000</v>
      </c>
      <c r="Q33" s="1">
        <f>P33*(WACC!$B$2*(1+WACC!$B$2)^$O33)/((1+WACC!$B$2)^$O33-1)</f>
        <v>158484.55358172712</v>
      </c>
      <c r="S33" s="7"/>
    </row>
    <row r="34" spans="1:19" x14ac:dyDescent="0.25">
      <c r="A34">
        <v>61</v>
      </c>
      <c r="B34" t="s">
        <v>112</v>
      </c>
      <c r="C34" s="18">
        <v>1</v>
      </c>
      <c r="D34" s="18">
        <v>1</v>
      </c>
      <c r="E34" s="18">
        <v>1</v>
      </c>
      <c r="F34" s="18">
        <v>1</v>
      </c>
      <c r="G34" s="18">
        <v>1</v>
      </c>
      <c r="H34" s="18">
        <v>0.5</v>
      </c>
      <c r="I34" s="18">
        <v>0.5</v>
      </c>
      <c r="J34" s="18">
        <v>0.5</v>
      </c>
      <c r="K34" s="18">
        <v>0.1</v>
      </c>
      <c r="L34" s="18">
        <v>0</v>
      </c>
      <c r="M34" s="8">
        <f>LOOKUP($A34,tech_full!$A$3:$A$38,tech_full!$T$3:$T$38)</f>
        <v>0</v>
      </c>
      <c r="N34" s="1">
        <f>LOOKUP($A34,tech_full!$A$3:$A$38,tech_full!$U$3:$U$38)</f>
        <v>20000</v>
      </c>
      <c r="O34" s="1">
        <f>LOOKUP($A34,tech_full!$A$3:$A$38,tech_full!$V$3:$V$38)</f>
        <v>60</v>
      </c>
      <c r="P34" s="1">
        <f>LOOKUP($A34,tech_full!$A$3:$A$38,tech_full!$S$3:$S$38)*1000</f>
        <v>2000000</v>
      </c>
      <c r="Q34" s="1">
        <f>P34*(WACC!$B$2*(1+WACC!$B$2)^$O34)/((1+WACC!$B$2)^$O34-1)</f>
        <v>105656.36905448473</v>
      </c>
      <c r="S34" s="7"/>
    </row>
    <row r="35" spans="1:19" x14ac:dyDescent="0.25">
      <c r="A35">
        <v>62</v>
      </c>
      <c r="B35" t="s">
        <v>113</v>
      </c>
      <c r="C35" s="18">
        <v>1</v>
      </c>
      <c r="D35" s="18">
        <v>1</v>
      </c>
      <c r="E35" s="18">
        <v>1</v>
      </c>
      <c r="F35" s="18">
        <v>1</v>
      </c>
      <c r="G35" s="18">
        <v>1</v>
      </c>
      <c r="H35" s="18">
        <v>0.5</v>
      </c>
      <c r="I35" s="18">
        <v>0.5</v>
      </c>
      <c r="J35" s="18">
        <v>0.5</v>
      </c>
      <c r="K35" s="18">
        <v>0.1</v>
      </c>
      <c r="L35" s="18">
        <v>0</v>
      </c>
      <c r="M35" s="8">
        <f>LOOKUP($A35,tech_full!$A$3:$A$38,tech_full!$T$3:$T$38)</f>
        <v>0</v>
      </c>
      <c r="N35" s="1">
        <f>LOOKUP($A35,tech_full!$A$3:$A$38,tech_full!$U$3:$U$38)</f>
        <v>20000</v>
      </c>
      <c r="O35" s="1">
        <f>LOOKUP($A35,tech_full!$A$3:$A$38,tech_full!$V$3:$V$38)</f>
        <v>60</v>
      </c>
      <c r="P35" s="1">
        <f>LOOKUP($A35,tech_full!$A$3:$A$38,tech_full!$S$3:$S$38)*1000</f>
        <v>2000000</v>
      </c>
      <c r="Q35" s="1">
        <f>P35*(WACC!$B$2*(1+WACC!$B$2)^$O35)/((1+WACC!$B$2)^$O35-1)</f>
        <v>105656.36905448473</v>
      </c>
      <c r="S35" s="7"/>
    </row>
    <row r="36" spans="1:19" x14ac:dyDescent="0.25">
      <c r="A36">
        <v>70</v>
      </c>
      <c r="B36" t="s">
        <v>114</v>
      </c>
      <c r="C36" s="18">
        <v>4</v>
      </c>
      <c r="D36" s="18">
        <v>1</v>
      </c>
      <c r="E36" s="18">
        <v>10</v>
      </c>
      <c r="F36" s="18">
        <v>18</v>
      </c>
      <c r="G36" s="18">
        <v>30</v>
      </c>
      <c r="H36" s="18">
        <v>1.7</v>
      </c>
      <c r="I36" s="18">
        <v>1.8125</v>
      </c>
      <c r="J36" s="18">
        <v>2.8</v>
      </c>
      <c r="K36" s="18">
        <v>0.75</v>
      </c>
      <c r="L36" s="18">
        <v>0.5</v>
      </c>
      <c r="M36" s="8">
        <f>LOOKUP($A36,tech_full!$A$3:$A$38,tech_full!$T$3:$T$38)</f>
        <v>3.8</v>
      </c>
      <c r="N36" s="1">
        <f>LOOKUP($A36,tech_full!$A$3:$A$38,tech_full!$U$3:$U$38)</f>
        <v>92720</v>
      </c>
      <c r="O36" s="1">
        <f>LOOKUP($A36,tech_full!$A$3:$A$38,tech_full!$V$3:$V$38)</f>
        <v>25</v>
      </c>
      <c r="P36" s="1">
        <f>LOOKUP($A36,tech_full!$A$3:$A$38,tech_full!$S$3:$S$38)*1000</f>
        <v>3230000</v>
      </c>
      <c r="Q36" s="1">
        <f>P36*(WACC!$B$2*(1+WACC!$B$2)^$O36)/((1+WACC!$B$2)^$O36-1)</f>
        <v>229176.43707651168</v>
      </c>
      <c r="S36" s="7"/>
    </row>
    <row r="37" spans="1:19" x14ac:dyDescent="0.25">
      <c r="A37">
        <v>70.5</v>
      </c>
      <c r="B37" t="s">
        <v>115</v>
      </c>
      <c r="C37" s="18">
        <v>4</v>
      </c>
      <c r="D37" s="18">
        <v>1</v>
      </c>
      <c r="E37" s="18">
        <v>10</v>
      </c>
      <c r="F37" s="18">
        <v>18</v>
      </c>
      <c r="G37" s="18">
        <v>30</v>
      </c>
      <c r="H37" s="18">
        <v>1.7</v>
      </c>
      <c r="I37" s="18">
        <v>1.8125</v>
      </c>
      <c r="J37" s="18">
        <v>2.8</v>
      </c>
      <c r="K37" s="18">
        <v>0.75</v>
      </c>
      <c r="L37" s="18">
        <v>0.5</v>
      </c>
      <c r="M37" s="8">
        <f>LOOKUP($A37,tech_full!$A$3:$A$38,tech_full!$T$3:$T$38)</f>
        <v>3.8</v>
      </c>
      <c r="N37" s="1">
        <f>LOOKUP($A37,tech_full!$A$3:$A$38,tech_full!$U$3:$U$38)</f>
        <v>97600</v>
      </c>
      <c r="O37" s="1">
        <f>LOOKUP($A37,tech_full!$A$3:$A$38,tech_full!$V$3:$V$38)</f>
        <v>25</v>
      </c>
      <c r="P37" s="1">
        <f>LOOKUP($A37,tech_full!$A$3:$A$38,tech_full!$S$3:$S$38)*1000</f>
        <v>3400000</v>
      </c>
      <c r="Q37" s="1">
        <f>P37*(WACC!$B$2*(1+WACC!$B$2)^$O37)/((1+WACC!$B$2)^$O37-1)</f>
        <v>241238.35481738072</v>
      </c>
      <c r="S37" s="7"/>
    </row>
    <row r="38" spans="1:19" x14ac:dyDescent="0.25">
      <c r="A38">
        <v>100</v>
      </c>
      <c r="B38" t="s">
        <v>116</v>
      </c>
      <c r="C38" s="18">
        <v>1</v>
      </c>
      <c r="D38" s="18">
        <v>1</v>
      </c>
      <c r="E38" s="18">
        <v>1</v>
      </c>
      <c r="F38" s="18">
        <v>2</v>
      </c>
      <c r="G38" s="18">
        <v>4</v>
      </c>
      <c r="H38" s="18">
        <v>1</v>
      </c>
      <c r="I38" s="18">
        <v>1.01</v>
      </c>
      <c r="J38" s="18">
        <v>1.02</v>
      </c>
      <c r="K38" s="18">
        <v>1</v>
      </c>
      <c r="L38" s="18">
        <v>1</v>
      </c>
      <c r="M38" s="8">
        <f>LOOKUP($A38,tech_full!$A$3:$A$38,tech_full!$T$3:$T$38)</f>
        <v>1.8</v>
      </c>
      <c r="N38" s="1">
        <f>LOOKUP($A38,tech_full!$A$3:$A$38,tech_full!$U$3:$U$38)</f>
        <v>2000</v>
      </c>
      <c r="O38" s="1">
        <f>LOOKUP($A38,tech_full!$A$3:$A$38,tech_full!$V$3:$V$38)</f>
        <v>25</v>
      </c>
      <c r="P38" s="1">
        <f>LOOKUP($A38,tech_full!$A$3:$A$38,tech_full!$S$3:$S$38)*1000</f>
        <v>660000</v>
      </c>
      <c r="Q38" s="1">
        <f>P38*(WACC!$B$2*(1+WACC!$B$2)^$O38)/((1+WACC!$B$2)^$O38-1)</f>
        <v>46828.621817491548</v>
      </c>
      <c r="S38" s="7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9567-9A6C-4187-BA34-43941F9E27B4}">
  <dimension ref="A1:AG38"/>
  <sheetViews>
    <sheetView workbookViewId="0">
      <pane xSplit="4" ySplit="2" topLeftCell="O27" activePane="bottomRight" state="frozen"/>
      <selection pane="topRight" activeCell="E1" sqref="E1"/>
      <selection pane="bottomLeft" activeCell="A3" sqref="A3"/>
      <selection pane="bottomRight" activeCell="S36" sqref="S36"/>
    </sheetView>
  </sheetViews>
  <sheetFormatPr baseColWidth="10" defaultRowHeight="15" x14ac:dyDescent="0.25"/>
  <cols>
    <col min="2" max="2" width="38.85546875" bestFit="1" customWidth="1"/>
    <col min="3" max="3" width="15.42578125" bestFit="1" customWidth="1"/>
    <col min="19" max="24" width="11.42578125" customWidth="1"/>
  </cols>
  <sheetData>
    <row r="1" spans="1:33" ht="90" x14ac:dyDescent="0.25">
      <c r="A1" s="13" t="s">
        <v>18</v>
      </c>
      <c r="B1" s="14" t="s">
        <v>19</v>
      </c>
      <c r="C1" s="14" t="s">
        <v>65</v>
      </c>
      <c r="D1" s="14" t="s">
        <v>176</v>
      </c>
      <c r="E1" s="14" t="s">
        <v>177</v>
      </c>
      <c r="F1" s="14" t="s">
        <v>178</v>
      </c>
      <c r="G1" s="14" t="s">
        <v>179</v>
      </c>
      <c r="H1" s="14" t="s">
        <v>180</v>
      </c>
      <c r="I1" s="14" t="s">
        <v>181</v>
      </c>
      <c r="J1" s="14" t="s">
        <v>182</v>
      </c>
      <c r="K1" s="14" t="s">
        <v>183</v>
      </c>
      <c r="L1" s="14" t="s">
        <v>184</v>
      </c>
      <c r="M1" s="14" t="s">
        <v>185</v>
      </c>
      <c r="N1" s="14" t="s">
        <v>186</v>
      </c>
      <c r="O1" s="14" t="s">
        <v>187</v>
      </c>
      <c r="P1" s="14" t="s">
        <v>188</v>
      </c>
      <c r="Q1" s="14" t="s">
        <v>189</v>
      </c>
      <c r="R1" s="14" t="s">
        <v>216</v>
      </c>
      <c r="S1" s="14" t="s">
        <v>190</v>
      </c>
      <c r="T1" s="14" t="s">
        <v>191</v>
      </c>
      <c r="U1" s="14" t="s">
        <v>192</v>
      </c>
      <c r="V1" s="14" t="s">
        <v>193</v>
      </c>
      <c r="W1" s="14" t="s">
        <v>189</v>
      </c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spans="1:33" x14ac:dyDescent="0.25">
      <c r="E2" t="s">
        <v>194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201</v>
      </c>
    </row>
    <row r="3" spans="1:33" x14ac:dyDescent="0.25">
      <c r="A3">
        <v>10</v>
      </c>
      <c r="B3" t="s">
        <v>20</v>
      </c>
      <c r="C3" t="s">
        <v>80</v>
      </c>
      <c r="E3">
        <v>1</v>
      </c>
      <c r="F3">
        <v>0.34</v>
      </c>
      <c r="G3" t="s">
        <v>155</v>
      </c>
      <c r="H3" t="s">
        <v>155</v>
      </c>
      <c r="I3" t="s">
        <v>155</v>
      </c>
      <c r="J3" t="s">
        <v>155</v>
      </c>
      <c r="K3" t="s">
        <v>155</v>
      </c>
      <c r="L3" t="s">
        <v>155</v>
      </c>
      <c r="M3" t="s">
        <v>155</v>
      </c>
      <c r="N3" t="s">
        <v>155</v>
      </c>
      <c r="O3" t="s">
        <v>155</v>
      </c>
      <c r="P3">
        <v>1</v>
      </c>
      <c r="Q3">
        <v>8</v>
      </c>
      <c r="S3">
        <v>5800</v>
      </c>
      <c r="T3">
        <v>2.5</v>
      </c>
      <c r="U3">
        <f>2.1%*S3*1000</f>
        <v>121800.00000000001</v>
      </c>
      <c r="V3">
        <v>40</v>
      </c>
      <c r="W3">
        <v>6</v>
      </c>
      <c r="Y3" s="6"/>
      <c r="Z3" s="6"/>
      <c r="AA3" s="6"/>
      <c r="AB3" s="6"/>
      <c r="AC3" s="6"/>
      <c r="AD3" s="6"/>
      <c r="AE3" s="6"/>
      <c r="AF3" s="6"/>
      <c r="AG3" s="6"/>
    </row>
    <row r="4" spans="1:33" x14ac:dyDescent="0.25">
      <c r="A4">
        <v>20</v>
      </c>
      <c r="B4" t="s">
        <v>21</v>
      </c>
      <c r="C4" t="s">
        <v>81</v>
      </c>
      <c r="D4">
        <v>1980</v>
      </c>
      <c r="E4">
        <v>1</v>
      </c>
      <c r="F4">
        <v>0.35199999999999998</v>
      </c>
      <c r="G4" t="s">
        <v>155</v>
      </c>
      <c r="H4" t="s">
        <v>155</v>
      </c>
      <c r="I4" t="s">
        <v>155</v>
      </c>
      <c r="J4" t="s">
        <v>155</v>
      </c>
      <c r="K4" t="s">
        <v>155</v>
      </c>
      <c r="L4" t="s">
        <v>155</v>
      </c>
      <c r="M4" t="s">
        <v>155</v>
      </c>
      <c r="N4" t="s">
        <v>155</v>
      </c>
      <c r="O4" t="s">
        <v>155</v>
      </c>
      <c r="P4">
        <v>0</v>
      </c>
      <c r="Q4">
        <v>4</v>
      </c>
      <c r="S4">
        <v>1700</v>
      </c>
      <c r="T4">
        <v>2</v>
      </c>
      <c r="U4">
        <v>60000</v>
      </c>
      <c r="V4">
        <v>40</v>
      </c>
      <c r="W4">
        <v>9</v>
      </c>
      <c r="Y4" s="6"/>
      <c r="Z4" s="6"/>
      <c r="AA4" s="6"/>
      <c r="AB4" s="6"/>
      <c r="AC4" s="6"/>
      <c r="AD4" s="6"/>
      <c r="AE4" s="6"/>
      <c r="AF4" s="6"/>
      <c r="AG4" s="6"/>
    </row>
    <row r="5" spans="1:33" x14ac:dyDescent="0.25">
      <c r="A5">
        <v>20.5</v>
      </c>
      <c r="B5" t="s">
        <v>22</v>
      </c>
      <c r="C5" t="s">
        <v>82</v>
      </c>
      <c r="D5">
        <v>1980</v>
      </c>
      <c r="E5">
        <v>1</v>
      </c>
      <c r="F5">
        <v>0.35199999999999998</v>
      </c>
      <c r="G5">
        <v>0.15</v>
      </c>
      <c r="H5">
        <v>0.52500000000000002</v>
      </c>
      <c r="I5" s="26">
        <f>J5*O5</f>
        <v>1.1851851851851851</v>
      </c>
      <c r="J5" s="26">
        <f>E5/(G5+H5)</f>
        <v>1.4814814814814814</v>
      </c>
      <c r="K5" s="26">
        <f>E5-G5*I5</f>
        <v>0.82222222222222219</v>
      </c>
      <c r="L5" s="26">
        <f>E5-G5*J5</f>
        <v>0.77777777777777779</v>
      </c>
      <c r="M5" s="27">
        <f>(E5+G5*I5)/F5</f>
        <v>3.3459595959595965</v>
      </c>
      <c r="N5" s="9">
        <f>$F5*(1+((1-$G5)/($H5+$G5))*($I5/$J5))</f>
        <v>0.70660740740740724</v>
      </c>
      <c r="O5" s="15">
        <v>0.8</v>
      </c>
      <c r="P5">
        <v>0</v>
      </c>
      <c r="Q5" t="s">
        <v>202</v>
      </c>
      <c r="S5">
        <v>1700</v>
      </c>
      <c r="T5">
        <v>2</v>
      </c>
      <c r="U5">
        <v>60000</v>
      </c>
      <c r="V5">
        <v>40</v>
      </c>
      <c r="W5">
        <v>9</v>
      </c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25">
      <c r="A6">
        <v>21</v>
      </c>
      <c r="B6" t="s">
        <v>23</v>
      </c>
      <c r="C6" t="s">
        <v>83</v>
      </c>
      <c r="D6">
        <v>2020</v>
      </c>
      <c r="E6">
        <v>1</v>
      </c>
      <c r="F6">
        <v>0.439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>
        <v>1</v>
      </c>
      <c r="Q6">
        <v>1</v>
      </c>
      <c r="S6">
        <v>2000</v>
      </c>
      <c r="T6">
        <v>4.5</v>
      </c>
      <c r="U6">
        <f>2.5%*S6*1000</f>
        <v>50000</v>
      </c>
      <c r="V6">
        <v>40</v>
      </c>
      <c r="W6">
        <v>6</v>
      </c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25">
      <c r="A7">
        <v>21.5</v>
      </c>
      <c r="B7" t="s">
        <v>24</v>
      </c>
      <c r="C7" t="s">
        <v>84</v>
      </c>
      <c r="D7" s="15">
        <v>2020</v>
      </c>
      <c r="E7">
        <v>1</v>
      </c>
      <c r="F7">
        <v>0.439</v>
      </c>
      <c r="G7">
        <v>0.15</v>
      </c>
      <c r="H7">
        <v>0.66</v>
      </c>
      <c r="I7" s="26">
        <f>J7*O7</f>
        <v>0.98765432098765427</v>
      </c>
      <c r="J7" s="26">
        <f>E7/(G7+H7)</f>
        <v>1.2345679012345678</v>
      </c>
      <c r="K7" s="26">
        <f>E7-G7*I7</f>
        <v>0.85185185185185186</v>
      </c>
      <c r="L7" s="26">
        <f>E7-G7*J7</f>
        <v>0.81481481481481488</v>
      </c>
      <c r="M7" s="27">
        <f>(E7+G7*I7)/F7</f>
        <v>2.615371635872775</v>
      </c>
      <c r="N7" s="9">
        <f>$F7*(1+((1-$G7)/($H7+$G7))*($I7/$J7))</f>
        <v>0.80754320987654327</v>
      </c>
      <c r="O7" s="15">
        <v>0.8</v>
      </c>
      <c r="P7" s="15">
        <v>1</v>
      </c>
      <c r="Q7" s="15" t="s">
        <v>203</v>
      </c>
      <c r="S7">
        <f>ROUND(S6/0.95,0)</f>
        <v>2105</v>
      </c>
      <c r="T7">
        <v>4.5</v>
      </c>
      <c r="U7">
        <f>2.5%*S7*1000</f>
        <v>52625</v>
      </c>
      <c r="V7" s="29">
        <v>40</v>
      </c>
      <c r="W7" t="s">
        <v>204</v>
      </c>
      <c r="Y7" s="6"/>
      <c r="Z7" s="6"/>
      <c r="AA7" s="6"/>
      <c r="AB7" s="6"/>
      <c r="AC7" s="6"/>
      <c r="AD7" s="6"/>
      <c r="AE7" s="6"/>
      <c r="AF7" s="6"/>
      <c r="AG7" s="6"/>
    </row>
    <row r="8" spans="1:33" x14ac:dyDescent="0.25">
      <c r="A8">
        <v>30</v>
      </c>
      <c r="B8" t="s">
        <v>25</v>
      </c>
      <c r="C8" t="s">
        <v>85</v>
      </c>
      <c r="D8">
        <v>1980</v>
      </c>
      <c r="E8">
        <v>1</v>
      </c>
      <c r="F8">
        <v>0.375</v>
      </c>
      <c r="G8" t="s">
        <v>155</v>
      </c>
      <c r="H8" t="s">
        <v>155</v>
      </c>
      <c r="I8" t="s">
        <v>155</v>
      </c>
      <c r="J8" t="s">
        <v>155</v>
      </c>
      <c r="K8" t="s">
        <v>155</v>
      </c>
      <c r="L8" t="s">
        <v>155</v>
      </c>
      <c r="M8" t="s">
        <v>155</v>
      </c>
      <c r="N8" t="s">
        <v>155</v>
      </c>
      <c r="O8" t="s">
        <v>155</v>
      </c>
      <c r="P8">
        <v>0</v>
      </c>
      <c r="Q8">
        <v>4</v>
      </c>
      <c r="S8">
        <v>1200</v>
      </c>
      <c r="T8">
        <v>6</v>
      </c>
      <c r="U8">
        <v>30000</v>
      </c>
      <c r="V8" s="29">
        <v>40</v>
      </c>
      <c r="W8" t="s">
        <v>220</v>
      </c>
      <c r="Y8" s="6"/>
      <c r="Z8" s="6"/>
      <c r="AA8" s="6"/>
      <c r="AB8" s="6"/>
      <c r="AC8" s="6"/>
      <c r="AD8" s="6"/>
      <c r="AE8" s="6"/>
      <c r="AF8" s="6"/>
      <c r="AG8" s="6"/>
    </row>
    <row r="9" spans="1:33" x14ac:dyDescent="0.25">
      <c r="A9">
        <v>30.5</v>
      </c>
      <c r="B9" t="s">
        <v>26</v>
      </c>
      <c r="C9" t="s">
        <v>86</v>
      </c>
      <c r="D9">
        <v>1980</v>
      </c>
      <c r="E9">
        <v>1</v>
      </c>
      <c r="F9">
        <v>0.375</v>
      </c>
      <c r="G9">
        <v>0.15</v>
      </c>
      <c r="H9">
        <v>0.55000000000000004</v>
      </c>
      <c r="I9" s="26">
        <f>J9*O9</f>
        <v>1.1428571428571428</v>
      </c>
      <c r="J9" s="26">
        <f>E9/(G9+H9)</f>
        <v>1.4285714285714284</v>
      </c>
      <c r="K9" s="26">
        <f>E9-G9*I9</f>
        <v>0.82857142857142863</v>
      </c>
      <c r="L9" s="26">
        <f>E9-G9*J9</f>
        <v>0.78571428571428581</v>
      </c>
      <c r="M9" s="27">
        <f>(E9+G9*I9)/F9</f>
        <v>3.1238095238095238</v>
      </c>
      <c r="N9" s="9">
        <f>$F9*(1+((1-$G9)/($H9+$G9))*($I9/$J9))</f>
        <v>0.73928571428571432</v>
      </c>
      <c r="O9" s="15">
        <v>0.8</v>
      </c>
      <c r="P9">
        <v>0</v>
      </c>
      <c r="Q9" t="s">
        <v>202</v>
      </c>
      <c r="S9">
        <f>ROUND(S8/0.95,0)</f>
        <v>1263</v>
      </c>
      <c r="T9">
        <v>6</v>
      </c>
      <c r="U9">
        <v>30000</v>
      </c>
      <c r="V9" s="29">
        <v>40</v>
      </c>
      <c r="W9" t="s">
        <v>220</v>
      </c>
      <c r="Y9" s="6"/>
      <c r="Z9" s="6"/>
      <c r="AA9" s="6"/>
      <c r="AB9" s="6"/>
      <c r="AC9" s="6"/>
      <c r="AD9" s="6"/>
      <c r="AE9" s="6"/>
      <c r="AF9" s="6"/>
      <c r="AG9" s="6"/>
    </row>
    <row r="10" spans="1:33" x14ac:dyDescent="0.25">
      <c r="A10">
        <v>31</v>
      </c>
      <c r="B10" t="s">
        <v>27</v>
      </c>
      <c r="C10" t="s">
        <v>87</v>
      </c>
      <c r="D10">
        <v>2000</v>
      </c>
      <c r="E10">
        <v>1</v>
      </c>
      <c r="F10">
        <v>0.42499999999999999</v>
      </c>
      <c r="G10" t="s">
        <v>155</v>
      </c>
      <c r="H10" t="s">
        <v>155</v>
      </c>
      <c r="I10" t="s">
        <v>155</v>
      </c>
      <c r="J10" t="s">
        <v>155</v>
      </c>
      <c r="K10" t="s">
        <v>155</v>
      </c>
      <c r="L10" t="s">
        <v>155</v>
      </c>
      <c r="M10" t="s">
        <v>155</v>
      </c>
      <c r="N10" t="s">
        <v>155</v>
      </c>
      <c r="O10" t="s">
        <v>155</v>
      </c>
      <c r="P10">
        <v>1</v>
      </c>
      <c r="Q10">
        <v>4</v>
      </c>
      <c r="S10">
        <v>1300</v>
      </c>
      <c r="T10">
        <v>6</v>
      </c>
      <c r="U10">
        <v>25000</v>
      </c>
      <c r="V10" s="29">
        <v>40</v>
      </c>
      <c r="W10" t="s">
        <v>220</v>
      </c>
      <c r="Y10" s="6"/>
      <c r="Z10" s="6"/>
      <c r="AA10" s="6"/>
      <c r="AB10" s="6"/>
      <c r="AC10" s="6"/>
      <c r="AD10" s="6"/>
      <c r="AE10" s="6"/>
      <c r="AF10" s="6"/>
      <c r="AG10" s="6"/>
    </row>
    <row r="11" spans="1:33" x14ac:dyDescent="0.25">
      <c r="A11">
        <v>31.5</v>
      </c>
      <c r="B11" t="s">
        <v>28</v>
      </c>
      <c r="C11" t="s">
        <v>88</v>
      </c>
      <c r="D11">
        <v>2000</v>
      </c>
      <c r="E11">
        <v>1</v>
      </c>
      <c r="F11">
        <v>0.42499999999999999</v>
      </c>
      <c r="G11">
        <v>0.15</v>
      </c>
      <c r="H11">
        <v>0.6</v>
      </c>
      <c r="I11" s="27">
        <f>J11*O11</f>
        <v>1.0666666666666667</v>
      </c>
      <c r="J11" s="27">
        <f>E11/(G11+H11)</f>
        <v>1.3333333333333333</v>
      </c>
      <c r="K11" s="27">
        <f>E11-G11*I11</f>
        <v>0.84</v>
      </c>
      <c r="L11" s="27">
        <f>E11-G11*J11</f>
        <v>0.8</v>
      </c>
      <c r="M11" s="27">
        <f>(E11+G11*I11)/F11</f>
        <v>2.7294117647058824</v>
      </c>
      <c r="N11" s="9">
        <f>$F11*(1+((1-$G11)/($H11+$G11))*($I11/$J11))</f>
        <v>0.81033333333333335</v>
      </c>
      <c r="O11">
        <v>0.8</v>
      </c>
      <c r="P11" s="15">
        <v>1</v>
      </c>
      <c r="Q11" t="s">
        <v>202</v>
      </c>
      <c r="S11">
        <f>ROUND(S10/0.95,0)</f>
        <v>1368</v>
      </c>
      <c r="T11">
        <v>6</v>
      </c>
      <c r="U11">
        <v>25000</v>
      </c>
      <c r="V11" s="29">
        <v>40</v>
      </c>
      <c r="W11" t="s">
        <v>220</v>
      </c>
      <c r="Y11" s="6"/>
      <c r="Z11" s="6"/>
      <c r="AA11" s="6"/>
      <c r="AB11" s="6"/>
      <c r="AC11" s="6"/>
      <c r="AD11" s="6"/>
      <c r="AE11" s="6"/>
      <c r="AF11" s="6"/>
      <c r="AG11" s="6"/>
    </row>
    <row r="12" spans="1:33" x14ac:dyDescent="0.25">
      <c r="A12">
        <v>32</v>
      </c>
      <c r="B12" t="s">
        <v>29</v>
      </c>
      <c r="C12" t="s">
        <v>89</v>
      </c>
      <c r="D12">
        <v>2020</v>
      </c>
      <c r="E12">
        <v>1</v>
      </c>
      <c r="F12">
        <v>0.48499999999999999</v>
      </c>
      <c r="G12" t="s">
        <v>155</v>
      </c>
      <c r="H12" t="s">
        <v>155</v>
      </c>
      <c r="I12" t="s">
        <v>155</v>
      </c>
      <c r="J12" t="s">
        <v>155</v>
      </c>
      <c r="K12" t="s">
        <v>155</v>
      </c>
      <c r="L12" t="s">
        <v>155</v>
      </c>
      <c r="M12" t="s">
        <v>155</v>
      </c>
      <c r="N12" t="s">
        <v>155</v>
      </c>
      <c r="O12" t="s">
        <v>155</v>
      </c>
      <c r="P12">
        <v>1</v>
      </c>
      <c r="Q12">
        <v>1</v>
      </c>
      <c r="S12">
        <v>1900</v>
      </c>
      <c r="T12">
        <v>2.9</v>
      </c>
      <c r="U12">
        <v>31000</v>
      </c>
      <c r="V12" s="29">
        <v>40</v>
      </c>
      <c r="W12" t="s">
        <v>220</v>
      </c>
      <c r="Y12" s="6"/>
      <c r="Z12" s="6"/>
      <c r="AA12" s="6"/>
      <c r="AB12" s="6"/>
      <c r="AC12" s="6"/>
      <c r="AD12" s="6"/>
      <c r="AE12" s="6"/>
      <c r="AF12" s="6"/>
      <c r="AG12" s="6"/>
    </row>
    <row r="13" spans="1:33" x14ac:dyDescent="0.25">
      <c r="A13">
        <v>32.5</v>
      </c>
      <c r="B13" t="s">
        <v>30</v>
      </c>
      <c r="C13" t="s">
        <v>90</v>
      </c>
      <c r="D13">
        <v>2020</v>
      </c>
      <c r="E13">
        <v>1</v>
      </c>
      <c r="F13">
        <v>0.48499999999999999</v>
      </c>
      <c r="G13">
        <v>0.15</v>
      </c>
      <c r="H13">
        <v>0.84</v>
      </c>
      <c r="I13" s="27">
        <f>J13*O13</f>
        <v>0.80808080808080818</v>
      </c>
      <c r="J13" s="27">
        <f>E13/(G13+H13)</f>
        <v>1.0101010101010102</v>
      </c>
      <c r="K13" s="27">
        <f>E13-G13*I13</f>
        <v>0.87878787878787878</v>
      </c>
      <c r="L13" s="27">
        <f>E13-G13*J13</f>
        <v>0.84848484848484851</v>
      </c>
      <c r="M13" s="27">
        <f>(E13+G13*I13)/F13</f>
        <v>2.3117775695095282</v>
      </c>
      <c r="N13" s="9">
        <f>$F13*(1+((1-$G13)/($H13+$G13))*($I13/$J13))</f>
        <v>0.81813131313131315</v>
      </c>
      <c r="O13">
        <v>0.8</v>
      </c>
      <c r="P13" s="15">
        <v>1</v>
      </c>
      <c r="Q13">
        <v>1</v>
      </c>
      <c r="S13">
        <f>ROUND(S12/0.95,0)</f>
        <v>2000</v>
      </c>
      <c r="T13">
        <v>2.9</v>
      </c>
      <c r="U13">
        <v>31000</v>
      </c>
      <c r="V13">
        <v>40</v>
      </c>
      <c r="W13">
        <v>1</v>
      </c>
      <c r="Y13" s="6"/>
      <c r="Z13" s="6"/>
      <c r="AA13" s="6"/>
      <c r="AB13" s="6"/>
      <c r="AC13" s="6"/>
      <c r="AD13" s="6"/>
      <c r="AE13" s="6"/>
      <c r="AF13" s="6"/>
      <c r="AG13" s="6"/>
    </row>
    <row r="14" spans="1:33" x14ac:dyDescent="0.25">
      <c r="A14">
        <v>33</v>
      </c>
      <c r="B14" t="s">
        <v>31</v>
      </c>
      <c r="C14" t="s">
        <v>91</v>
      </c>
      <c r="D14">
        <v>2020</v>
      </c>
      <c r="E14">
        <v>1</v>
      </c>
      <c r="F14">
        <v>0.46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>
        <v>0</v>
      </c>
      <c r="Q14">
        <v>6</v>
      </c>
      <c r="S14">
        <v>2300</v>
      </c>
      <c r="T14">
        <v>5</v>
      </c>
      <c r="U14">
        <f>0.025*S14*1000</f>
        <v>57500</v>
      </c>
      <c r="V14" s="29">
        <v>35</v>
      </c>
      <c r="W14">
        <v>6</v>
      </c>
      <c r="Y14" s="6"/>
      <c r="Z14" s="6"/>
      <c r="AA14" s="6"/>
      <c r="AB14" s="6"/>
      <c r="AC14" s="6"/>
      <c r="AD14" s="6"/>
      <c r="AE14" s="6"/>
      <c r="AF14" s="6"/>
      <c r="AG14" s="6"/>
    </row>
    <row r="15" spans="1:33" x14ac:dyDescent="0.25">
      <c r="A15">
        <v>40</v>
      </c>
      <c r="B15" t="s">
        <v>32</v>
      </c>
      <c r="C15" t="s">
        <v>92</v>
      </c>
      <c r="D15">
        <v>2020</v>
      </c>
      <c r="E15">
        <v>1</v>
      </c>
      <c r="F15">
        <v>0.40699999999999997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Q15">
        <v>4</v>
      </c>
      <c r="S15">
        <v>400</v>
      </c>
      <c r="T15">
        <v>3</v>
      </c>
      <c r="U15">
        <v>15000</v>
      </c>
      <c r="V15" s="29">
        <v>30</v>
      </c>
      <c r="W15">
        <v>3</v>
      </c>
      <c r="Y15" s="6"/>
      <c r="Z15" s="6"/>
      <c r="AA15" s="6"/>
      <c r="AB15" s="6"/>
      <c r="AC15" s="6"/>
      <c r="AD15" s="6"/>
      <c r="AE15" s="6"/>
      <c r="AF15" s="6"/>
      <c r="AG15" s="6"/>
    </row>
    <row r="16" spans="1:33" x14ac:dyDescent="0.25">
      <c r="A16">
        <v>40.5</v>
      </c>
      <c r="B16" t="s">
        <v>33</v>
      </c>
      <c r="C16" t="s">
        <v>93</v>
      </c>
      <c r="D16">
        <v>2020</v>
      </c>
      <c r="E16">
        <v>1</v>
      </c>
      <c r="F16">
        <v>0.40699999999999997</v>
      </c>
      <c r="G16">
        <v>0.15</v>
      </c>
      <c r="H16">
        <v>0.55000000000000004</v>
      </c>
      <c r="I16" s="26">
        <f>J16*O16</f>
        <v>1.1428571428571428</v>
      </c>
      <c r="J16" s="26">
        <f>E16/(G16+H16)</f>
        <v>1.4285714285714284</v>
      </c>
      <c r="K16" s="26">
        <f>E16-G16*I16</f>
        <v>0.82857142857142863</v>
      </c>
      <c r="L16" s="26">
        <f>E16-G16*J16</f>
        <v>0.78571428571428581</v>
      </c>
      <c r="M16" s="27">
        <f>(E16+G16*I16)/F16</f>
        <v>2.8782028782028783</v>
      </c>
      <c r="N16" s="9">
        <f>$F16*(1+((1-$G16)/($H16+$G16))*($I16/$J16))</f>
        <v>0.80237142857142851</v>
      </c>
      <c r="O16" s="15">
        <v>0.8</v>
      </c>
      <c r="Q16" t="s">
        <v>205</v>
      </c>
      <c r="S16">
        <v>400</v>
      </c>
      <c r="T16">
        <v>3</v>
      </c>
      <c r="U16">
        <v>15000</v>
      </c>
      <c r="V16" s="29">
        <v>30</v>
      </c>
      <c r="W16">
        <v>3</v>
      </c>
      <c r="Y16" s="6"/>
      <c r="Z16" s="6"/>
      <c r="AA16" s="6"/>
      <c r="AB16" s="6"/>
      <c r="AC16" s="6"/>
      <c r="AD16" s="6"/>
      <c r="AE16" s="6"/>
      <c r="AF16" s="6"/>
      <c r="AG16" s="6"/>
    </row>
    <row r="17" spans="1:33" x14ac:dyDescent="0.25">
      <c r="A17">
        <v>41</v>
      </c>
      <c r="B17" t="s">
        <v>206</v>
      </c>
      <c r="C17" t="s">
        <v>94</v>
      </c>
      <c r="D17">
        <v>1980</v>
      </c>
      <c r="E17">
        <v>1</v>
      </c>
      <c r="F17">
        <v>0.32800000000000001</v>
      </c>
      <c r="G17" t="s">
        <v>155</v>
      </c>
      <c r="H17" t="s">
        <v>155</v>
      </c>
      <c r="I17" t="s">
        <v>155</v>
      </c>
      <c r="J17" t="s">
        <v>155</v>
      </c>
      <c r="K17" t="s">
        <v>155</v>
      </c>
      <c r="L17" t="s">
        <v>155</v>
      </c>
      <c r="M17" t="s">
        <v>155</v>
      </c>
      <c r="N17" t="s">
        <v>155</v>
      </c>
      <c r="O17" t="s">
        <v>155</v>
      </c>
      <c r="P17">
        <v>0</v>
      </c>
      <c r="Q17">
        <v>4</v>
      </c>
      <c r="S17">
        <v>454</v>
      </c>
      <c r="T17">
        <v>4.5</v>
      </c>
      <c r="U17">
        <v>8068</v>
      </c>
      <c r="V17" s="29">
        <v>25</v>
      </c>
      <c r="W17">
        <v>1</v>
      </c>
      <c r="Y17" s="6"/>
      <c r="Z17" s="6"/>
      <c r="AA17" s="6"/>
      <c r="AB17" s="6"/>
      <c r="AC17" s="6"/>
      <c r="AD17" s="6"/>
      <c r="AE17" s="6"/>
      <c r="AF17" s="6"/>
      <c r="AG17" s="6"/>
    </row>
    <row r="18" spans="1:33" x14ac:dyDescent="0.25">
      <c r="A18">
        <v>42</v>
      </c>
      <c r="B18" t="s">
        <v>207</v>
      </c>
      <c r="C18" t="s">
        <v>96</v>
      </c>
      <c r="D18">
        <v>2020</v>
      </c>
      <c r="E18">
        <v>1</v>
      </c>
      <c r="F18">
        <v>0.42</v>
      </c>
      <c r="G18">
        <v>0</v>
      </c>
      <c r="H18">
        <v>0.96</v>
      </c>
      <c r="I18" s="27">
        <f>J18*O18</f>
        <v>0.83333333333333348</v>
      </c>
      <c r="J18" s="27">
        <f>E18/(G18+H18)</f>
        <v>1.0416666666666667</v>
      </c>
      <c r="K18" s="27">
        <f>E18-G18*I18</f>
        <v>1</v>
      </c>
      <c r="L18" s="27">
        <f>E18-G18*J18</f>
        <v>1</v>
      </c>
      <c r="M18" s="27">
        <f>(E18+G18*I18)/F18</f>
        <v>2.3809523809523809</v>
      </c>
      <c r="N18" s="9">
        <f>$F18*(1+((1-$G18)/($H18+$G18))*($I18/$J18))</f>
        <v>0.77</v>
      </c>
      <c r="O18">
        <v>0.8</v>
      </c>
      <c r="P18">
        <v>1</v>
      </c>
      <c r="Q18">
        <v>1</v>
      </c>
      <c r="S18">
        <v>590</v>
      </c>
      <c r="T18">
        <v>4.4000000000000004</v>
      </c>
      <c r="U18">
        <v>19500</v>
      </c>
      <c r="V18">
        <v>25</v>
      </c>
      <c r="W18">
        <v>1</v>
      </c>
      <c r="Y18" s="6"/>
      <c r="Z18" s="6"/>
      <c r="AA18" s="6"/>
      <c r="AB18" s="6"/>
      <c r="AC18" s="6"/>
      <c r="AD18" s="6"/>
      <c r="AE18" s="6"/>
      <c r="AF18" s="6"/>
      <c r="AG18" s="6"/>
    </row>
    <row r="19" spans="1:33" x14ac:dyDescent="0.25">
      <c r="A19">
        <v>43</v>
      </c>
      <c r="B19" t="s">
        <v>38</v>
      </c>
      <c r="C19" t="s">
        <v>98</v>
      </c>
      <c r="D19">
        <v>2020</v>
      </c>
      <c r="E19">
        <v>1</v>
      </c>
      <c r="F19">
        <v>0.56000000000000005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>
        <v>0</v>
      </c>
      <c r="Q19">
        <v>1</v>
      </c>
      <c r="S19">
        <v>800</v>
      </c>
      <c r="T19">
        <v>4</v>
      </c>
      <c r="U19">
        <v>20000</v>
      </c>
      <c r="V19" s="29">
        <v>30</v>
      </c>
      <c r="W19" t="s">
        <v>222</v>
      </c>
      <c r="Y19" s="6"/>
      <c r="Z19" s="6"/>
      <c r="AA19" s="6"/>
      <c r="AB19" s="6"/>
      <c r="AC19" s="6"/>
      <c r="AD19" s="6"/>
      <c r="AE19" s="6"/>
      <c r="AF19" s="6"/>
      <c r="AG19" s="6"/>
    </row>
    <row r="20" spans="1:33" x14ac:dyDescent="0.25">
      <c r="A20">
        <v>43.5</v>
      </c>
      <c r="B20" t="s">
        <v>39</v>
      </c>
      <c r="C20" t="s">
        <v>99</v>
      </c>
      <c r="D20">
        <v>2020</v>
      </c>
      <c r="E20">
        <v>1</v>
      </c>
      <c r="F20">
        <v>0.56000000000000005</v>
      </c>
      <c r="G20">
        <v>0.15</v>
      </c>
      <c r="H20">
        <v>1.8</v>
      </c>
      <c r="I20" s="27">
        <f>J20*O20</f>
        <v>0.41025641025641035</v>
      </c>
      <c r="J20" s="27">
        <f>E20/(G20+H20)</f>
        <v>0.51282051282051289</v>
      </c>
      <c r="K20" s="27">
        <f>E20-G20*I20</f>
        <v>0.93846153846153846</v>
      </c>
      <c r="L20" s="27">
        <f>E20-G20*J20</f>
        <v>0.92307692307692313</v>
      </c>
      <c r="M20" s="27">
        <f>(E20+G20*I20)/F20</f>
        <v>1.8956043956043955</v>
      </c>
      <c r="N20" s="9">
        <f>$F20*(1+((1-$G20)/($H20+$G20))*($I20/$J20))</f>
        <v>0.75528205128205139</v>
      </c>
      <c r="O20">
        <v>0.8</v>
      </c>
      <c r="P20">
        <v>0</v>
      </c>
      <c r="Q20">
        <v>1</v>
      </c>
      <c r="S20">
        <f>ROUND(S19/0.95,0)</f>
        <v>842</v>
      </c>
      <c r="T20">
        <v>4</v>
      </c>
      <c r="U20">
        <v>20000</v>
      </c>
      <c r="V20" s="29">
        <v>30</v>
      </c>
      <c r="W20" t="s">
        <v>221</v>
      </c>
      <c r="Y20" s="6"/>
      <c r="Z20" s="6"/>
      <c r="AA20" s="6"/>
      <c r="AB20" s="6"/>
      <c r="AC20" s="6"/>
      <c r="AD20" s="6"/>
      <c r="AE20" s="6"/>
      <c r="AF20" s="6"/>
      <c r="AG20" s="6"/>
    </row>
    <row r="21" spans="1:33" x14ac:dyDescent="0.25">
      <c r="A21">
        <v>44</v>
      </c>
      <c r="B21" t="s">
        <v>40</v>
      </c>
      <c r="C21" t="s">
        <v>100</v>
      </c>
      <c r="D21">
        <v>2030</v>
      </c>
      <c r="E21">
        <v>1</v>
      </c>
      <c r="F21">
        <v>0.61</v>
      </c>
      <c r="G21" t="s">
        <v>155</v>
      </c>
      <c r="H21" t="s">
        <v>155</v>
      </c>
      <c r="I21" t="s">
        <v>155</v>
      </c>
      <c r="J21" t="s">
        <v>155</v>
      </c>
      <c r="K21" t="s">
        <v>155</v>
      </c>
      <c r="L21" t="s">
        <v>155</v>
      </c>
      <c r="M21" t="s">
        <v>155</v>
      </c>
      <c r="N21" t="s">
        <v>155</v>
      </c>
      <c r="O21" t="s">
        <v>155</v>
      </c>
      <c r="P21">
        <v>1</v>
      </c>
      <c r="Q21">
        <v>1</v>
      </c>
      <c r="S21">
        <f>0.95*S22</f>
        <v>836</v>
      </c>
      <c r="T21">
        <f>T22</f>
        <v>4.4000000000000004</v>
      </c>
      <c r="U21">
        <f>0.95*U22</f>
        <v>27835</v>
      </c>
      <c r="V21">
        <f>V22</f>
        <v>25</v>
      </c>
      <c r="W21">
        <v>1</v>
      </c>
      <c r="Y21" s="6"/>
      <c r="Z21" s="6"/>
      <c r="AA21" s="6"/>
      <c r="AB21" s="6"/>
      <c r="AC21" s="6"/>
      <c r="AD21" s="6"/>
      <c r="AE21" s="6"/>
      <c r="AF21" s="6"/>
      <c r="AG21" s="6"/>
    </row>
    <row r="22" spans="1:33" x14ac:dyDescent="0.25">
      <c r="A22">
        <v>44.5</v>
      </c>
      <c r="B22" t="s">
        <v>41</v>
      </c>
      <c r="C22" t="s">
        <v>101</v>
      </c>
      <c r="D22">
        <v>2030</v>
      </c>
      <c r="E22">
        <v>1</v>
      </c>
      <c r="F22">
        <v>0.61</v>
      </c>
      <c r="G22">
        <v>0.15</v>
      </c>
      <c r="H22">
        <v>2</v>
      </c>
      <c r="I22" s="27">
        <f t="shared" ref="I22" si="0">J22*O22</f>
        <v>0.37209302325581395</v>
      </c>
      <c r="J22" s="27">
        <f t="shared" ref="J22" si="1">E22/(G22+H22)</f>
        <v>0.46511627906976744</v>
      </c>
      <c r="K22" s="27">
        <f t="shared" ref="K22" si="2">E22-G22*I22</f>
        <v>0.94418604651162785</v>
      </c>
      <c r="L22" s="27">
        <f t="shared" ref="L22" si="3">E22-G22*J22</f>
        <v>0.93023255813953487</v>
      </c>
      <c r="M22" s="27">
        <f t="shared" ref="M22" si="4">(E22+G22*I22)/F22</f>
        <v>1.7308425467022495</v>
      </c>
      <c r="N22" s="9">
        <f>$F22*(1+((1-$G22)/($H22+$G22))*($I22/$J22))</f>
        <v>0.80293023255813945</v>
      </c>
      <c r="O22">
        <v>0.8</v>
      </c>
      <c r="P22">
        <v>1</v>
      </c>
      <c r="Q22">
        <v>1</v>
      </c>
      <c r="S22">
        <v>880</v>
      </c>
      <c r="T22">
        <v>4.4000000000000004</v>
      </c>
      <c r="U22">
        <v>29300</v>
      </c>
      <c r="V22">
        <v>25</v>
      </c>
      <c r="W22">
        <v>1</v>
      </c>
      <c r="Y22" s="6"/>
      <c r="Z22" s="6"/>
      <c r="AA22" s="6"/>
      <c r="AB22" s="6"/>
      <c r="AC22" s="6"/>
      <c r="AD22" s="6"/>
      <c r="AE22" s="6"/>
      <c r="AF22" s="6"/>
      <c r="AG22" s="6"/>
    </row>
    <row r="23" spans="1:33" x14ac:dyDescent="0.25">
      <c r="A23">
        <v>45</v>
      </c>
      <c r="B23" t="s">
        <v>42</v>
      </c>
      <c r="C23" t="s">
        <v>102</v>
      </c>
      <c r="D23">
        <v>2020</v>
      </c>
      <c r="E23">
        <v>1</v>
      </c>
      <c r="F23">
        <v>0.47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  <c r="O23" t="s">
        <v>155</v>
      </c>
      <c r="Q23">
        <v>1</v>
      </c>
      <c r="S23">
        <f>0.95*S24</f>
        <v>902.5</v>
      </c>
      <c r="T23">
        <f>T24</f>
        <v>5.4</v>
      </c>
      <c r="U23">
        <f>0.95*U24</f>
        <v>9262.5</v>
      </c>
      <c r="V23">
        <f>V24</f>
        <v>25</v>
      </c>
      <c r="W23">
        <v>1</v>
      </c>
      <c r="Y23" s="6"/>
      <c r="Z23" s="6"/>
      <c r="AA23" s="6"/>
      <c r="AB23" s="6"/>
      <c r="AC23" s="6"/>
      <c r="AD23" s="6"/>
      <c r="AE23" s="6"/>
      <c r="AF23" s="6"/>
      <c r="AG23" s="6"/>
    </row>
    <row r="24" spans="1:33" x14ac:dyDescent="0.25">
      <c r="A24">
        <v>45.5</v>
      </c>
      <c r="B24" t="s">
        <v>43</v>
      </c>
      <c r="C24" t="s">
        <v>103</v>
      </c>
      <c r="D24">
        <v>2020</v>
      </c>
      <c r="E24">
        <v>1</v>
      </c>
      <c r="F24">
        <v>0.47</v>
      </c>
      <c r="G24">
        <v>0</v>
      </c>
      <c r="H24">
        <v>0.95</v>
      </c>
      <c r="I24" s="27">
        <f>J24*O24</f>
        <v>0.84210526315789469</v>
      </c>
      <c r="J24" s="27">
        <f>E24/(G24+H24)</f>
        <v>1.0526315789473684</v>
      </c>
      <c r="K24" s="27">
        <f>E24-G24*I24</f>
        <v>1</v>
      </c>
      <c r="L24" s="27">
        <f>E24-G24*J24</f>
        <v>1</v>
      </c>
      <c r="M24" s="27">
        <f>(E24+G24*I24)/F24</f>
        <v>2.1276595744680851</v>
      </c>
      <c r="N24" s="9">
        <f>$F24*(1+((1-$G24)/($H24+$G24))*($I24/$J24))</f>
        <v>0.86578947368421044</v>
      </c>
      <c r="O24">
        <v>0.8</v>
      </c>
      <c r="P24">
        <v>1</v>
      </c>
      <c r="Q24">
        <v>1</v>
      </c>
      <c r="S24">
        <v>950</v>
      </c>
      <c r="T24">
        <v>5.4</v>
      </c>
      <c r="U24">
        <v>9750</v>
      </c>
      <c r="V24">
        <v>25</v>
      </c>
      <c r="W24">
        <v>1</v>
      </c>
      <c r="Y24" s="6"/>
      <c r="Z24" s="6"/>
      <c r="AA24" s="6"/>
      <c r="AB24" s="6"/>
      <c r="AC24" s="6"/>
      <c r="AD24" s="6"/>
      <c r="AE24" s="6"/>
      <c r="AF24" s="6"/>
      <c r="AG24" s="6"/>
    </row>
    <row r="25" spans="1:33" x14ac:dyDescent="0.25">
      <c r="A25">
        <v>49.5</v>
      </c>
      <c r="B25" t="s">
        <v>208</v>
      </c>
      <c r="C25" t="s">
        <v>104</v>
      </c>
      <c r="D25">
        <v>2020</v>
      </c>
      <c r="E25">
        <v>1</v>
      </c>
      <c r="F25">
        <v>0.95</v>
      </c>
      <c r="G25" t="s">
        <v>155</v>
      </c>
      <c r="H25" t="s">
        <v>155</v>
      </c>
      <c r="I25" t="s">
        <v>155</v>
      </c>
      <c r="J25" t="s">
        <v>155</v>
      </c>
      <c r="K25" t="s">
        <v>155</v>
      </c>
      <c r="L25" t="s">
        <v>155</v>
      </c>
      <c r="M25" t="s">
        <v>155</v>
      </c>
      <c r="N25" t="s">
        <v>155</v>
      </c>
      <c r="O25" t="s">
        <v>155</v>
      </c>
      <c r="P25">
        <v>1</v>
      </c>
      <c r="Q25">
        <v>1</v>
      </c>
      <c r="S25">
        <v>60</v>
      </c>
      <c r="T25">
        <v>1</v>
      </c>
      <c r="U25">
        <v>1950</v>
      </c>
      <c r="V25" s="29">
        <v>25</v>
      </c>
      <c r="W25">
        <v>1</v>
      </c>
      <c r="Y25" s="6"/>
      <c r="Z25" s="6"/>
      <c r="AA25" s="6"/>
      <c r="AB25" s="6"/>
      <c r="AC25" s="6"/>
      <c r="AD25" s="6"/>
      <c r="AE25" s="6"/>
      <c r="AF25" s="6"/>
      <c r="AG25" s="6"/>
    </row>
    <row r="26" spans="1:33" x14ac:dyDescent="0.25">
      <c r="A26">
        <v>50</v>
      </c>
      <c r="B26" t="s">
        <v>45</v>
      </c>
      <c r="C26" t="s">
        <v>105</v>
      </c>
      <c r="D26">
        <v>2010</v>
      </c>
      <c r="E26">
        <v>1</v>
      </c>
      <c r="F26">
        <v>0.39600000000000002</v>
      </c>
      <c r="G26" t="s">
        <v>155</v>
      </c>
      <c r="H26" t="s">
        <v>155</v>
      </c>
      <c r="I26" t="s">
        <v>155</v>
      </c>
      <c r="J26" t="s">
        <v>155</v>
      </c>
      <c r="K26" t="s">
        <v>155</v>
      </c>
      <c r="L26" t="s">
        <v>155</v>
      </c>
      <c r="M26" t="s">
        <v>155</v>
      </c>
      <c r="N26" t="s">
        <v>155</v>
      </c>
      <c r="O26" t="s">
        <v>155</v>
      </c>
      <c r="Q26">
        <v>4</v>
      </c>
      <c r="S26">
        <v>400</v>
      </c>
      <c r="T26">
        <v>3</v>
      </c>
      <c r="U26">
        <v>6000</v>
      </c>
      <c r="V26" s="29">
        <v>30</v>
      </c>
      <c r="W26">
        <v>3</v>
      </c>
      <c r="Y26" s="6"/>
      <c r="Z26" s="6"/>
      <c r="AA26" s="6"/>
      <c r="AB26" s="6"/>
      <c r="AC26" s="6"/>
      <c r="AD26" s="6"/>
      <c r="AE26" s="6"/>
      <c r="AF26" s="6"/>
      <c r="AG26" s="6"/>
    </row>
    <row r="27" spans="1:33" x14ac:dyDescent="0.25">
      <c r="A27">
        <v>50.5</v>
      </c>
      <c r="B27" t="s">
        <v>46</v>
      </c>
      <c r="C27" t="s">
        <v>106</v>
      </c>
      <c r="D27">
        <v>2010</v>
      </c>
      <c r="E27">
        <v>1</v>
      </c>
      <c r="F27">
        <v>0.39600000000000002</v>
      </c>
      <c r="G27">
        <v>0.17499999999999999</v>
      </c>
      <c r="H27">
        <v>0.55000000000000004</v>
      </c>
      <c r="I27" s="26">
        <f>J27*O27</f>
        <v>1.103448275862069</v>
      </c>
      <c r="J27" s="26">
        <f>E27/(G27+H27)</f>
        <v>1.3793103448275861</v>
      </c>
      <c r="K27" s="26">
        <f>E27-G27*I27</f>
        <v>0.80689655172413799</v>
      </c>
      <c r="L27" s="26">
        <f>E27-G27*J27</f>
        <v>0.75862068965517249</v>
      </c>
      <c r="M27" s="27">
        <f>(E27+G27*I27)/F27</f>
        <v>3.0128874956461162</v>
      </c>
      <c r="N27" s="9">
        <f>$F27*(1+((1-$G27)/($H27+$G27))*($I27/$J27))</f>
        <v>0.75649655172413799</v>
      </c>
      <c r="O27" s="15">
        <v>0.8</v>
      </c>
      <c r="Q27" t="s">
        <v>205</v>
      </c>
      <c r="S27">
        <v>400</v>
      </c>
      <c r="T27">
        <v>3</v>
      </c>
      <c r="U27">
        <v>6000</v>
      </c>
      <c r="V27" s="29">
        <v>30</v>
      </c>
      <c r="W27">
        <v>3</v>
      </c>
      <c r="Y27" s="6"/>
      <c r="Z27" s="6"/>
      <c r="AA27" s="6"/>
      <c r="AB27" s="6"/>
      <c r="AC27" s="6"/>
      <c r="AD27" s="6"/>
      <c r="AE27" s="6"/>
      <c r="AF27" s="6"/>
      <c r="AG27" s="6"/>
    </row>
    <row r="28" spans="1:33" x14ac:dyDescent="0.25">
      <c r="A28">
        <v>51</v>
      </c>
      <c r="B28" t="s">
        <v>209</v>
      </c>
      <c r="C28" t="s">
        <v>107</v>
      </c>
      <c r="D28">
        <v>2020</v>
      </c>
      <c r="E28">
        <v>1</v>
      </c>
      <c r="F28">
        <v>0.41</v>
      </c>
      <c r="G28" t="s">
        <v>155</v>
      </c>
      <c r="H28" t="s">
        <v>155</v>
      </c>
      <c r="I28" t="s">
        <v>155</v>
      </c>
      <c r="J28" t="s">
        <v>155</v>
      </c>
      <c r="K28" t="s">
        <v>155</v>
      </c>
      <c r="L28" t="s">
        <v>155</v>
      </c>
      <c r="M28" t="s">
        <v>155</v>
      </c>
      <c r="N28" t="s">
        <v>155</v>
      </c>
      <c r="O28" t="s">
        <v>155</v>
      </c>
      <c r="P28">
        <v>1</v>
      </c>
      <c r="Q28">
        <v>1</v>
      </c>
      <c r="S28">
        <v>378</v>
      </c>
      <c r="T28">
        <v>4.5</v>
      </c>
      <c r="U28">
        <v>8068</v>
      </c>
      <c r="V28">
        <v>25</v>
      </c>
      <c r="W28">
        <v>1</v>
      </c>
      <c r="Y28" s="6"/>
      <c r="Z28" s="6"/>
      <c r="AA28" s="6"/>
      <c r="AB28" s="6"/>
      <c r="AC28" s="6"/>
      <c r="AD28" s="6"/>
      <c r="AE28" s="6"/>
      <c r="AF28" s="6"/>
      <c r="AG28" s="6"/>
    </row>
    <row r="29" spans="1:33" x14ac:dyDescent="0.25">
      <c r="A29">
        <v>52</v>
      </c>
      <c r="B29" t="s">
        <v>49</v>
      </c>
      <c r="C29" t="s">
        <v>109</v>
      </c>
      <c r="D29">
        <v>2020</v>
      </c>
      <c r="E29">
        <v>1</v>
      </c>
      <c r="F29">
        <v>0.47</v>
      </c>
      <c r="G29" t="s">
        <v>155</v>
      </c>
      <c r="H29" t="s">
        <v>155</v>
      </c>
      <c r="I29" t="s">
        <v>155</v>
      </c>
      <c r="J29" t="s">
        <v>155</v>
      </c>
      <c r="K29" t="s">
        <v>155</v>
      </c>
      <c r="L29" t="s">
        <v>155</v>
      </c>
      <c r="M29" t="s">
        <v>155</v>
      </c>
      <c r="N29" t="s">
        <v>155</v>
      </c>
      <c r="O29" t="s">
        <v>155</v>
      </c>
      <c r="Q29">
        <v>4</v>
      </c>
      <c r="S29">
        <v>800</v>
      </c>
      <c r="T29">
        <v>4</v>
      </c>
      <c r="U29">
        <v>25000</v>
      </c>
      <c r="V29">
        <v>25</v>
      </c>
      <c r="W29">
        <v>8</v>
      </c>
      <c r="Y29" s="6"/>
      <c r="Z29" s="6"/>
      <c r="AA29" s="6"/>
      <c r="AB29" s="6"/>
      <c r="AC29" s="6"/>
      <c r="AD29" s="6"/>
      <c r="AE29" s="6"/>
      <c r="AF29" s="6"/>
      <c r="AG29" s="6"/>
    </row>
    <row r="30" spans="1:33" x14ac:dyDescent="0.25">
      <c r="A30">
        <v>52.5</v>
      </c>
      <c r="B30" t="s">
        <v>141</v>
      </c>
      <c r="C30" t="s">
        <v>110</v>
      </c>
      <c r="D30">
        <v>2020</v>
      </c>
      <c r="E30">
        <v>1</v>
      </c>
      <c r="F30">
        <v>0.47</v>
      </c>
      <c r="G30">
        <v>0.187</v>
      </c>
      <c r="H30">
        <v>0.65</v>
      </c>
      <c r="I30" s="26">
        <f>J30*O30</f>
        <v>0.95579450418160106</v>
      </c>
      <c r="J30" s="26">
        <f>E30/(G30+H30)</f>
        <v>1.1947431302270013</v>
      </c>
      <c r="K30" s="26">
        <f>E30-G30*I30</f>
        <v>0.82126642771804059</v>
      </c>
      <c r="L30" s="26">
        <f>E30-G30*J30</f>
        <v>0.77658303464755074</v>
      </c>
      <c r="M30" s="27">
        <f>(E30+G30*I30)/F30</f>
        <v>2.5079437708126799</v>
      </c>
      <c r="N30" s="9">
        <f>$F30*(1+((1-$G30)/($H30+$G30))*($I30/$J30))</f>
        <v>0.83521863799283147</v>
      </c>
      <c r="O30" s="15">
        <v>0.8</v>
      </c>
      <c r="Q30" t="s">
        <v>205</v>
      </c>
      <c r="S30">
        <f>ROUND(S29/0.95,0)</f>
        <v>842</v>
      </c>
      <c r="T30">
        <v>4</v>
      </c>
      <c r="U30">
        <v>25000</v>
      </c>
      <c r="V30">
        <v>25</v>
      </c>
      <c r="W30" t="s">
        <v>223</v>
      </c>
      <c r="Y30" s="6"/>
      <c r="Z30" s="6"/>
      <c r="AA30" s="6"/>
      <c r="AB30" s="6"/>
      <c r="AC30" s="6"/>
      <c r="AD30" s="6"/>
      <c r="AE30" s="6"/>
      <c r="AF30" s="6"/>
      <c r="AG30" s="6"/>
    </row>
    <row r="31" spans="1:33" x14ac:dyDescent="0.25">
      <c r="A31">
        <v>60</v>
      </c>
      <c r="B31" t="s">
        <v>50</v>
      </c>
      <c r="C31" t="s">
        <v>111</v>
      </c>
      <c r="E31">
        <v>1</v>
      </c>
      <c r="F31" t="s">
        <v>155</v>
      </c>
      <c r="G31" t="s">
        <v>155</v>
      </c>
      <c r="H31" t="s">
        <v>155</v>
      </c>
      <c r="I31" t="s">
        <v>155</v>
      </c>
      <c r="J31" t="s">
        <v>155</v>
      </c>
      <c r="K31" t="s">
        <v>155</v>
      </c>
      <c r="L31" t="s">
        <v>155</v>
      </c>
      <c r="M31" t="s">
        <v>155</v>
      </c>
      <c r="N31" t="s">
        <v>155</v>
      </c>
      <c r="O31" t="s">
        <v>155</v>
      </c>
      <c r="S31">
        <v>3000</v>
      </c>
      <c r="T31">
        <v>0</v>
      </c>
      <c r="U31">
        <v>60000</v>
      </c>
      <c r="V31">
        <v>60</v>
      </c>
      <c r="W31" t="s">
        <v>222</v>
      </c>
      <c r="Y31" s="6"/>
      <c r="Z31" s="6"/>
      <c r="AA31" s="6"/>
      <c r="AB31" s="6"/>
      <c r="AC31" s="6"/>
      <c r="AD31" s="6"/>
      <c r="AE31" s="6"/>
      <c r="AF31" s="6"/>
      <c r="AG31" s="6"/>
    </row>
    <row r="32" spans="1:33" x14ac:dyDescent="0.25">
      <c r="A32">
        <v>61</v>
      </c>
      <c r="B32" t="s">
        <v>210</v>
      </c>
      <c r="C32" t="s">
        <v>112</v>
      </c>
      <c r="E32">
        <v>1</v>
      </c>
      <c r="F32" t="s">
        <v>155</v>
      </c>
      <c r="G32" t="s">
        <v>155</v>
      </c>
      <c r="H32" t="s">
        <v>155</v>
      </c>
      <c r="I32" t="s">
        <v>155</v>
      </c>
      <c r="J32" t="s">
        <v>155</v>
      </c>
      <c r="K32" t="s">
        <v>155</v>
      </c>
      <c r="L32" t="s">
        <v>155</v>
      </c>
      <c r="M32" t="s">
        <v>155</v>
      </c>
      <c r="N32" t="s">
        <v>155</v>
      </c>
      <c r="O32" t="s">
        <v>155</v>
      </c>
      <c r="S32">
        <v>2000</v>
      </c>
      <c r="T32">
        <v>0</v>
      </c>
      <c r="U32">
        <v>20000</v>
      </c>
      <c r="V32">
        <v>60</v>
      </c>
      <c r="W32" t="s">
        <v>222</v>
      </c>
      <c r="Y32" s="6"/>
      <c r="Z32" s="6"/>
      <c r="AA32" s="6"/>
      <c r="AB32" s="6"/>
      <c r="AC32" s="6"/>
      <c r="AD32" s="6"/>
      <c r="AE32" s="6"/>
      <c r="AF32" s="6"/>
      <c r="AG32" s="6"/>
    </row>
    <row r="33" spans="1:33" x14ac:dyDescent="0.25">
      <c r="A33">
        <v>63</v>
      </c>
      <c r="B33" t="s">
        <v>53</v>
      </c>
      <c r="C33" t="s">
        <v>113</v>
      </c>
      <c r="E33">
        <v>1</v>
      </c>
      <c r="F33" t="s">
        <v>155</v>
      </c>
      <c r="G33" t="s">
        <v>155</v>
      </c>
      <c r="H33" t="s">
        <v>155</v>
      </c>
      <c r="I33" t="s">
        <v>155</v>
      </c>
      <c r="J33" t="s">
        <v>155</v>
      </c>
      <c r="K33" t="s">
        <v>155</v>
      </c>
      <c r="L33" t="s">
        <v>155</v>
      </c>
      <c r="M33" t="s">
        <v>155</v>
      </c>
      <c r="N33" t="s">
        <v>155</v>
      </c>
      <c r="O33" t="s">
        <v>155</v>
      </c>
      <c r="S33">
        <v>2000</v>
      </c>
      <c r="T33">
        <v>0</v>
      </c>
      <c r="U33">
        <v>20000</v>
      </c>
      <c r="V33">
        <v>60</v>
      </c>
      <c r="W33" t="s">
        <v>222</v>
      </c>
      <c r="Y33" s="6"/>
      <c r="Z33" s="6"/>
      <c r="AA33" s="6"/>
      <c r="AB33" s="6"/>
      <c r="AC33" s="6"/>
      <c r="AD33" s="6"/>
      <c r="AE33" s="6"/>
      <c r="AF33" s="6"/>
      <c r="AG33" s="6"/>
    </row>
    <row r="34" spans="1:33" x14ac:dyDescent="0.25">
      <c r="A34">
        <v>70</v>
      </c>
      <c r="B34" t="s">
        <v>54</v>
      </c>
      <c r="C34" t="s">
        <v>114</v>
      </c>
      <c r="D34">
        <v>2030</v>
      </c>
      <c r="E34">
        <v>1</v>
      </c>
      <c r="F34">
        <v>0.29599999999999999</v>
      </c>
      <c r="G34" t="s">
        <v>155</v>
      </c>
      <c r="H34" t="s">
        <v>155</v>
      </c>
      <c r="I34" t="s">
        <v>155</v>
      </c>
      <c r="J34" t="s">
        <v>155</v>
      </c>
      <c r="K34" t="s">
        <v>155</v>
      </c>
      <c r="L34" t="s">
        <v>155</v>
      </c>
      <c r="M34" t="s">
        <v>155</v>
      </c>
      <c r="N34" t="s">
        <v>155</v>
      </c>
      <c r="O34" t="s">
        <v>155</v>
      </c>
      <c r="Q34">
        <v>1</v>
      </c>
      <c r="S34">
        <f>0.95*S35</f>
        <v>3230</v>
      </c>
      <c r="T34">
        <f>T35</f>
        <v>3.8</v>
      </c>
      <c r="U34">
        <f>0.95*U35</f>
        <v>92720</v>
      </c>
      <c r="V34">
        <f>V35</f>
        <v>25</v>
      </c>
      <c r="W34">
        <v>1</v>
      </c>
      <c r="Y34" s="6"/>
      <c r="Z34" s="6"/>
      <c r="AA34" s="6"/>
      <c r="AB34" s="6"/>
      <c r="AC34" s="6"/>
      <c r="AD34" s="6"/>
      <c r="AE34" s="6"/>
      <c r="AF34" s="6"/>
      <c r="AG34" s="6"/>
    </row>
    <row r="35" spans="1:33" x14ac:dyDescent="0.25">
      <c r="A35">
        <v>70.5</v>
      </c>
      <c r="B35" t="s">
        <v>55</v>
      </c>
      <c r="C35" t="s">
        <v>115</v>
      </c>
      <c r="D35">
        <v>2030</v>
      </c>
      <c r="E35">
        <v>1</v>
      </c>
      <c r="F35">
        <v>0.29599999999999999</v>
      </c>
      <c r="G35">
        <v>1</v>
      </c>
      <c r="H35">
        <v>0.36</v>
      </c>
      <c r="I35" s="27">
        <f t="shared" ref="I35" si="5">J35*O35</f>
        <v>0.58823529411764708</v>
      </c>
      <c r="J35" s="27">
        <f t="shared" ref="J35" si="6">E35/(G35+H35)</f>
        <v>0.73529411764705888</v>
      </c>
      <c r="K35" s="27">
        <f t="shared" ref="K35" si="7">E35-G35*I35</f>
        <v>0.41176470588235292</v>
      </c>
      <c r="L35" s="27">
        <f t="shared" ref="L35" si="8">E35-G35*J35</f>
        <v>0.26470588235294112</v>
      </c>
      <c r="M35" s="27">
        <f t="shared" ref="M35" si="9">(E35+G35*I35)/F35</f>
        <v>5.3656597774244839</v>
      </c>
      <c r="N35" s="9">
        <f>$F35*(1+((1-$G35)/($H35+$G35))*($I35/$J35))</f>
        <v>0.29599999999999999</v>
      </c>
      <c r="O35">
        <v>0.8</v>
      </c>
      <c r="Q35">
        <v>1</v>
      </c>
      <c r="S35">
        <v>3400</v>
      </c>
      <c r="T35">
        <v>3.8</v>
      </c>
      <c r="U35">
        <v>97600</v>
      </c>
      <c r="V35">
        <v>25</v>
      </c>
      <c r="W35">
        <v>1</v>
      </c>
      <c r="Y35" s="6"/>
      <c r="Z35" s="6"/>
      <c r="AA35" s="6"/>
      <c r="AB35" s="6"/>
      <c r="AC35" s="6"/>
      <c r="AD35" s="6"/>
      <c r="AE35" s="6"/>
      <c r="AF35" s="6"/>
      <c r="AG35" s="6"/>
    </row>
    <row r="36" spans="1:33" x14ac:dyDescent="0.25">
      <c r="A36">
        <v>100</v>
      </c>
      <c r="B36" t="s">
        <v>211</v>
      </c>
      <c r="C36" t="s">
        <v>116</v>
      </c>
      <c r="D36">
        <v>2020</v>
      </c>
      <c r="E36">
        <v>1</v>
      </c>
      <c r="F36">
        <v>3.6</v>
      </c>
      <c r="G36" t="s">
        <v>155</v>
      </c>
      <c r="H36" t="s">
        <v>155</v>
      </c>
      <c r="I36" t="s">
        <v>155</v>
      </c>
      <c r="J36" t="s">
        <v>155</v>
      </c>
      <c r="K36" t="s">
        <v>155</v>
      </c>
      <c r="L36" t="s">
        <v>155</v>
      </c>
      <c r="M36" t="s">
        <v>155</v>
      </c>
      <c r="N36" t="s">
        <v>155</v>
      </c>
      <c r="O36" t="s">
        <v>155</v>
      </c>
      <c r="P36">
        <v>1</v>
      </c>
      <c r="Q36">
        <v>1</v>
      </c>
      <c r="S36">
        <v>660</v>
      </c>
      <c r="T36">
        <v>1.8</v>
      </c>
      <c r="U36">
        <v>2000</v>
      </c>
      <c r="V36">
        <v>25</v>
      </c>
      <c r="W36">
        <v>1</v>
      </c>
      <c r="Y36" s="6"/>
      <c r="Z36" s="6"/>
      <c r="AA36" s="6"/>
      <c r="AB36" s="6"/>
      <c r="AC36" s="6"/>
      <c r="AD36" s="6"/>
      <c r="AE36" s="6"/>
      <c r="AF36" s="6"/>
      <c r="AG36" s="6"/>
    </row>
    <row r="37" spans="1:33" x14ac:dyDescent="0.25">
      <c r="A37">
        <v>101</v>
      </c>
      <c r="B37" t="s">
        <v>212</v>
      </c>
      <c r="C37" t="s">
        <v>213</v>
      </c>
      <c r="D37">
        <v>2020</v>
      </c>
      <c r="E37">
        <v>1</v>
      </c>
      <c r="F37">
        <v>1.71</v>
      </c>
      <c r="G37" t="s">
        <v>155</v>
      </c>
      <c r="H37" t="s">
        <v>155</v>
      </c>
      <c r="I37" s="27" t="s">
        <v>155</v>
      </c>
      <c r="J37" s="27" t="s">
        <v>155</v>
      </c>
      <c r="K37" s="27" t="s">
        <v>155</v>
      </c>
      <c r="L37" s="27" t="s">
        <v>155</v>
      </c>
      <c r="M37" s="27" t="s">
        <v>155</v>
      </c>
      <c r="N37" s="9" t="s">
        <v>155</v>
      </c>
      <c r="O37" t="s">
        <v>155</v>
      </c>
      <c r="P37">
        <v>1</v>
      </c>
      <c r="Q37">
        <v>1</v>
      </c>
      <c r="S37">
        <v>560</v>
      </c>
      <c r="T37">
        <v>0.28000000000000003</v>
      </c>
      <c r="U37">
        <v>2000</v>
      </c>
      <c r="V37">
        <v>25</v>
      </c>
      <c r="W37">
        <v>1</v>
      </c>
      <c r="Y37" s="6"/>
      <c r="Z37" s="6"/>
      <c r="AA37" s="6"/>
      <c r="AB37" s="6"/>
      <c r="AC37" s="6"/>
      <c r="AD37" s="6"/>
      <c r="AE37" s="6"/>
      <c r="AF37" s="6"/>
      <c r="AG37" s="6"/>
    </row>
    <row r="38" spans="1:33" x14ac:dyDescent="0.25">
      <c r="A38">
        <v>102</v>
      </c>
      <c r="B38" t="s">
        <v>214</v>
      </c>
      <c r="C38" t="s">
        <v>215</v>
      </c>
      <c r="D38">
        <v>2020</v>
      </c>
      <c r="E38">
        <v>1</v>
      </c>
      <c r="F38">
        <v>0.99</v>
      </c>
      <c r="G38" t="s">
        <v>155</v>
      </c>
      <c r="H38" t="s">
        <v>155</v>
      </c>
      <c r="I38" t="s">
        <v>155</v>
      </c>
      <c r="J38" t="s">
        <v>155</v>
      </c>
      <c r="K38" t="s">
        <v>155</v>
      </c>
      <c r="L38" t="s">
        <v>155</v>
      </c>
      <c r="M38" t="s">
        <v>155</v>
      </c>
      <c r="N38" t="s">
        <v>155</v>
      </c>
      <c r="O38" t="s">
        <v>155</v>
      </c>
      <c r="P38">
        <v>1</v>
      </c>
      <c r="Q38">
        <v>1</v>
      </c>
      <c r="S38">
        <v>150</v>
      </c>
      <c r="T38">
        <v>0.5</v>
      </c>
      <c r="U38">
        <v>1070</v>
      </c>
      <c r="W38">
        <v>1</v>
      </c>
      <c r="Y38" s="6"/>
      <c r="Z38" s="6"/>
      <c r="AA38" s="6"/>
      <c r="AB38" s="6"/>
      <c r="AC38" s="6"/>
      <c r="AD38" s="6"/>
      <c r="AE38" s="6"/>
      <c r="AF38" s="6"/>
      <c r="AG38" s="6"/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A340-82E7-43E3-8839-0FF1CC25A011}">
  <dimension ref="A1:E49"/>
  <sheetViews>
    <sheetView workbookViewId="0">
      <selection activeCell="D49" sqref="D49"/>
    </sheetView>
  </sheetViews>
  <sheetFormatPr baseColWidth="10" defaultRowHeight="15" x14ac:dyDescent="0.25"/>
  <cols>
    <col min="1" max="1" width="12.42578125" style="3" customWidth="1"/>
    <col min="2" max="2" width="11.42578125" style="3" customWidth="1"/>
  </cols>
  <sheetData>
    <row r="1" spans="1:5" s="3" customFormat="1" x14ac:dyDescent="0.25">
      <c r="A1" s="13" t="s">
        <v>18</v>
      </c>
      <c r="B1" s="13" t="s">
        <v>57</v>
      </c>
      <c r="C1" s="13" t="s">
        <v>139</v>
      </c>
      <c r="D1" s="13" t="s">
        <v>140</v>
      </c>
      <c r="E1" s="13" t="s">
        <v>58</v>
      </c>
    </row>
    <row r="2" spans="1:5" x14ac:dyDescent="0.25">
      <c r="A2" s="3">
        <v>20.5</v>
      </c>
      <c r="B2" s="3" t="s">
        <v>59</v>
      </c>
      <c r="C2">
        <f>tech_full!E5</f>
        <v>1</v>
      </c>
      <c r="D2">
        <v>0</v>
      </c>
      <c r="E2">
        <f>C2+tech_full!$G5*D2</f>
        <v>1</v>
      </c>
    </row>
    <row r="3" spans="1:5" x14ac:dyDescent="0.25">
      <c r="A3" s="3">
        <v>20.5</v>
      </c>
      <c r="B3" s="3" t="s">
        <v>60</v>
      </c>
      <c r="C3" s="26">
        <f>tech_full!K5</f>
        <v>0.82222222222222219</v>
      </c>
      <c r="D3" s="26">
        <f>tech_full!I5</f>
        <v>1.1851851851851851</v>
      </c>
      <c r="E3">
        <f>C3+tech_full!$G5*D3</f>
        <v>1</v>
      </c>
    </row>
    <row r="4" spans="1:5" x14ac:dyDescent="0.25">
      <c r="A4" s="3">
        <v>20.5</v>
      </c>
      <c r="B4" s="3" t="s">
        <v>61</v>
      </c>
      <c r="C4">
        <f>tech_full!H5*tech_full!I5</f>
        <v>0.62222222222222223</v>
      </c>
      <c r="D4" s="26">
        <f>tech_full!I5</f>
        <v>1.1851851851851851</v>
      </c>
      <c r="E4">
        <f>C4+tech_full!$G5*D4</f>
        <v>0.8</v>
      </c>
    </row>
    <row r="5" spans="1:5" x14ac:dyDescent="0.25">
      <c r="A5" s="3">
        <v>20.5</v>
      </c>
      <c r="B5" s="3" t="s">
        <v>62</v>
      </c>
      <c r="C5">
        <v>0</v>
      </c>
      <c r="D5">
        <v>0</v>
      </c>
      <c r="E5">
        <v>0</v>
      </c>
    </row>
    <row r="6" spans="1:5" x14ac:dyDescent="0.25">
      <c r="A6" s="3">
        <v>21.5</v>
      </c>
      <c r="B6" s="3" t="s">
        <v>59</v>
      </c>
      <c r="C6">
        <f>tech_full!E7</f>
        <v>1</v>
      </c>
      <c r="D6">
        <v>0</v>
      </c>
      <c r="E6">
        <f>C6+tech_full!$G7*D6</f>
        <v>1</v>
      </c>
    </row>
    <row r="7" spans="1:5" x14ac:dyDescent="0.25">
      <c r="A7" s="3">
        <v>21.5</v>
      </c>
      <c r="B7" s="3" t="s">
        <v>60</v>
      </c>
      <c r="C7" s="26">
        <f>tech_full!K7</f>
        <v>0.85185185185185186</v>
      </c>
      <c r="D7" s="26">
        <f>tech_full!I7</f>
        <v>0.98765432098765427</v>
      </c>
      <c r="E7">
        <f>C7+tech_full!$G7*D7</f>
        <v>1</v>
      </c>
    </row>
    <row r="8" spans="1:5" x14ac:dyDescent="0.25">
      <c r="A8" s="3">
        <v>21.5</v>
      </c>
      <c r="B8" s="3" t="s">
        <v>61</v>
      </c>
      <c r="C8">
        <f>tech_full!H7*tech_full!I7</f>
        <v>0.65185185185185179</v>
      </c>
      <c r="D8" s="26">
        <f>tech_full!I7</f>
        <v>0.98765432098765427</v>
      </c>
      <c r="E8">
        <f>C8+tech_full!$G7*D8</f>
        <v>0.79999999999999993</v>
      </c>
    </row>
    <row r="9" spans="1:5" x14ac:dyDescent="0.25">
      <c r="A9" s="3">
        <v>21.5</v>
      </c>
      <c r="B9" s="3" t="s">
        <v>62</v>
      </c>
      <c r="C9">
        <v>0</v>
      </c>
      <c r="D9">
        <v>0</v>
      </c>
      <c r="E9">
        <v>0</v>
      </c>
    </row>
    <row r="10" spans="1:5" x14ac:dyDescent="0.25">
      <c r="A10" s="3">
        <v>30.5</v>
      </c>
      <c r="B10" s="3" t="s">
        <v>59</v>
      </c>
      <c r="C10">
        <f>tech_full!E9</f>
        <v>1</v>
      </c>
      <c r="D10">
        <v>0</v>
      </c>
      <c r="E10">
        <f>C10+tech_full!$G9*D10</f>
        <v>1</v>
      </c>
    </row>
    <row r="11" spans="1:5" x14ac:dyDescent="0.25">
      <c r="A11" s="3">
        <v>30.5</v>
      </c>
      <c r="B11" s="3" t="s">
        <v>60</v>
      </c>
      <c r="C11" s="26">
        <f>tech_full!K9</f>
        <v>0.82857142857142863</v>
      </c>
      <c r="D11" s="26">
        <f>tech_full!I9</f>
        <v>1.1428571428571428</v>
      </c>
      <c r="E11">
        <f>C11+tech_full!$G9*D11</f>
        <v>1</v>
      </c>
    </row>
    <row r="12" spans="1:5" x14ac:dyDescent="0.25">
      <c r="A12" s="3">
        <v>30.5</v>
      </c>
      <c r="B12" s="3" t="s">
        <v>61</v>
      </c>
      <c r="C12">
        <f>tech_full!H9*tech_full!I9</f>
        <v>0.62857142857142856</v>
      </c>
      <c r="D12" s="26">
        <f>tech_full!I9</f>
        <v>1.1428571428571428</v>
      </c>
      <c r="E12">
        <f>C12+tech_full!$G9*D12</f>
        <v>0.79999999999999993</v>
      </c>
    </row>
    <row r="13" spans="1:5" x14ac:dyDescent="0.25">
      <c r="A13" s="3">
        <v>30.5</v>
      </c>
      <c r="B13" s="3" t="s">
        <v>62</v>
      </c>
      <c r="C13">
        <v>0</v>
      </c>
      <c r="D13">
        <v>0</v>
      </c>
      <c r="E13">
        <v>0</v>
      </c>
    </row>
    <row r="14" spans="1:5" x14ac:dyDescent="0.25">
      <c r="A14" s="3">
        <v>31.5</v>
      </c>
      <c r="B14" s="3" t="s">
        <v>59</v>
      </c>
      <c r="C14">
        <f>tech_full!E11</f>
        <v>1</v>
      </c>
      <c r="D14">
        <v>0</v>
      </c>
      <c r="E14">
        <f>C14+tech_full!$G11*D14</f>
        <v>1</v>
      </c>
    </row>
    <row r="15" spans="1:5" x14ac:dyDescent="0.25">
      <c r="A15" s="3">
        <v>31.5</v>
      </c>
      <c r="B15" s="3" t="s">
        <v>60</v>
      </c>
      <c r="C15" s="26">
        <f>tech_full!K11</f>
        <v>0.84</v>
      </c>
      <c r="D15" s="26">
        <f>tech_full!I11</f>
        <v>1.0666666666666667</v>
      </c>
      <c r="E15">
        <f>C15+tech_full!$G11*D15</f>
        <v>1</v>
      </c>
    </row>
    <row r="16" spans="1:5" x14ac:dyDescent="0.25">
      <c r="A16" s="3">
        <v>31.5</v>
      </c>
      <c r="B16" s="3" t="s">
        <v>61</v>
      </c>
      <c r="C16">
        <f>tech_full!H11*tech_full!I11</f>
        <v>0.64</v>
      </c>
      <c r="D16" s="26">
        <f>tech_full!I11</f>
        <v>1.0666666666666667</v>
      </c>
      <c r="E16">
        <f>C16+tech_full!$G11*D16</f>
        <v>0.8</v>
      </c>
    </row>
    <row r="17" spans="1:5" x14ac:dyDescent="0.25">
      <c r="A17" s="3">
        <v>31.5</v>
      </c>
      <c r="B17" s="3" t="s">
        <v>62</v>
      </c>
      <c r="C17">
        <v>0</v>
      </c>
      <c r="D17">
        <v>0</v>
      </c>
      <c r="E17">
        <v>0</v>
      </c>
    </row>
    <row r="18" spans="1:5" x14ac:dyDescent="0.25">
      <c r="A18" s="3">
        <v>32.5</v>
      </c>
      <c r="B18" s="3" t="s">
        <v>59</v>
      </c>
      <c r="C18">
        <f>tech_full!E13</f>
        <v>1</v>
      </c>
      <c r="D18">
        <v>0</v>
      </c>
      <c r="E18">
        <f>C18+tech_full!$G13*D18</f>
        <v>1</v>
      </c>
    </row>
    <row r="19" spans="1:5" x14ac:dyDescent="0.25">
      <c r="A19" s="3">
        <v>32.5</v>
      </c>
      <c r="B19" s="3" t="s">
        <v>60</v>
      </c>
      <c r="C19" s="26">
        <f>tech_full!K13</f>
        <v>0.87878787878787878</v>
      </c>
      <c r="D19" s="26">
        <f>tech_full!I13</f>
        <v>0.80808080808080818</v>
      </c>
      <c r="E19">
        <f>C19+tech_full!$G13*D19</f>
        <v>1</v>
      </c>
    </row>
    <row r="20" spans="1:5" x14ac:dyDescent="0.25">
      <c r="A20" s="3">
        <v>32.5</v>
      </c>
      <c r="B20" s="3" t="s">
        <v>61</v>
      </c>
      <c r="C20">
        <f>tech_full!H13*tech_full!I13</f>
        <v>0.67878787878787883</v>
      </c>
      <c r="D20" s="26">
        <f>tech_full!I13</f>
        <v>0.80808080808080818</v>
      </c>
      <c r="E20">
        <f>C20+tech_full!$G13*D20</f>
        <v>0.8</v>
      </c>
    </row>
    <row r="21" spans="1:5" x14ac:dyDescent="0.25">
      <c r="A21" s="3">
        <v>32.5</v>
      </c>
      <c r="B21" s="3" t="s">
        <v>62</v>
      </c>
      <c r="C21">
        <v>0</v>
      </c>
      <c r="D21">
        <v>0</v>
      </c>
      <c r="E21">
        <v>0</v>
      </c>
    </row>
    <row r="22" spans="1:5" x14ac:dyDescent="0.25">
      <c r="A22" s="3">
        <v>40.5</v>
      </c>
      <c r="B22" s="3" t="s">
        <v>59</v>
      </c>
      <c r="C22">
        <f>tech_full!E16</f>
        <v>1</v>
      </c>
      <c r="D22">
        <v>0</v>
      </c>
      <c r="E22">
        <f>C22+tech_full!$G16*D22</f>
        <v>1</v>
      </c>
    </row>
    <row r="23" spans="1:5" x14ac:dyDescent="0.25">
      <c r="A23" s="3">
        <v>40.5</v>
      </c>
      <c r="B23" s="3" t="s">
        <v>60</v>
      </c>
      <c r="C23" s="26">
        <f>tech_full!K16</f>
        <v>0.82857142857142863</v>
      </c>
      <c r="D23" s="26">
        <f>tech_full!I16</f>
        <v>1.1428571428571428</v>
      </c>
      <c r="E23">
        <f>C23+tech_full!$G16*D23</f>
        <v>1</v>
      </c>
    </row>
    <row r="24" spans="1:5" x14ac:dyDescent="0.25">
      <c r="A24" s="3">
        <v>40.5</v>
      </c>
      <c r="B24" s="3" t="s">
        <v>61</v>
      </c>
      <c r="C24">
        <f>tech_full!H16*tech_full!I16</f>
        <v>0.62857142857142856</v>
      </c>
      <c r="D24" s="26">
        <f>tech_full!I16</f>
        <v>1.1428571428571428</v>
      </c>
      <c r="E24">
        <f>C24+tech_full!$G16*D24</f>
        <v>0.79999999999999993</v>
      </c>
    </row>
    <row r="25" spans="1:5" x14ac:dyDescent="0.25">
      <c r="A25" s="3">
        <v>40.5</v>
      </c>
      <c r="B25" s="3" t="s">
        <v>62</v>
      </c>
      <c r="C25">
        <v>0</v>
      </c>
      <c r="D25">
        <v>0</v>
      </c>
      <c r="E25">
        <v>0</v>
      </c>
    </row>
    <row r="26" spans="1:5" x14ac:dyDescent="0.25">
      <c r="A26" s="3">
        <v>43.5</v>
      </c>
      <c r="B26" s="3" t="s">
        <v>59</v>
      </c>
      <c r="C26">
        <f>tech_full!E20</f>
        <v>1</v>
      </c>
      <c r="D26">
        <v>0</v>
      </c>
      <c r="E26">
        <f>C26+tech_full!$G20*D26</f>
        <v>1</v>
      </c>
    </row>
    <row r="27" spans="1:5" x14ac:dyDescent="0.25">
      <c r="A27" s="3">
        <v>43.5</v>
      </c>
      <c r="B27" s="3" t="s">
        <v>60</v>
      </c>
      <c r="C27" s="26">
        <f>tech_full!K20</f>
        <v>0.93846153846153846</v>
      </c>
      <c r="D27" s="26">
        <f>tech_full!I20</f>
        <v>0.41025641025641035</v>
      </c>
      <c r="E27">
        <f>C27+tech_full!$G20*D27</f>
        <v>1</v>
      </c>
    </row>
    <row r="28" spans="1:5" x14ac:dyDescent="0.25">
      <c r="A28" s="3">
        <v>43.5</v>
      </c>
      <c r="B28" s="3" t="s">
        <v>61</v>
      </c>
      <c r="C28">
        <f>tech_full!H20*tech_full!I20</f>
        <v>0.73846153846153861</v>
      </c>
      <c r="D28" s="26">
        <f>tech_full!I20</f>
        <v>0.41025641025641035</v>
      </c>
      <c r="E28">
        <f>C28+tech_full!$G20*D28</f>
        <v>0.80000000000000016</v>
      </c>
    </row>
    <row r="29" spans="1:5" x14ac:dyDescent="0.25">
      <c r="A29" s="3">
        <v>43.5</v>
      </c>
      <c r="B29" s="3" t="s">
        <v>62</v>
      </c>
      <c r="C29">
        <v>0</v>
      </c>
      <c r="D29">
        <v>0</v>
      </c>
      <c r="E29">
        <v>0</v>
      </c>
    </row>
    <row r="30" spans="1:5" x14ac:dyDescent="0.25">
      <c r="A30" s="3">
        <v>44.5</v>
      </c>
      <c r="B30" s="3" t="s">
        <v>59</v>
      </c>
      <c r="C30">
        <f>tech_full!E22</f>
        <v>1</v>
      </c>
      <c r="D30">
        <v>0</v>
      </c>
      <c r="E30">
        <f>C30+tech_full!$G22*D30</f>
        <v>1</v>
      </c>
    </row>
    <row r="31" spans="1:5" x14ac:dyDescent="0.25">
      <c r="A31" s="3">
        <v>44.5</v>
      </c>
      <c r="B31" s="3" t="s">
        <v>60</v>
      </c>
      <c r="C31" s="26">
        <f>tech_full!K22</f>
        <v>0.94418604651162785</v>
      </c>
      <c r="D31" s="26">
        <f>tech_full!I22</f>
        <v>0.37209302325581395</v>
      </c>
      <c r="E31">
        <f>C31+tech_full!$G22*D31</f>
        <v>1</v>
      </c>
    </row>
    <row r="32" spans="1:5" x14ac:dyDescent="0.25">
      <c r="A32" s="3">
        <v>44.5</v>
      </c>
      <c r="B32" s="3" t="s">
        <v>61</v>
      </c>
      <c r="C32">
        <f>tech_full!H22*tech_full!I22</f>
        <v>0.7441860465116279</v>
      </c>
      <c r="D32" s="26">
        <f>tech_full!I22</f>
        <v>0.37209302325581395</v>
      </c>
      <c r="E32">
        <f>C32+tech_full!$G22*D32</f>
        <v>0.8</v>
      </c>
    </row>
    <row r="33" spans="1:5" x14ac:dyDescent="0.25">
      <c r="A33" s="3">
        <v>44.5</v>
      </c>
      <c r="B33" s="3" t="s">
        <v>62</v>
      </c>
      <c r="C33">
        <v>0</v>
      </c>
      <c r="D33">
        <v>0</v>
      </c>
      <c r="E33">
        <v>0</v>
      </c>
    </row>
    <row r="34" spans="1:5" x14ac:dyDescent="0.25">
      <c r="A34" s="3">
        <v>45.5</v>
      </c>
      <c r="B34" s="3" t="s">
        <v>59</v>
      </c>
      <c r="C34">
        <f>tech_full!E24</f>
        <v>1</v>
      </c>
      <c r="D34">
        <v>0</v>
      </c>
      <c r="E34">
        <f>C34+tech_full!$G24*D34</f>
        <v>1</v>
      </c>
    </row>
    <row r="35" spans="1:5" x14ac:dyDescent="0.25">
      <c r="A35" s="3">
        <v>45.5</v>
      </c>
      <c r="B35" s="3" t="s">
        <v>60</v>
      </c>
      <c r="C35" s="26">
        <f>tech_full!K24</f>
        <v>1</v>
      </c>
      <c r="D35" s="26">
        <f>tech_full!I24</f>
        <v>0.84210526315789469</v>
      </c>
      <c r="E35">
        <f>C35+tech_full!$G24*D35</f>
        <v>1</v>
      </c>
    </row>
    <row r="36" spans="1:5" x14ac:dyDescent="0.25">
      <c r="A36" s="3">
        <v>45.5</v>
      </c>
      <c r="B36" s="3" t="s">
        <v>61</v>
      </c>
      <c r="C36">
        <f>tech_full!H24*tech_full!I24</f>
        <v>0.79999999999999993</v>
      </c>
      <c r="D36" s="26">
        <f>tech_full!I24</f>
        <v>0.84210526315789469</v>
      </c>
      <c r="E36">
        <f>C36+tech_full!$G24*D36</f>
        <v>0.79999999999999993</v>
      </c>
    </row>
    <row r="37" spans="1:5" x14ac:dyDescent="0.25">
      <c r="A37" s="3">
        <v>45.5</v>
      </c>
      <c r="B37" s="3" t="s">
        <v>62</v>
      </c>
      <c r="C37">
        <v>0</v>
      </c>
      <c r="D37">
        <v>0</v>
      </c>
      <c r="E37">
        <v>0</v>
      </c>
    </row>
    <row r="38" spans="1:5" x14ac:dyDescent="0.25">
      <c r="A38" s="3">
        <v>50.5</v>
      </c>
      <c r="B38" s="3" t="s">
        <v>59</v>
      </c>
      <c r="C38">
        <f>tech_full!E27</f>
        <v>1</v>
      </c>
      <c r="D38">
        <v>0</v>
      </c>
      <c r="E38">
        <f>C38+tech_full!$G27*D38</f>
        <v>1</v>
      </c>
    </row>
    <row r="39" spans="1:5" x14ac:dyDescent="0.25">
      <c r="A39" s="3">
        <v>50.5</v>
      </c>
      <c r="B39" s="3" t="s">
        <v>60</v>
      </c>
      <c r="C39" s="26">
        <f>tech_full!K27</f>
        <v>0.80689655172413799</v>
      </c>
      <c r="D39" s="26">
        <f>tech_full!I27</f>
        <v>1.103448275862069</v>
      </c>
      <c r="E39">
        <f>C39+tech_full!$G27*D39</f>
        <v>1</v>
      </c>
    </row>
    <row r="40" spans="1:5" x14ac:dyDescent="0.25">
      <c r="A40" s="3">
        <v>50.5</v>
      </c>
      <c r="B40" s="3" t="s">
        <v>61</v>
      </c>
      <c r="C40">
        <f>tech_full!H27*tech_full!I27</f>
        <v>0.60689655172413792</v>
      </c>
      <c r="D40" s="26">
        <f>tech_full!I27</f>
        <v>1.103448275862069</v>
      </c>
      <c r="E40">
        <f>C40+tech_full!$G27*D40</f>
        <v>0.8</v>
      </c>
    </row>
    <row r="41" spans="1:5" x14ac:dyDescent="0.25">
      <c r="A41" s="3">
        <v>50.5</v>
      </c>
      <c r="B41" s="3" t="s">
        <v>62</v>
      </c>
      <c r="C41">
        <v>0</v>
      </c>
      <c r="D41">
        <v>0</v>
      </c>
      <c r="E41">
        <v>0</v>
      </c>
    </row>
    <row r="42" spans="1:5" x14ac:dyDescent="0.25">
      <c r="A42" s="3">
        <v>52.5</v>
      </c>
      <c r="B42" s="3" t="s">
        <v>59</v>
      </c>
      <c r="C42">
        <f>tech_full!E30</f>
        <v>1</v>
      </c>
      <c r="D42">
        <v>0</v>
      </c>
      <c r="E42">
        <f>C42+tech_full!$G30*D42</f>
        <v>1</v>
      </c>
    </row>
    <row r="43" spans="1:5" x14ac:dyDescent="0.25">
      <c r="A43" s="3">
        <v>52.5</v>
      </c>
      <c r="B43" s="3" t="s">
        <v>60</v>
      </c>
      <c r="C43" s="26">
        <f>tech_full!K30</f>
        <v>0.82126642771804059</v>
      </c>
      <c r="D43" s="26">
        <f>tech_full!I30</f>
        <v>0.95579450418160106</v>
      </c>
      <c r="E43">
        <f>C43+tech_full!$G30*D43</f>
        <v>1</v>
      </c>
    </row>
    <row r="44" spans="1:5" x14ac:dyDescent="0.25">
      <c r="A44" s="3">
        <v>52.5</v>
      </c>
      <c r="B44" s="3" t="s">
        <v>61</v>
      </c>
      <c r="C44">
        <f>tech_full!H30*tech_full!I30</f>
        <v>0.62126642771804075</v>
      </c>
      <c r="D44" s="26">
        <f>tech_full!I30</f>
        <v>0.95579450418160106</v>
      </c>
      <c r="E44">
        <f>C44+tech_full!$G30*D44</f>
        <v>0.80000000000000016</v>
      </c>
    </row>
    <row r="45" spans="1:5" x14ac:dyDescent="0.25">
      <c r="A45" s="3">
        <v>52.5</v>
      </c>
      <c r="B45" s="3" t="s">
        <v>62</v>
      </c>
      <c r="C45">
        <v>0</v>
      </c>
      <c r="D45">
        <v>0</v>
      </c>
      <c r="E45">
        <v>0</v>
      </c>
    </row>
    <row r="46" spans="1:5" x14ac:dyDescent="0.25">
      <c r="A46" s="3">
        <v>70.5</v>
      </c>
      <c r="B46" s="3" t="s">
        <v>59</v>
      </c>
      <c r="C46">
        <f>tech_full!E35</f>
        <v>1</v>
      </c>
      <c r="D46">
        <v>0</v>
      </c>
      <c r="E46">
        <f>C46+tech_full!$G35*D46</f>
        <v>1</v>
      </c>
    </row>
    <row r="47" spans="1:5" x14ac:dyDescent="0.25">
      <c r="A47" s="3">
        <v>70.5</v>
      </c>
      <c r="B47" s="3" t="s">
        <v>60</v>
      </c>
      <c r="C47" s="26">
        <f>tech_full!K35</f>
        <v>0.41176470588235292</v>
      </c>
      <c r="D47" s="26">
        <f>tech_full!I35</f>
        <v>0.58823529411764708</v>
      </c>
      <c r="E47">
        <f>C47+tech_full!$G35*D47</f>
        <v>1</v>
      </c>
    </row>
    <row r="48" spans="1:5" x14ac:dyDescent="0.25">
      <c r="A48" s="3">
        <v>70.5</v>
      </c>
      <c r="B48" s="3" t="s">
        <v>61</v>
      </c>
      <c r="C48">
        <f>tech_full!H35*tech_full!I35</f>
        <v>0.21176470588235294</v>
      </c>
      <c r="D48" s="26">
        <f>tech_full!I35</f>
        <v>0.58823529411764708</v>
      </c>
      <c r="E48">
        <f>C48+tech_full!$G35*D48</f>
        <v>0.8</v>
      </c>
    </row>
    <row r="49" spans="1:5" x14ac:dyDescent="0.25">
      <c r="A49" s="3">
        <v>70.5</v>
      </c>
      <c r="B49" s="3" t="s">
        <v>62</v>
      </c>
      <c r="C49">
        <v>0</v>
      </c>
      <c r="D49">
        <v>0</v>
      </c>
      <c r="E49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Sources</vt:lpstr>
      <vt:lpstr>legend</vt:lpstr>
      <vt:lpstr>WACC</vt:lpstr>
      <vt:lpstr>INITIAL_CAP_R</vt:lpstr>
      <vt:lpstr>CAPITALCOST_R</vt:lpstr>
      <vt:lpstr>CAPITALCOST_S</vt:lpstr>
      <vt:lpstr>parameters_G</vt:lpstr>
      <vt:lpstr>tech_full</vt:lpstr>
      <vt:lpstr>FEASIBLE_INPUT-OUTPUT</vt:lpstr>
      <vt:lpstr>FEASIBLE_INPUT-OUTPUT_BAK</vt:lpstr>
      <vt:lpstr>COST_TRANSPORT</vt:lpstr>
      <vt:lpstr>ATC</vt:lpstr>
      <vt:lpstr>KM</vt:lpstr>
      <vt:lpstr>potentials</vt:lpstr>
      <vt:lpstr>AIR_POLLUTION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2020-04-21T21:29:09Z</dcterms:modified>
</cp:coreProperties>
</file>