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medea\data\processed\"/>
    </mc:Choice>
  </mc:AlternateContent>
  <xr:revisionPtr revIDLastSave="0" documentId="13_ncr:1_{90589A35-CCDD-4FB8-80DE-F9DBCF2ED40A}" xr6:coauthVersionLast="45" xr6:coauthVersionMax="45" xr10:uidLastSave="{00000000-0000-0000-0000-000000000000}"/>
  <bookViews>
    <workbookView xWindow="915" yWindow="1275" windowWidth="21630" windowHeight="12900" tabRatio="860" firstSheet="2" activeTab="10" xr2:uid="{621F8D32-52B7-4CE4-9D99-ED32CD70233E}"/>
  </bookViews>
  <sheets>
    <sheet name="Sources" sheetId="16" r:id="rId1"/>
    <sheet name="legend" sheetId="5" r:id="rId2"/>
    <sheet name="Capacities" sheetId="22" r:id="rId3"/>
    <sheet name="Technologies" sheetId="21" r:id="rId4"/>
    <sheet name="FEASIBLE_INPUT-OUTPUT" sheetId="18" r:id="rId5"/>
    <sheet name="AIR_POLLUTION" sheetId="20" r:id="rId6"/>
    <sheet name="ATC" sheetId="3" r:id="rId7"/>
    <sheet name="KM" sheetId="4" r:id="rId8"/>
    <sheet name="COST_TRANSPORT" sheetId="11" r:id="rId9"/>
    <sheet name="ESTIMATES" sheetId="23" r:id="rId10"/>
    <sheet name="CO2_INTENSITY" sheetId="24" r:id="rId11"/>
    <sheet name="WACC" sheetId="7" r:id="rId12"/>
    <sheet name="INITIAL_CAP_R" sheetId="2" r:id="rId13"/>
    <sheet name="CAPITALCOST_R" sheetId="8" r:id="rId14"/>
    <sheet name="CAPITALCOST_S" sheetId="10" r:id="rId15"/>
    <sheet name="parameters_G" sheetId="9" r:id="rId16"/>
    <sheet name="tech_full" sheetId="17" r:id="rId17"/>
    <sheet name="FEASIBLE_INPUT-OUTPUT_BAK" sheetId="6" r:id="rId18"/>
    <sheet name="potentials" sheetId="19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5" i="21" l="1"/>
  <c r="S27" i="21"/>
  <c r="S38" i="21"/>
  <c r="F38" i="21"/>
  <c r="F27" i="21"/>
  <c r="F25" i="21"/>
  <c r="S5" i="21" l="1"/>
  <c r="S6" i="21"/>
  <c r="S7" i="21"/>
  <c r="S8" i="21"/>
  <c r="S9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6" i="21"/>
  <c r="S28" i="21"/>
  <c r="S29" i="21"/>
  <c r="S30" i="21"/>
  <c r="S31" i="21"/>
  <c r="S32" i="21"/>
  <c r="S33" i="21"/>
  <c r="S34" i="21"/>
  <c r="S35" i="21"/>
  <c r="S36" i="21"/>
  <c r="S37" i="21"/>
  <c r="S39" i="21"/>
  <c r="S40" i="21"/>
  <c r="S41" i="21"/>
  <c r="S42" i="21"/>
  <c r="S43" i="21"/>
  <c r="S44" i="21"/>
  <c r="S45" i="21"/>
  <c r="S46" i="21"/>
  <c r="S47" i="21"/>
  <c r="S48" i="21"/>
  <c r="S49" i="21"/>
  <c r="S50" i="21"/>
  <c r="S51" i="21"/>
  <c r="S52" i="21"/>
  <c r="S4" i="21"/>
  <c r="F52" i="21"/>
  <c r="H52" i="21" s="1"/>
  <c r="H49" i="21" l="1"/>
  <c r="H50" i="21"/>
  <c r="H46" i="21"/>
  <c r="H47" i="21"/>
  <c r="M51" i="21"/>
  <c r="I44" i="21"/>
  <c r="H44" i="21"/>
  <c r="H51" i="21" l="1"/>
  <c r="I51" i="21"/>
  <c r="H10" i="21" l="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6" i="21"/>
  <c r="H28" i="21"/>
  <c r="H29" i="21"/>
  <c r="H30" i="21"/>
  <c r="H31" i="21"/>
  <c r="H32" i="21"/>
  <c r="H33" i="21"/>
  <c r="H34" i="21"/>
  <c r="H35" i="21"/>
  <c r="H36" i="21"/>
  <c r="H37" i="21"/>
  <c r="H39" i="21"/>
  <c r="H40" i="21"/>
  <c r="H45" i="21"/>
  <c r="H48" i="21"/>
  <c r="H8" i="21"/>
  <c r="H9" i="21"/>
  <c r="H41" i="21"/>
  <c r="H42" i="21"/>
  <c r="H43" i="21"/>
  <c r="H5" i="21"/>
  <c r="H6" i="21"/>
  <c r="H7" i="21"/>
  <c r="H4" i="21"/>
  <c r="H9" i="10"/>
  <c r="I9" i="10"/>
  <c r="B6" i="20" l="1"/>
  <c r="G8" i="8" l="1"/>
  <c r="G9" i="8"/>
  <c r="G7" i="8"/>
  <c r="G6" i="8"/>
  <c r="G4" i="8"/>
  <c r="G5" i="8"/>
  <c r="S30" i="17" l="1"/>
  <c r="S20" i="17"/>
  <c r="S9" i="17"/>
  <c r="P8" i="9"/>
  <c r="S13" i="17"/>
  <c r="S11" i="17"/>
  <c r="P11" i="9"/>
  <c r="O3" i="9"/>
  <c r="Q3" i="9" s="1"/>
  <c r="O4" i="9"/>
  <c r="Q4" i="9" s="1"/>
  <c r="O5" i="9"/>
  <c r="O6" i="9"/>
  <c r="O7" i="9"/>
  <c r="O8" i="9"/>
  <c r="O9" i="9"/>
  <c r="O10" i="9"/>
  <c r="O11" i="9"/>
  <c r="Q11" i="9" s="1"/>
  <c r="O12" i="9"/>
  <c r="O13" i="9"/>
  <c r="O14" i="9"/>
  <c r="O15" i="9"/>
  <c r="Q15" i="9" s="1"/>
  <c r="O16" i="9"/>
  <c r="Q16" i="9" s="1"/>
  <c r="O17" i="9"/>
  <c r="O18" i="9"/>
  <c r="O19" i="9"/>
  <c r="O20" i="9"/>
  <c r="O21" i="9"/>
  <c r="O22" i="9"/>
  <c r="O23" i="9"/>
  <c r="O24" i="9"/>
  <c r="O25" i="9"/>
  <c r="O26" i="9"/>
  <c r="O27" i="9"/>
  <c r="Q27" i="9" s="1"/>
  <c r="O28" i="9"/>
  <c r="Q28" i="9" s="1"/>
  <c r="O29" i="9"/>
  <c r="O30" i="9"/>
  <c r="O31" i="9"/>
  <c r="O32" i="9"/>
  <c r="O33" i="9"/>
  <c r="O34" i="9"/>
  <c r="O35" i="9"/>
  <c r="O36" i="9"/>
  <c r="O37" i="9"/>
  <c r="O38" i="9"/>
  <c r="O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2" i="9"/>
  <c r="P5" i="9"/>
  <c r="P6" i="9"/>
  <c r="P7" i="9"/>
  <c r="P9" i="9"/>
  <c r="P10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" i="9"/>
  <c r="P4" i="9"/>
  <c r="P2" i="9"/>
  <c r="E48" i="18"/>
  <c r="D48" i="18"/>
  <c r="F48" i="18" s="1"/>
  <c r="E47" i="18"/>
  <c r="D47" i="18"/>
  <c r="F47" i="18" s="1"/>
  <c r="F46" i="18"/>
  <c r="D46" i="18"/>
  <c r="E44" i="18"/>
  <c r="F44" i="18" s="1"/>
  <c r="D44" i="18"/>
  <c r="E43" i="18"/>
  <c r="D43" i="18"/>
  <c r="F43" i="18" s="1"/>
  <c r="F42" i="18"/>
  <c r="D42" i="18"/>
  <c r="E40" i="18"/>
  <c r="F40" i="18" s="1"/>
  <c r="D40" i="18"/>
  <c r="E39" i="18"/>
  <c r="D39" i="18"/>
  <c r="F39" i="18" s="1"/>
  <c r="F38" i="18"/>
  <c r="D38" i="18"/>
  <c r="E36" i="18"/>
  <c r="F36" i="18" s="1"/>
  <c r="D36" i="18"/>
  <c r="E35" i="18"/>
  <c r="D35" i="18"/>
  <c r="F35" i="18" s="1"/>
  <c r="F34" i="18"/>
  <c r="D34" i="18"/>
  <c r="E32" i="18"/>
  <c r="F32" i="18" s="1"/>
  <c r="D32" i="18"/>
  <c r="E31" i="18"/>
  <c r="D31" i="18"/>
  <c r="F31" i="18" s="1"/>
  <c r="F30" i="18"/>
  <c r="D30" i="18"/>
  <c r="E28" i="18"/>
  <c r="D28" i="18"/>
  <c r="F28" i="18" s="1"/>
  <c r="E27" i="18"/>
  <c r="D27" i="18"/>
  <c r="F27" i="18" s="1"/>
  <c r="D26" i="18"/>
  <c r="F26" i="18" s="1"/>
  <c r="F24" i="18"/>
  <c r="E24" i="18"/>
  <c r="D24" i="18"/>
  <c r="F23" i="18"/>
  <c r="E23" i="18"/>
  <c r="D23" i="18"/>
  <c r="D22" i="18"/>
  <c r="F22" i="18" s="1"/>
  <c r="D18" i="18"/>
  <c r="F18" i="18" s="1"/>
  <c r="D19" i="18"/>
  <c r="E19" i="18"/>
  <c r="F19" i="18" s="1"/>
  <c r="D20" i="18"/>
  <c r="F20" i="18" s="1"/>
  <c r="E20" i="18"/>
  <c r="D16" i="18"/>
  <c r="E16" i="18"/>
  <c r="F15" i="18"/>
  <c r="E15" i="18"/>
  <c r="D15" i="18"/>
  <c r="F14" i="18"/>
  <c r="D14" i="18"/>
  <c r="E12" i="18"/>
  <c r="D12" i="18"/>
  <c r="F12" i="18" s="1"/>
  <c r="F11" i="18"/>
  <c r="E11" i="18"/>
  <c r="D11" i="18"/>
  <c r="D10" i="18"/>
  <c r="F10" i="18" s="1"/>
  <c r="E8" i="18"/>
  <c r="D8" i="18"/>
  <c r="F8" i="18" s="1"/>
  <c r="D7" i="18"/>
  <c r="F7" i="18" s="1"/>
  <c r="E7" i="18"/>
  <c r="D6" i="18"/>
  <c r="F6" i="18" s="1"/>
  <c r="F4" i="18"/>
  <c r="E4" i="18"/>
  <c r="D4" i="18"/>
  <c r="E3" i="18"/>
  <c r="F3" i="18" s="1"/>
  <c r="D3" i="18"/>
  <c r="D2" i="18"/>
  <c r="F2" i="18"/>
  <c r="J35" i="17"/>
  <c r="L35" i="17" s="1"/>
  <c r="I35" i="17"/>
  <c r="V34" i="17"/>
  <c r="U34" i="17"/>
  <c r="T34" i="17"/>
  <c r="S34" i="17"/>
  <c r="L30" i="17"/>
  <c r="J30" i="17"/>
  <c r="I30" i="17" s="1"/>
  <c r="L27" i="17"/>
  <c r="J27" i="17"/>
  <c r="I27" i="17" s="1"/>
  <c r="L24" i="17"/>
  <c r="J24" i="17"/>
  <c r="I24" i="17" s="1"/>
  <c r="V23" i="17"/>
  <c r="U23" i="17"/>
  <c r="T23" i="17"/>
  <c r="S23" i="17"/>
  <c r="L22" i="17"/>
  <c r="J22" i="17"/>
  <c r="I22" i="17" s="1"/>
  <c r="V21" i="17"/>
  <c r="U21" i="17"/>
  <c r="T21" i="17"/>
  <c r="S21" i="17"/>
  <c r="L20" i="17"/>
  <c r="J20" i="17"/>
  <c r="I20" i="17" s="1"/>
  <c r="J18" i="17"/>
  <c r="L18" i="17" s="1"/>
  <c r="I18" i="17"/>
  <c r="J16" i="17"/>
  <c r="I16" i="17" s="1"/>
  <c r="U14" i="17"/>
  <c r="N13" i="17"/>
  <c r="M13" i="17"/>
  <c r="L13" i="17"/>
  <c r="K13" i="17"/>
  <c r="J13" i="17"/>
  <c r="I13" i="17"/>
  <c r="N11" i="17"/>
  <c r="M11" i="17"/>
  <c r="K11" i="17"/>
  <c r="J11" i="17"/>
  <c r="L11" i="17" s="1"/>
  <c r="I11" i="17"/>
  <c r="J9" i="17"/>
  <c r="I9" i="17" s="1"/>
  <c r="S7" i="17"/>
  <c r="U7" i="17" s="1"/>
  <c r="N7" i="17"/>
  <c r="M7" i="17"/>
  <c r="L7" i="17"/>
  <c r="K7" i="17"/>
  <c r="J7" i="17"/>
  <c r="I7" i="17"/>
  <c r="U6" i="17"/>
  <c r="N5" i="17"/>
  <c r="L5" i="17"/>
  <c r="J5" i="17"/>
  <c r="I5" i="17"/>
  <c r="M5" i="17" s="1"/>
  <c r="U3" i="17"/>
  <c r="H2" i="10"/>
  <c r="I2" i="10"/>
  <c r="H3" i="10"/>
  <c r="I3" i="10"/>
  <c r="H4" i="10"/>
  <c r="I4" i="10"/>
  <c r="H5" i="10"/>
  <c r="I5" i="10"/>
  <c r="H6" i="10"/>
  <c r="I6" i="10"/>
  <c r="H7" i="10"/>
  <c r="I7" i="10"/>
  <c r="F16" i="18" l="1"/>
  <c r="Q30" i="9"/>
  <c r="Q18" i="9"/>
  <c r="Q6" i="9"/>
  <c r="Q37" i="9"/>
  <c r="Q25" i="9"/>
  <c r="Q13" i="9"/>
  <c r="Q35" i="9"/>
  <c r="Q23" i="9"/>
  <c r="Q34" i="9"/>
  <c r="Q22" i="9"/>
  <c r="Q33" i="9"/>
  <c r="Q21" i="9"/>
  <c r="Q32" i="9"/>
  <c r="Q20" i="9"/>
  <c r="Q9" i="9"/>
  <c r="Q31" i="9"/>
  <c r="Q19" i="9"/>
  <c r="Q7" i="9"/>
  <c r="Q29" i="9"/>
  <c r="Q17" i="9"/>
  <c r="Q5" i="9"/>
  <c r="Q2" i="9"/>
  <c r="Q38" i="9"/>
  <c r="Q26" i="9"/>
  <c r="Q14" i="9"/>
  <c r="Q36" i="9"/>
  <c r="Q24" i="9"/>
  <c r="Q12" i="9"/>
  <c r="Q10" i="9"/>
  <c r="Q8" i="9"/>
  <c r="K16" i="17"/>
  <c r="N16" i="17"/>
  <c r="M16" i="17"/>
  <c r="N27" i="17"/>
  <c r="M27" i="17"/>
  <c r="K27" i="17"/>
  <c r="N9" i="17"/>
  <c r="M9" i="17"/>
  <c r="K9" i="17"/>
  <c r="K22" i="17"/>
  <c r="N22" i="17"/>
  <c r="M22" i="17"/>
  <c r="N30" i="17"/>
  <c r="M30" i="17"/>
  <c r="K30" i="17"/>
  <c r="N20" i="17"/>
  <c r="M20" i="17"/>
  <c r="K20" i="17"/>
  <c r="N24" i="17"/>
  <c r="M24" i="17"/>
  <c r="K24" i="17"/>
  <c r="L9" i="17"/>
  <c r="K18" i="17"/>
  <c r="K35" i="17"/>
  <c r="M18" i="17"/>
  <c r="M35" i="17"/>
  <c r="L16" i="17"/>
  <c r="N18" i="17"/>
  <c r="N35" i="17"/>
  <c r="K5" i="17"/>
  <c r="E2" i="8"/>
  <c r="F2" i="8"/>
  <c r="E3" i="8"/>
  <c r="F3" i="8"/>
  <c r="E4" i="8"/>
  <c r="F4" i="8"/>
  <c r="E5" i="8"/>
  <c r="F5" i="8"/>
  <c r="D3" i="8"/>
  <c r="D4" i="8"/>
  <c r="D5" i="8"/>
  <c r="D2" i="8"/>
  <c r="G2" i="8" s="1"/>
  <c r="C5" i="8"/>
  <c r="C4" i="8"/>
  <c r="C3" i="8"/>
  <c r="G3" i="8" s="1"/>
  <c r="D38" i="5" l="1"/>
  <c r="D32" i="5"/>
  <c r="D30" i="5"/>
  <c r="D28" i="5"/>
  <c r="D25" i="5"/>
  <c r="D23" i="5"/>
  <c r="D21" i="5"/>
  <c r="D19" i="5"/>
  <c r="D17" i="5"/>
  <c r="D15" i="5"/>
  <c r="D12" i="5"/>
  <c r="D10" i="5"/>
  <c r="D8" i="5"/>
  <c r="D6" i="5"/>
  <c r="D4" i="5"/>
  <c r="F38" i="5"/>
  <c r="F32" i="5"/>
  <c r="F30" i="5"/>
  <c r="F28" i="5"/>
  <c r="F25" i="5"/>
  <c r="F23" i="5"/>
  <c r="F21" i="5"/>
  <c r="F19" i="5"/>
  <c r="F17" i="5"/>
  <c r="F15" i="5"/>
  <c r="F12" i="5"/>
  <c r="F10" i="5"/>
  <c r="F8" i="5"/>
  <c r="F6" i="5"/>
  <c r="F4" i="5"/>
  <c r="E38" i="5"/>
  <c r="E32" i="5"/>
  <c r="E30" i="5"/>
  <c r="E28" i="5"/>
  <c r="E25" i="5"/>
  <c r="E23" i="5"/>
  <c r="E21" i="5"/>
  <c r="E19" i="5"/>
  <c r="E17" i="5"/>
  <c r="E15" i="5"/>
  <c r="E12" i="5"/>
  <c r="E10" i="5"/>
  <c r="E8" i="5"/>
  <c r="E6" i="5"/>
  <c r="E4" i="5"/>
  <c r="E132" i="6"/>
  <c r="E124" i="6"/>
  <c r="E108" i="6"/>
  <c r="E96" i="6"/>
  <c r="E88" i="6"/>
  <c r="E80" i="6"/>
  <c r="E64" i="6"/>
  <c r="E56" i="6"/>
  <c r="E44" i="6"/>
  <c r="E36" i="6"/>
  <c r="E28" i="6"/>
  <c r="E20" i="6"/>
  <c r="E12" i="6"/>
  <c r="I8" i="10" l="1"/>
  <c r="H8" i="10"/>
  <c r="D136" i="6"/>
  <c r="D13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 Wehrle</author>
  </authors>
  <commentList>
    <comment ref="M1" authorId="0" shapeId="0" xr:uid="{1F9ED9B9-EB8F-4B4D-9E7B-53984F123158}">
      <text>
        <r>
          <rPr>
            <b/>
            <sz val="10"/>
            <color rgb="FF000000"/>
            <rFont val="Tahoma"/>
            <family val="2"/>
          </rPr>
          <t>Sebastian Wehrle: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if applicable: at full condensation</t>
        </r>
      </text>
    </comment>
    <comment ref="P1" authorId="0" shapeId="0" xr:uid="{5159AB93-51C4-CA4A-B63A-C3A60CB7342B}">
      <text>
        <r>
          <rPr>
            <b/>
            <sz val="10"/>
            <color rgb="FF000000"/>
            <rFont val="Tahoma"/>
            <family val="2"/>
          </rPr>
          <t>Sebastian Wehrle: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boolean</t>
        </r>
      </text>
    </comment>
    <comment ref="AD10" authorId="0" shapeId="0" xr:uid="{2BF3154B-BA64-E342-BA77-8DD512F08E6D}">
      <text>
        <r>
          <rPr>
            <b/>
            <sz val="10"/>
            <color rgb="FF000000"/>
            <rFont val="Tahoma"/>
            <family val="2"/>
          </rPr>
          <t>Sebastian Wehrle: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own assumption informed by IAEA PRIS database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A1" authorId="0" shapeId="0" xr:uid="{2C3BF732-EB70-4318-A3DC-57E3173C0EC6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Lifecycle air pollution cost of state-of-the-art (in around 2009) electricity generation technologies in € of 2015. 
Total of health impacts, crop yield losses, and material damage.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B1" authorId="0" shapeId="0" xr:uid="{15015C9C-05A8-4B29-91EB-A4856D055B06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Bad Aussee</t>
        </r>
      </text>
    </comment>
    <comment ref="C1" authorId="0" shapeId="0" xr:uid="{4C6AD0E0-3CA8-4CDE-9A2F-32DDCE9D2F4A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Walhain</t>
        </r>
      </text>
    </comment>
    <comment ref="D1" authorId="0" shapeId="0" xr:uid="{ED198303-CA4D-4147-8149-E80CBFD67BA3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Sachseln</t>
        </r>
      </text>
    </comment>
    <comment ref="E1" authorId="0" shapeId="0" xr:uid="{0E40F46B-1F2B-4677-B088-BBB8CB92A80E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Cihost</t>
        </r>
      </text>
    </comment>
    <comment ref="F1" authorId="0" shapeId="0" xr:uid="{FE1470D8-4258-4C73-B850-3F5CAB8D515D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Niederdorla</t>
        </r>
      </text>
    </comment>
    <comment ref="G1" authorId="0" shapeId="0" xr:uid="{CAEBE6AA-0246-460A-A5AF-F530BB899483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Odder</t>
        </r>
      </text>
    </comment>
    <comment ref="H1" authorId="0" shapeId="0" xr:uid="{B2F8B32B-E85F-4CB0-9532-2A68EB3BF92F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Vesdun</t>
        </r>
      </text>
    </comment>
    <comment ref="I1" authorId="0" shapeId="0" xr:uid="{9600A723-2A7D-40E9-A098-39CAF18E9C16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Pusztavacs</t>
        </r>
      </text>
    </comment>
    <comment ref="J1" authorId="0" shapeId="0" xr:uid="{854C9F7C-4BBC-4F01-BEBB-D8F2A76B69D4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Narni</t>
        </r>
      </text>
    </comment>
    <comment ref="K1" authorId="0" shapeId="0" xr:uid="{B57AFA70-8FB5-4640-8FBF-41028000B950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Lunteren</t>
        </r>
      </text>
    </comment>
    <comment ref="L1" authorId="0" shapeId="0" xr:uid="{4B2277D0-F36D-4B71-82E2-FB393984B41D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Piatek</t>
        </r>
      </text>
    </comment>
    <comment ref="M1" authorId="0" shapeId="0" xr:uid="{8236F644-4CB0-4EB6-A521-C9868338EBBB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Spodnja Slivnica</t>
        </r>
      </text>
    </comment>
    <comment ref="N1" authorId="0" shapeId="0" xr:uid="{1EE3CBB4-7D74-4F98-9B0D-5DF673B85639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Molca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  <author>Sebastian Wehrle</author>
  </authors>
  <commentList>
    <comment ref="A1" authorId="0" shapeId="0" xr:uid="{78DF14D3-78AD-4CD6-9C5A-91F874E7351B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 xml:space="preserve">Source: Danish Energy Agency, Technology Data for Power Generation
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(except for ror, which is own assumption)</t>
        </r>
      </text>
    </comment>
    <comment ref="B6" authorId="1" shapeId="0" xr:uid="{B232C177-FCE0-284A-94EF-58F7BB66AF97}">
      <text>
        <r>
          <rPr>
            <b/>
            <sz val="10"/>
            <color rgb="FF000000"/>
            <rFont val="Tahoma"/>
            <family val="2"/>
          </rPr>
          <t>Sebastian Wehrle: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50% open-space, 50% rooftop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  <author>Sebastian Wehrle</author>
  </authors>
  <commentList>
    <comment ref="A1" authorId="0" shapeId="0" xr:uid="{3AD359A9-BE7F-450C-BC0B-C87A7BD4A5B5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Danish Energy Agency, Technology Data for Energy Storage</t>
        </r>
      </text>
    </comment>
    <comment ref="D1" authorId="0" shapeId="0" xr:uid="{24B7C557-E2AA-40C2-9126-47853753B441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pump cost 0,6M€/MW according to DEA.
Split between power and energy own assumption</t>
        </r>
      </text>
    </comment>
    <comment ref="E1" authorId="0" shapeId="0" xr:uid="{98EFFF9A-3567-4162-B41E-478F4CBC3F58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own assumption</t>
        </r>
      </text>
    </comment>
    <comment ref="B8" authorId="0" shapeId="0" xr:uid="{1FA43572-F142-45B1-AB60-60E3D46D9A5E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Lithium-Ion</t>
        </r>
      </text>
    </comment>
    <comment ref="B9" authorId="1" shapeId="0" xr:uid="{C4A6D375-4FD2-F04F-BADC-D757DA6FDA4B}">
      <text>
        <r>
          <rPr>
            <b/>
            <sz val="10"/>
            <color rgb="FF000000"/>
            <rFont val="Tahoma"/>
            <family val="2"/>
          </rPr>
          <t>Sebastian Wehrle: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Alkaline Electrolysis + Cavern Storage + PEM Fuel Cell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Q3" authorId="0" shapeId="0" xr:uid="{874965D5-ED23-44CB-BACA-8CD335528B38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own assumptions based on IAEA Pris database</t>
        </r>
      </text>
    </comment>
    <comment ref="H11" authorId="0" shapeId="0" xr:uid="{4BE284E1-63F5-4779-922D-3941E51F9814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Following Note A from DEA Technology Data on Pulverized coal fired plant, set such that total efficiency at minimum condensation is plausibe</t>
        </r>
      </text>
    </comment>
    <comment ref="F12" authorId="0" shapeId="0" xr:uid="{48888046-04C5-4A2C-AFC9-283D7367FBE1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mean of efficiency range</t>
        </r>
      </text>
    </comment>
    <comment ref="F13" authorId="0" shapeId="0" xr:uid="{3B0D2DB2-F31B-487D-AA62-47FE8A5F129D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mean of efficiency range given</t>
        </r>
      </text>
    </comment>
  </commentList>
</comments>
</file>

<file path=xl/sharedStrings.xml><?xml version="1.0" encoding="utf-8"?>
<sst xmlns="http://schemas.openxmlformats.org/spreadsheetml/2006/main" count="1909" uniqueCount="353">
  <si>
    <t>year</t>
  </si>
  <si>
    <t>AT</t>
  </si>
  <si>
    <t>DE</t>
  </si>
  <si>
    <t>pv</t>
  </si>
  <si>
    <t>ror</t>
  </si>
  <si>
    <t>wind_on</t>
  </si>
  <si>
    <t>wind_off</t>
  </si>
  <si>
    <t>BE</t>
  </si>
  <si>
    <t>CH</t>
  </si>
  <si>
    <t>CZ</t>
  </si>
  <si>
    <t>DK</t>
  </si>
  <si>
    <t>FR</t>
  </si>
  <si>
    <t>HU</t>
  </si>
  <si>
    <t>IT</t>
  </si>
  <si>
    <t>NL</t>
  </si>
  <si>
    <t>PL</t>
  </si>
  <si>
    <t>SI</t>
  </si>
  <si>
    <t>SK</t>
  </si>
  <si>
    <t>medea_type</t>
  </si>
  <si>
    <t>Plant_Type</t>
  </si>
  <si>
    <t>Nuclear</t>
  </si>
  <si>
    <t>Lignite - Old</t>
  </si>
  <si>
    <t>Lignite - Old CoGen</t>
  </si>
  <si>
    <t>Lignite - New (BoA)</t>
  </si>
  <si>
    <t>Lignite - New (BoA) CoGen</t>
  </si>
  <si>
    <t>Coal - Subcritical</t>
  </si>
  <si>
    <t>Coal - Subcritical CoGen</t>
  </si>
  <si>
    <t>Coal - Supercritical</t>
  </si>
  <si>
    <t>Coal - Supercritical CoGen</t>
  </si>
  <si>
    <t>Coal - Ultra-Supercritical</t>
  </si>
  <si>
    <t>Coal - Ultra-Supercritical CoGen</t>
  </si>
  <si>
    <t>Coal - IGCC</t>
  </si>
  <si>
    <t>Nat Gas - Steam Turbine</t>
  </si>
  <si>
    <t>Nat Gas - Steam Turbine CoGen</t>
  </si>
  <si>
    <t>Nat Gas - Old Combustion Turbine</t>
  </si>
  <si>
    <t>Nat Gas - Old Combustion Turbine CoGen</t>
  </si>
  <si>
    <t>Nat Gas - New Combustion Turbine</t>
  </si>
  <si>
    <t>Nat Gas - New Combustion Turbine CoGen</t>
  </si>
  <si>
    <t>Nat Gas - Old Combined Cycle</t>
  </si>
  <si>
    <t>Nat Gas - Old Combined Cycle CoGen</t>
  </si>
  <si>
    <t>Nat Gas - New Combined Cycle</t>
  </si>
  <si>
    <t>Nat Gas - New Combined Cycle CoGen</t>
  </si>
  <si>
    <t>Nat Gas - Motor</t>
  </si>
  <si>
    <t>Nat Gas - Motor CoGen</t>
  </si>
  <si>
    <t>Heißwasserkessel</t>
  </si>
  <si>
    <t>Oil - Steam Turbine</t>
  </si>
  <si>
    <t>Oil - Steam Turbine CoGen</t>
  </si>
  <si>
    <t>Oil - Combustion Turbine</t>
  </si>
  <si>
    <t>Oil - Combustion Turbine CoGen</t>
  </si>
  <si>
    <t>Oil - Combined Cycle</t>
  </si>
  <si>
    <t>Hydro - Run-of-River</t>
  </si>
  <si>
    <t>Hydro - Conventional/Dam</t>
  </si>
  <si>
    <t>Hydro - Underground/Druckleitung</t>
  </si>
  <si>
    <t>Hydro - Pumped Storage</t>
  </si>
  <si>
    <t>Biomass &amp; Waste</t>
  </si>
  <si>
    <t>Biomass &amp; Waste - CoGen</t>
  </si>
  <si>
    <t>Power - Heatpump</t>
  </si>
  <si>
    <t>l</t>
  </si>
  <si>
    <t>fuel</t>
  </si>
  <si>
    <t>l1</t>
  </si>
  <si>
    <t>l2</t>
  </si>
  <si>
    <t>l3</t>
  </si>
  <si>
    <t>l4</t>
  </si>
  <si>
    <t>wacc</t>
  </si>
  <si>
    <t>lifetime</t>
  </si>
  <si>
    <t>set_element</t>
  </si>
  <si>
    <t>TD</t>
  </si>
  <si>
    <t>TU</t>
  </si>
  <si>
    <t>TSU_s1</t>
  </si>
  <si>
    <t>TSU_s2</t>
  </si>
  <si>
    <t>TSU_s3</t>
  </si>
  <si>
    <t>CSU_s1</t>
  </si>
  <si>
    <t>CSU_s2</t>
  </si>
  <si>
    <t>CSU_s3</t>
  </si>
  <si>
    <t>CSD</t>
  </si>
  <si>
    <t>ramp</t>
  </si>
  <si>
    <t>om_var</t>
  </si>
  <si>
    <t>om_fix</t>
  </si>
  <si>
    <t>invest</t>
  </si>
  <si>
    <t>annuity</t>
  </si>
  <si>
    <t>nuc</t>
  </si>
  <si>
    <t>lig_stm</t>
  </si>
  <si>
    <t>lig_stm_chp</t>
  </si>
  <si>
    <t>lig_boa</t>
  </si>
  <si>
    <t>lig_boa_chp</t>
  </si>
  <si>
    <t>coal_sub</t>
  </si>
  <si>
    <t>coal_sub_chp</t>
  </si>
  <si>
    <t>coal_sc</t>
  </si>
  <si>
    <t>coal_sc_chp</t>
  </si>
  <si>
    <t>coal_usc</t>
  </si>
  <si>
    <t>coal_usc_chp</t>
  </si>
  <si>
    <t>coal_igcc</t>
  </si>
  <si>
    <t>ng_stm</t>
  </si>
  <si>
    <t>ng_stm_chp</t>
  </si>
  <si>
    <t>ng_cbt_lo</t>
  </si>
  <si>
    <t>ng_cbt_lo_chp</t>
  </si>
  <si>
    <t>ng_cbt_hi</t>
  </si>
  <si>
    <t>ng_cbt_hi_chp</t>
  </si>
  <si>
    <t>ng_cc_lo</t>
  </si>
  <si>
    <t>ng_cc_lo_chp</t>
  </si>
  <si>
    <t>ng_cc_hi</t>
  </si>
  <si>
    <t>ng_cc_hi_chp</t>
  </si>
  <si>
    <t>ng_mtr</t>
  </si>
  <si>
    <t>ng_mtr_chp</t>
  </si>
  <si>
    <t>ng_boiler_chp</t>
  </si>
  <si>
    <t>oil_stm</t>
  </si>
  <si>
    <t>oil_stm_chp</t>
  </si>
  <si>
    <t>oil_cbt</t>
  </si>
  <si>
    <t>oil_cbt_chp</t>
  </si>
  <si>
    <t>oil_cc</t>
  </si>
  <si>
    <t>oil_cc_chp</t>
  </si>
  <si>
    <t>hyd_ror</t>
  </si>
  <si>
    <t>hyd_res</t>
  </si>
  <si>
    <t>hyd_psp</t>
  </si>
  <si>
    <t>bio</t>
  </si>
  <si>
    <t>bio_chp</t>
  </si>
  <si>
    <t>heatpump_pth</t>
  </si>
  <si>
    <t>battery</t>
  </si>
  <si>
    <t>invest-power</t>
  </si>
  <si>
    <t>invest-energy</t>
  </si>
  <si>
    <t>annuity-power</t>
  </si>
  <si>
    <t>annuity-energy</t>
  </si>
  <si>
    <t>psp_day</t>
  </si>
  <si>
    <t>psp_week</t>
  </si>
  <si>
    <t>psp_season</t>
  </si>
  <si>
    <t>res_day</t>
  </si>
  <si>
    <t>res_week</t>
  </si>
  <si>
    <t>res_season</t>
  </si>
  <si>
    <t>Lignite</t>
  </si>
  <si>
    <t>Coal</t>
  </si>
  <si>
    <t>Gas</t>
  </si>
  <si>
    <t>Oil</t>
  </si>
  <si>
    <t>Biomass</t>
  </si>
  <si>
    <t>Solar</t>
  </si>
  <si>
    <t>Wind</t>
  </si>
  <si>
    <t>Power</t>
  </si>
  <si>
    <t>Heat</t>
  </si>
  <si>
    <t>inf</t>
  </si>
  <si>
    <t>el</t>
  </si>
  <si>
    <t>ht</t>
  </si>
  <si>
    <t>Oil - Combined Cycle CoGen</t>
  </si>
  <si>
    <t>power loss factor</t>
  </si>
  <si>
    <t>max eta_el</t>
  </si>
  <si>
    <t>CHP coefficient</t>
  </si>
  <si>
    <t>quasi-fixed o&amp;m-cost</t>
  </si>
  <si>
    <t>variable o&amp;m-cost</t>
  </si>
  <si>
    <t>technology</t>
  </si>
  <si>
    <t>total installed cost</t>
  </si>
  <si>
    <t>zone</t>
  </si>
  <si>
    <t>personal communication with Wien Energie</t>
  </si>
  <si>
    <t>Source No</t>
  </si>
  <si>
    <t>Author</t>
  </si>
  <si>
    <t>Year</t>
  </si>
  <si>
    <t>Title</t>
  </si>
  <si>
    <t>na</t>
  </si>
  <si>
    <t>Remark</t>
  </si>
  <si>
    <t>Danish Energy Agency</t>
  </si>
  <si>
    <t>Andreas Schröder et al.</t>
  </si>
  <si>
    <t>EU JRC</t>
  </si>
  <si>
    <t>Energy Technology Reference Indicator projections for 2010-2050</t>
  </si>
  <si>
    <t>own assumption. Following the recommendation in [1], c_b is set such that total efficiency at minimum condensation is plausible</t>
  </si>
  <si>
    <t>Electricity, Heat, and Gas Sector Data for Modeling the German System; DIW Data documentation 92</t>
  </si>
  <si>
    <t>Current and Prospective Cost of Electricity Generation until 2050; DIW Data Documentation 68</t>
  </si>
  <si>
    <t>Friedrich Kunz et al.</t>
  </si>
  <si>
    <t>Electricity Sector Data for Policy-Relevant Modeling; DIW Data documentation 72</t>
  </si>
  <si>
    <t>Jonas Egerer et al.</t>
  </si>
  <si>
    <t>url</t>
  </si>
  <si>
    <t>https://www.diw.de/documents/publikationen/73/diw_01.c.440963.de/diw_datadoc_2014-072.pdf</t>
  </si>
  <si>
    <t>https://www.diw.de/documents/publikationen/73/diw_01.c.574130.de/diw_datadoc_2017-092.pdf</t>
  </si>
  <si>
    <t>https://ens.dk/sites/ens.dk/files/Analyser/technology_data_catalogue_for_el_and_dh.pdf</t>
  </si>
  <si>
    <t>https://www.diw.de/documents/publikationen/73/diw_01.c.424566.de/diw_datadoc_2013-068.pdf</t>
  </si>
  <si>
    <t>https://setis.ec.europa.eu/sites/default/files/reports/ETRI-2014.pdf</t>
  </si>
  <si>
    <t>Technology Data for Energy Storage, Update January 2020</t>
  </si>
  <si>
    <t>Technology Data, Generation of Electricity and District heating, Update November 2019</t>
  </si>
  <si>
    <t>https://ens.dk/sites/ens.dk/files/Analyser/technology_data_catalogue_for_energy_storage.pdf</t>
  </si>
  <si>
    <t>year for estimate</t>
  </si>
  <si>
    <t>Power capacity at full condesation</t>
  </si>
  <si>
    <t>Electricity efficiency at full condensation (net)</t>
  </si>
  <si>
    <t>Electrictiy loss per unit heat</t>
  </si>
  <si>
    <t>Backpressure coefficient</t>
  </si>
  <si>
    <t>Heat capacity at minimum condensation</t>
  </si>
  <si>
    <t>Heat capacity in full backpressure mode</t>
  </si>
  <si>
    <t>Power capacity at minimum condensation</t>
  </si>
  <si>
    <t>Power capacity in full backpressure mode</t>
  </si>
  <si>
    <t>Fuel consumption</t>
  </si>
  <si>
    <t>Total efficiency at minimum condensation</t>
  </si>
  <si>
    <t>Q_mc / Q_b</t>
  </si>
  <si>
    <t>Invest option</t>
  </si>
  <si>
    <t>Source:</t>
  </si>
  <si>
    <t>CAPEX [€/kW]</t>
  </si>
  <si>
    <t>var OPEX [€/MWh]</t>
  </si>
  <si>
    <t>fix OPEX [€/MW]</t>
  </si>
  <si>
    <t>lifetime [a]</t>
  </si>
  <si>
    <t>P_c</t>
  </si>
  <si>
    <t>eta_e,c</t>
  </si>
  <si>
    <t>c_v</t>
  </si>
  <si>
    <t>c_b</t>
  </si>
  <si>
    <t>Q_mc</t>
  </si>
  <si>
    <t>Q_b</t>
  </si>
  <si>
    <t>P_mc</t>
  </si>
  <si>
    <t>P_b</t>
  </si>
  <si>
    <t>4, 1, 8</t>
  </si>
  <si>
    <t>3, 1, 8</t>
  </si>
  <si>
    <t>6, 1</t>
  </si>
  <si>
    <t>4, 7, 8</t>
  </si>
  <si>
    <t>Nat Gas - Old OCGT</t>
  </si>
  <si>
    <t>Nat Gas - New OCGT</t>
  </si>
  <si>
    <t>District heating boiler, gas fired</t>
  </si>
  <si>
    <t>Oil - OCGT</t>
  </si>
  <si>
    <t>Hydro - Reservoir</t>
  </si>
  <si>
    <t>Power - Heatpump Compression</t>
  </si>
  <si>
    <t>Power - Heatpump Absorption</t>
  </si>
  <si>
    <t>hpa_pth</t>
  </si>
  <si>
    <t>Power - Electric Boiler</t>
  </si>
  <si>
    <t>eboi_pth</t>
  </si>
  <si>
    <t>intentionally_blank</t>
  </si>
  <si>
    <t>Öko-Institut</t>
  </si>
  <si>
    <t>Die deutsche Braunkohlen­wirtschaft. Historische Entwicklungen, Ressourcen, Technik, wirtschaftliche Strukturen und Umwelt­auswirkungen. Studie im Auftrag von Agora Energiewende und der European Climate Foundation.</t>
  </si>
  <si>
    <t>https://www.agora-energiewende.de/fileadmin2/Projekte/2017/Deutsche_Braunkohlenwirtschaft/Agora_Die-deutsche-Braunkohlenwirtschaft_WEB.pdf</t>
  </si>
  <si>
    <t>1, 3</t>
  </si>
  <si>
    <t>1, 3, 6</t>
  </si>
  <si>
    <t>3, 6</t>
  </si>
  <si>
    <t>1, 8</t>
  </si>
  <si>
    <t>equivalent annual cost</t>
  </si>
  <si>
    <t>Sascha Samadi</t>
  </si>
  <si>
    <t>The Social Costs of Electricity Generation - Categorizing Different Types of Costs and Evaluating Their Respective Relevance</t>
  </si>
  <si>
    <t>https://www.mdpi.com/1996-1073/10/3/356</t>
  </si>
  <si>
    <t>NEEDS Project</t>
  </si>
  <si>
    <t>http://www.needs-project.org/2009/Deliverables/RS1a%20D7.2%20Final%20report%20on%20advanced%20fossil%20power%20plants.pdf</t>
  </si>
  <si>
    <t>Final report on technical data, costs, and life cycle inventories of advanced fossil power generation systems</t>
  </si>
  <si>
    <t>Final report on technical data, costs and life cycle inventories of biomass CHP plants</t>
  </si>
  <si>
    <t>http://www.needs-project.org/2009/Deliverables/RS1a%20D13.2%20Final%20report%20on%20Biomass%20technologies.pdf</t>
  </si>
  <si>
    <t>http://www.needs-project.org/2009/Deliverables/RS1a%20D11.2%20Final%20report%20on%20PV%20technology.pdf</t>
  </si>
  <si>
    <t>Table 16, page 51</t>
  </si>
  <si>
    <t>Final report on technical data, costs and life cycle inventories of PV applications</t>
  </si>
  <si>
    <t>http://www.needs-project.org/2009/Deliverables/RS1a%20D10.2.pdf</t>
  </si>
  <si>
    <t>Table 5.3, page 39</t>
  </si>
  <si>
    <t>Final report on offshore wind technology</t>
  </si>
  <si>
    <t>Table 7, page 16</t>
  </si>
  <si>
    <t>10, 11</t>
  </si>
  <si>
    <t>10, 14</t>
  </si>
  <si>
    <t>10, 13</t>
  </si>
  <si>
    <t>10, 12</t>
  </si>
  <si>
    <t>10, 8</t>
  </si>
  <si>
    <t>source</t>
  </si>
  <si>
    <t>remark</t>
  </si>
  <si>
    <t>fixed cost</t>
  </si>
  <si>
    <t>wind offshore in soure; 4044 full-load hours</t>
  </si>
  <si>
    <t>utility scale pv, 838 full-load hours</t>
  </si>
  <si>
    <t>avg of lignite and nat gas due to lack of data</t>
  </si>
  <si>
    <t>no data available</t>
  </si>
  <si>
    <t>43.2% net efficiency</t>
  </si>
  <si>
    <t>45.0% net efficiency</t>
  </si>
  <si>
    <t>57.5% net efficiency</t>
  </si>
  <si>
    <t>20.0% net efficiency</t>
  </si>
  <si>
    <t>34.0% net efficiency</t>
  </si>
  <si>
    <t>variable cost</t>
  </si>
  <si>
    <t>Technology Data. Renewable Fuels. Update May 2020</t>
  </si>
  <si>
    <t>h2_stack</t>
  </si>
  <si>
    <t>Type_ID</t>
  </si>
  <si>
    <t>Name</t>
  </si>
  <si>
    <t>Set_Name</t>
  </si>
  <si>
    <t>CAPEX_Power</t>
  </si>
  <si>
    <t>CAPEX_Energy</t>
  </si>
  <si>
    <t>OPEX_Fix</t>
  </si>
  <si>
    <t>OPEX_Variable</t>
  </si>
  <si>
    <t>Lifetime</t>
  </si>
  <si>
    <t>Source</t>
  </si>
  <si>
    <t>Efficiency (net)</t>
  </si>
  <si>
    <t>Intermittent</t>
  </si>
  <si>
    <t>Solar Photovoltaics</t>
  </si>
  <si>
    <t>Run-of-river Hydro</t>
  </si>
  <si>
    <t>Wind Power Onshore</t>
  </si>
  <si>
    <t>Wind Power Offshore</t>
  </si>
  <si>
    <t>Equivalent Annual CAPEX_Power</t>
  </si>
  <si>
    <t>Equivalent Annual CAPEX_Energy</t>
  </si>
  <si>
    <t>€/kW</t>
  </si>
  <si>
    <t>€/MWh</t>
  </si>
  <si>
    <t>€/MWa</t>
  </si>
  <si>
    <t>Battery (Li-Ion)</t>
  </si>
  <si>
    <t>H2 Electrolysis - Fuel cell stack</t>
  </si>
  <si>
    <t>2, 3, 6</t>
  </si>
  <si>
    <t>1, 2, 15</t>
  </si>
  <si>
    <t>Fuel</t>
  </si>
  <si>
    <t>Heat generation</t>
  </si>
  <si>
    <t>Water</t>
  </si>
  <si>
    <t>Storage</t>
  </si>
  <si>
    <t>Installed Capacity Out</t>
  </si>
  <si>
    <t>Storage Capacity</t>
  </si>
  <si>
    <t>Installed Capacity In</t>
  </si>
  <si>
    <t>id</t>
  </si>
  <si>
    <t>name</t>
  </si>
  <si>
    <t>capex_p</t>
  </si>
  <si>
    <t>capex_e</t>
  </si>
  <si>
    <t>eqacapex_e</t>
  </si>
  <si>
    <t>eqacapex_p</t>
  </si>
  <si>
    <t>opex_f</t>
  </si>
  <si>
    <t>opex_v</t>
  </si>
  <si>
    <t>heat_generation</t>
  </si>
  <si>
    <t>intermittent</t>
  </si>
  <si>
    <t>source_b</t>
  </si>
  <si>
    <t>fuel_consumption</t>
  </si>
  <si>
    <t>eta_mincond</t>
  </si>
  <si>
    <t>q_q</t>
  </si>
  <si>
    <t>storage</t>
  </si>
  <si>
    <t>hyd_res_day</t>
  </si>
  <si>
    <t>hyd_res_week</t>
  </si>
  <si>
    <t>hyd_res_season</t>
  </si>
  <si>
    <t>hyd_psp_day</t>
  </si>
  <si>
    <t>hyd_psp_week</t>
  </si>
  <si>
    <t>hyd_psp_season</t>
  </si>
  <si>
    <t>Hydro - Pumped Storage, day</t>
  </si>
  <si>
    <t>Hydro - Pumped Storage, week</t>
  </si>
  <si>
    <t>Hydro - Pumped Storage, seasonal</t>
  </si>
  <si>
    <t>Hydro - Reservoir, day</t>
  </si>
  <si>
    <t>Hydro - Reservoir, week</t>
  </si>
  <si>
    <t>Hydro - Reservoir, seasonal</t>
  </si>
  <si>
    <t>eta_ec</t>
  </si>
  <si>
    <t>set_id</t>
  </si>
  <si>
    <t>f</t>
  </si>
  <si>
    <t>€/kWh</t>
  </si>
  <si>
    <t>a</t>
  </si>
  <si>
    <t>%</t>
  </si>
  <si>
    <t>bool</t>
  </si>
  <si>
    <t>LAMBDA</t>
  </si>
  <si>
    <t>SIGMA</t>
  </si>
  <si>
    <t>VALUE_NSE</t>
  </si>
  <si>
    <t>CO2_intensity</t>
  </si>
  <si>
    <t>Transmission grid expansion</t>
  </si>
  <si>
    <t>transmission</t>
  </si>
  <si>
    <t>Hagspiel et al.</t>
  </si>
  <si>
    <t>Cost-optimal power system extension under flow-based market coupling. Energy 66, 654-666</t>
  </si>
  <si>
    <t>https://doi.org/10.1016/j.
energy.2014.01.025</t>
  </si>
  <si>
    <t>Brown et al.</t>
  </si>
  <si>
    <t>Synergies of sector coupling and transmission reinforcement in a cost-optimised, highly renewable European energy system. Energy 160, 720-739</t>
  </si>
  <si>
    <t>https: //doi.org/10.1016/j.energy.2018.06.222</t>
  </si>
  <si>
    <t>16, 17</t>
  </si>
  <si>
    <t>Transmission</t>
  </si>
  <si>
    <t>Conventional generation</t>
  </si>
  <si>
    <t>conventional</t>
  </si>
  <si>
    <t>Nat Gas - Old OCGT CoGen</t>
  </si>
  <si>
    <t>Nat Gas - New OCGT CoGen</t>
  </si>
  <si>
    <t>Oil - OCGT CoGen</t>
  </si>
  <si>
    <t>Nat Gas - Old OCGT CHP</t>
  </si>
  <si>
    <t>Primary product</t>
  </si>
  <si>
    <t>primary_product</t>
  </si>
  <si>
    <t>Hydro - Reservoir daily</t>
  </si>
  <si>
    <t>Hydro - Reservoir weekly</t>
  </si>
  <si>
    <t>Hydro - Reservoir seasonal</t>
  </si>
  <si>
    <t>Hydro - Pumped Storage daily</t>
  </si>
  <si>
    <t>Hydro - Pumped Storage weekly</t>
  </si>
  <si>
    <t>Hydro - Pumped Storage seasonal</t>
  </si>
  <si>
    <t>h2stack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</si>
</sst>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00"/>
    <numFmt numFmtId="165" formatCode="#,##0.0"/>
    <numFmt numFmtId="166" formatCode="0.000"/>
    <numFmt numFmtId="167" formatCode="0.0%"/>
    <numFmt numFmtId="168" formatCode="#,##0_ ;[Red]\-#,##0\ "/>
    <numFmt numFmtId="169" formatCode="#,##0.00_ ;[Red]\-#,##0.00\ "/>
    <numFmt numFmtId="170" formatCode="0.0"/>
    <numFmt numFmtId="171" formatCode="#,##0.0000"/>
    <numFmt numFmtId="172" formatCode="#,##0.0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44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quotePrefix="1"/>
    <xf numFmtId="166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Fill="1"/>
    <xf numFmtId="0" fontId="5" fillId="0" borderId="0" xfId="0" applyFont="1" applyFill="1"/>
    <xf numFmtId="0" fontId="0" fillId="2" borderId="0" xfId="0" applyFill="1"/>
    <xf numFmtId="0" fontId="7" fillId="0" borderId="0" xfId="2"/>
    <xf numFmtId="168" fontId="0" fillId="0" borderId="0" xfId="0" applyNumberFormat="1"/>
    <xf numFmtId="169" fontId="0" fillId="0" borderId="0" xfId="0" applyNumberFormat="1"/>
    <xf numFmtId="3" fontId="0" fillId="0" borderId="0" xfId="0" applyNumberFormat="1" applyFill="1"/>
    <xf numFmtId="165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10" fontId="0" fillId="0" borderId="0" xfId="1" applyNumberFormat="1" applyFont="1"/>
    <xf numFmtId="2" fontId="0" fillId="0" borderId="0" xfId="0" applyNumberFormat="1"/>
    <xf numFmtId="170" fontId="0" fillId="0" borderId="0" xfId="0" applyNumberFormat="1"/>
    <xf numFmtId="0" fontId="1" fillId="2" borderId="0" xfId="0" applyFont="1" applyFill="1"/>
    <xf numFmtId="0" fontId="0" fillId="0" borderId="0" xfId="0" applyFill="1"/>
    <xf numFmtId="171" fontId="0" fillId="0" borderId="0" xfId="0" applyNumberFormat="1"/>
    <xf numFmtId="172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quotePrefix="1" applyAlignment="1">
      <alignment wrapText="1"/>
    </xf>
    <xf numFmtId="1" fontId="0" fillId="0" borderId="0" xfId="0" applyNumberFormat="1"/>
    <xf numFmtId="0" fontId="0" fillId="7" borderId="0" xfId="0" applyFill="1"/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eeds-project.org/2009/Deliverables/RS1a%20D7.2%20Final%20report%20on%20advanced%20fossil%20power%20plants.pdf" TargetMode="External"/><Relationship Id="rId3" Type="http://schemas.openxmlformats.org/officeDocument/2006/relationships/hyperlink" Target="https://ens.dk/sites/ens.dk/files/Analyser/technology_data_catalogue_for_el_and_dh.pdf" TargetMode="External"/><Relationship Id="rId7" Type="http://schemas.openxmlformats.org/officeDocument/2006/relationships/hyperlink" Target="https://www.agora-energiewende.de/fileadmin2/Projekte/2017/Deutsche_Braunkohlenwirtschaft/Agora_Die-deutsche-Braunkohlenwirtschaft_WEB.pdf" TargetMode="External"/><Relationship Id="rId2" Type="http://schemas.openxmlformats.org/officeDocument/2006/relationships/hyperlink" Target="https://www.diw.de/documents/publikationen/73/diw_01.c.574130.de/diw_datadoc_2017-092.pdf" TargetMode="External"/><Relationship Id="rId1" Type="http://schemas.openxmlformats.org/officeDocument/2006/relationships/hyperlink" Target="https://www.diw.de/documents/publikationen/73/diw_01.c.440963.de/diw_datadoc_2014-072.pdf" TargetMode="External"/><Relationship Id="rId6" Type="http://schemas.openxmlformats.org/officeDocument/2006/relationships/hyperlink" Target="https://ens.dk/sites/ens.dk/files/Analyser/technology_data_catalogue_for_energy_storage.pdf" TargetMode="External"/><Relationship Id="rId11" Type="http://schemas.openxmlformats.org/officeDocument/2006/relationships/hyperlink" Target="https://doi.org/10.1016/j.energy.2014.01.025" TargetMode="External"/><Relationship Id="rId5" Type="http://schemas.openxmlformats.org/officeDocument/2006/relationships/hyperlink" Target="https://setis.ec.europa.eu/sites/default/files/reports/ETRI-2014.pdf" TargetMode="External"/><Relationship Id="rId10" Type="http://schemas.openxmlformats.org/officeDocument/2006/relationships/hyperlink" Target="http://www.needs-project.org/2009/Deliverables/RS1a%20D10.2.pdf" TargetMode="External"/><Relationship Id="rId4" Type="http://schemas.openxmlformats.org/officeDocument/2006/relationships/hyperlink" Target="https://www.diw.de/documents/publikationen/73/diw_01.c.424566.de/diw_datadoc_2013-068.pdf" TargetMode="External"/><Relationship Id="rId9" Type="http://schemas.openxmlformats.org/officeDocument/2006/relationships/hyperlink" Target="http://www.needs-project.org/2009/Deliverables/RS1a%20D11.2%20Final%20report%20on%20PV%20technology.pdf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7BF03-EDC5-4C83-AB6F-3B95A2E59024}">
  <dimension ref="A1:F18"/>
  <sheetViews>
    <sheetView workbookViewId="0">
      <selection activeCell="A19" sqref="A19"/>
    </sheetView>
  </sheetViews>
  <sheetFormatPr baseColWidth="10" defaultRowHeight="15" x14ac:dyDescent="0.25"/>
  <cols>
    <col min="2" max="2" width="21.7109375" bestFit="1" customWidth="1"/>
    <col min="4" max="4" width="90.42578125" bestFit="1" customWidth="1"/>
    <col min="5" max="5" width="24.42578125" customWidth="1"/>
  </cols>
  <sheetData>
    <row r="1" spans="1:6" x14ac:dyDescent="0.25">
      <c r="A1" s="2" t="s">
        <v>150</v>
      </c>
      <c r="B1" s="2" t="s">
        <v>151</v>
      </c>
      <c r="C1" s="2" t="s">
        <v>152</v>
      </c>
      <c r="D1" s="2" t="s">
        <v>153</v>
      </c>
      <c r="E1" s="2" t="s">
        <v>166</v>
      </c>
      <c r="F1" s="2" t="s">
        <v>155</v>
      </c>
    </row>
    <row r="2" spans="1:6" x14ac:dyDescent="0.25">
      <c r="A2">
        <v>1</v>
      </c>
      <c r="B2" t="s">
        <v>156</v>
      </c>
      <c r="C2">
        <v>2016</v>
      </c>
      <c r="D2" t="s">
        <v>173</v>
      </c>
      <c r="E2" s="19" t="s">
        <v>169</v>
      </c>
    </row>
    <row r="3" spans="1:6" x14ac:dyDescent="0.25">
      <c r="A3">
        <v>2</v>
      </c>
      <c r="B3" t="s">
        <v>156</v>
      </c>
      <c r="C3">
        <v>2018</v>
      </c>
      <c r="D3" t="s">
        <v>172</v>
      </c>
      <c r="E3" s="19" t="s">
        <v>174</v>
      </c>
    </row>
    <row r="4" spans="1:6" x14ac:dyDescent="0.25">
      <c r="A4">
        <v>3</v>
      </c>
      <c r="B4" t="s">
        <v>157</v>
      </c>
      <c r="C4">
        <v>2013</v>
      </c>
      <c r="D4" t="s">
        <v>162</v>
      </c>
      <c r="E4" s="19" t="s">
        <v>170</v>
      </c>
    </row>
    <row r="5" spans="1:6" x14ac:dyDescent="0.25">
      <c r="A5">
        <v>4</v>
      </c>
      <c r="B5" t="s">
        <v>165</v>
      </c>
      <c r="C5">
        <v>2014</v>
      </c>
      <c r="D5" t="s">
        <v>164</v>
      </c>
      <c r="E5" s="19" t="s">
        <v>167</v>
      </c>
    </row>
    <row r="6" spans="1:6" x14ac:dyDescent="0.25">
      <c r="A6">
        <v>5</v>
      </c>
      <c r="B6" t="s">
        <v>163</v>
      </c>
      <c r="C6">
        <v>2017</v>
      </c>
      <c r="D6" t="s">
        <v>161</v>
      </c>
      <c r="E6" s="19" t="s">
        <v>168</v>
      </c>
    </row>
    <row r="7" spans="1:6" x14ac:dyDescent="0.25">
      <c r="A7">
        <v>6</v>
      </c>
      <c r="B7" t="s">
        <v>158</v>
      </c>
      <c r="C7">
        <v>2014</v>
      </c>
      <c r="D7" t="s">
        <v>159</v>
      </c>
      <c r="E7" s="19" t="s">
        <v>171</v>
      </c>
    </row>
    <row r="8" spans="1:6" x14ac:dyDescent="0.25">
      <c r="A8">
        <v>7</v>
      </c>
      <c r="B8" t="s">
        <v>154</v>
      </c>
      <c r="C8">
        <v>2018</v>
      </c>
      <c r="D8" t="s">
        <v>154</v>
      </c>
      <c r="F8" t="s">
        <v>149</v>
      </c>
    </row>
    <row r="9" spans="1:6" x14ac:dyDescent="0.25">
      <c r="A9">
        <v>8</v>
      </c>
      <c r="B9" t="s">
        <v>154</v>
      </c>
      <c r="C9" t="s">
        <v>154</v>
      </c>
      <c r="D9" t="s">
        <v>154</v>
      </c>
      <c r="F9" t="s">
        <v>160</v>
      </c>
    </row>
    <row r="10" spans="1:6" x14ac:dyDescent="0.25">
      <c r="A10">
        <v>9</v>
      </c>
      <c r="B10" t="s">
        <v>216</v>
      </c>
      <c r="C10">
        <v>2017</v>
      </c>
      <c r="D10" t="s">
        <v>217</v>
      </c>
      <c r="E10" s="19" t="s">
        <v>218</v>
      </c>
    </row>
    <row r="11" spans="1:6" x14ac:dyDescent="0.25">
      <c r="A11">
        <v>10</v>
      </c>
      <c r="B11" t="s">
        <v>224</v>
      </c>
      <c r="C11">
        <v>2017</v>
      </c>
      <c r="D11" t="s">
        <v>225</v>
      </c>
      <c r="E11" t="s">
        <v>226</v>
      </c>
      <c r="F11" t="s">
        <v>238</v>
      </c>
    </row>
    <row r="12" spans="1:6" x14ac:dyDescent="0.25">
      <c r="A12">
        <v>11</v>
      </c>
      <c r="B12" t="s">
        <v>227</v>
      </c>
      <c r="C12">
        <v>2007</v>
      </c>
      <c r="D12" t="s">
        <v>234</v>
      </c>
      <c r="E12" s="19" t="s">
        <v>232</v>
      </c>
      <c r="F12" t="s">
        <v>233</v>
      </c>
    </row>
    <row r="13" spans="1:6" x14ac:dyDescent="0.25">
      <c r="A13">
        <v>12</v>
      </c>
      <c r="B13" t="s">
        <v>227</v>
      </c>
      <c r="C13">
        <v>2008</v>
      </c>
      <c r="D13" t="s">
        <v>229</v>
      </c>
      <c r="E13" s="19" t="s">
        <v>228</v>
      </c>
    </row>
    <row r="14" spans="1:6" x14ac:dyDescent="0.25">
      <c r="A14">
        <v>13</v>
      </c>
      <c r="B14" t="s">
        <v>227</v>
      </c>
      <c r="C14">
        <v>2008</v>
      </c>
      <c r="D14" t="s">
        <v>230</v>
      </c>
      <c r="E14" t="s">
        <v>231</v>
      </c>
    </row>
    <row r="15" spans="1:6" x14ac:dyDescent="0.25">
      <c r="A15">
        <v>14</v>
      </c>
      <c r="B15" t="s">
        <v>227</v>
      </c>
      <c r="C15">
        <v>2008</v>
      </c>
      <c r="D15" t="s">
        <v>237</v>
      </c>
      <c r="E15" s="19" t="s">
        <v>235</v>
      </c>
      <c r="F15" t="s">
        <v>236</v>
      </c>
    </row>
    <row r="16" spans="1:6" x14ac:dyDescent="0.25">
      <c r="A16">
        <v>15</v>
      </c>
      <c r="B16" t="s">
        <v>156</v>
      </c>
      <c r="C16">
        <v>2017</v>
      </c>
      <c r="D16" t="s">
        <v>257</v>
      </c>
    </row>
    <row r="17" spans="1:5" x14ac:dyDescent="0.25">
      <c r="A17">
        <v>16</v>
      </c>
      <c r="B17" t="s">
        <v>330</v>
      </c>
      <c r="C17">
        <v>2014</v>
      </c>
      <c r="D17" t="s">
        <v>331</v>
      </c>
      <c r="E17" s="19" t="s">
        <v>332</v>
      </c>
    </row>
    <row r="18" spans="1:5" x14ac:dyDescent="0.25">
      <c r="A18">
        <v>17</v>
      </c>
      <c r="B18" t="s">
        <v>333</v>
      </c>
      <c r="C18">
        <v>2018</v>
      </c>
      <c r="D18" t="s">
        <v>334</v>
      </c>
      <c r="E18" t="s">
        <v>335</v>
      </c>
    </row>
  </sheetData>
  <hyperlinks>
    <hyperlink ref="E5" r:id="rId1" xr:uid="{646F59EA-8517-4A9D-A362-14E775EE0CCE}"/>
    <hyperlink ref="E6" r:id="rId2" xr:uid="{0E5FE0BD-B01D-4269-9912-7C9C40B37897}"/>
    <hyperlink ref="E2" r:id="rId3" xr:uid="{C8A2CFC4-482B-4F94-A565-6BD3D989E61B}"/>
    <hyperlink ref="E4" r:id="rId4" xr:uid="{5020C31B-6E40-43BA-80E7-4A025B70FBBD}"/>
    <hyperlink ref="E7" r:id="rId5" xr:uid="{D9995BB9-537F-4F22-BB62-7F47B6A20D25}"/>
    <hyperlink ref="E3" r:id="rId6" xr:uid="{B3ADECFE-DF4D-4251-89D4-973E831A4DC5}"/>
    <hyperlink ref="E10" r:id="rId7" xr:uid="{FE90C9A5-8CAA-4399-9D7F-A79798808E4E}"/>
    <hyperlink ref="E13" r:id="rId8" xr:uid="{FA159502-D871-48B6-BF13-936603692024}"/>
    <hyperlink ref="E12" r:id="rId9" xr:uid="{E9DA7171-DCDC-459E-9319-AD7D4C4C193D}"/>
    <hyperlink ref="E15" r:id="rId10" xr:uid="{A12914E5-AF85-4EA9-814D-4FC82B75214B}"/>
    <hyperlink ref="E17" r:id="rId11" xr:uid="{4B4C06FA-2FD6-DC43-A7E2-EBC6BBE17244}"/>
  </hyperlink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64A5-0555-C645-8A12-2533612BB966}">
  <dimension ref="A1:C4"/>
  <sheetViews>
    <sheetView workbookViewId="0">
      <selection activeCell="A5" sqref="A5"/>
    </sheetView>
  </sheetViews>
  <sheetFormatPr baseColWidth="10" defaultRowHeight="15" x14ac:dyDescent="0.25"/>
  <sheetData>
    <row r="1" spans="1:3" x14ac:dyDescent="0.25">
      <c r="B1" t="s">
        <v>1</v>
      </c>
      <c r="C1" t="s">
        <v>2</v>
      </c>
    </row>
    <row r="2" spans="1:3" x14ac:dyDescent="0.25">
      <c r="A2" t="s">
        <v>324</v>
      </c>
      <c r="B2">
        <v>0.125</v>
      </c>
      <c r="C2">
        <v>0.125</v>
      </c>
    </row>
    <row r="3" spans="1:3" x14ac:dyDescent="0.25">
      <c r="A3" t="s">
        <v>325</v>
      </c>
      <c r="B3">
        <v>0.17499999999999999</v>
      </c>
      <c r="C3">
        <v>0.17499999999999999</v>
      </c>
    </row>
    <row r="4" spans="1:3" x14ac:dyDescent="0.25">
      <c r="A4" t="s">
        <v>326</v>
      </c>
      <c r="B4">
        <v>12500</v>
      </c>
      <c r="C4">
        <v>12500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C487E-D7D8-8746-BC28-E4CE13A03946}">
  <dimension ref="A1:B11"/>
  <sheetViews>
    <sheetView tabSelected="1" workbookViewId="0">
      <selection activeCell="B2" sqref="B2"/>
    </sheetView>
  </sheetViews>
  <sheetFormatPr baseColWidth="10" defaultRowHeight="15" x14ac:dyDescent="0.25"/>
  <sheetData>
    <row r="1" spans="1:2" x14ac:dyDescent="0.25">
      <c r="B1" t="s">
        <v>327</v>
      </c>
    </row>
    <row r="2" spans="1:2" x14ac:dyDescent="0.25">
      <c r="A2" t="s">
        <v>20</v>
      </c>
      <c r="B2">
        <v>0</v>
      </c>
    </row>
    <row r="3" spans="1:2" x14ac:dyDescent="0.25">
      <c r="A3" t="s">
        <v>128</v>
      </c>
      <c r="B3">
        <v>0.39900000000000002</v>
      </c>
    </row>
    <row r="4" spans="1:2" x14ac:dyDescent="0.25">
      <c r="A4" t="s">
        <v>129</v>
      </c>
      <c r="B4">
        <v>0.33700000000000002</v>
      </c>
    </row>
    <row r="5" spans="1:2" x14ac:dyDescent="0.25">
      <c r="A5" t="s">
        <v>130</v>
      </c>
      <c r="B5">
        <v>0.20100000000000001</v>
      </c>
    </row>
    <row r="6" spans="1:2" x14ac:dyDescent="0.25">
      <c r="A6" t="s">
        <v>131</v>
      </c>
      <c r="B6">
        <v>0.26600000000000001</v>
      </c>
    </row>
    <row r="7" spans="1:2" x14ac:dyDescent="0.25">
      <c r="A7" t="s">
        <v>285</v>
      </c>
      <c r="B7">
        <v>0</v>
      </c>
    </row>
    <row r="8" spans="1:2" x14ac:dyDescent="0.25">
      <c r="A8" t="s">
        <v>132</v>
      </c>
      <c r="B8">
        <v>0</v>
      </c>
    </row>
    <row r="9" spans="1:2" x14ac:dyDescent="0.25">
      <c r="A9" t="s">
        <v>133</v>
      </c>
      <c r="B9">
        <v>0</v>
      </c>
    </row>
    <row r="10" spans="1:2" x14ac:dyDescent="0.25">
      <c r="A10" t="s">
        <v>134</v>
      </c>
      <c r="B10">
        <v>0</v>
      </c>
    </row>
    <row r="11" spans="1:2" x14ac:dyDescent="0.25">
      <c r="A11" t="s">
        <v>135</v>
      </c>
      <c r="B11">
        <v>0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1418A-DD29-4863-849D-DF62091CC750}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A1:B3"/>
    </sheetView>
  </sheetViews>
  <sheetFormatPr baseColWidth="10" defaultRowHeight="15" x14ac:dyDescent="0.25"/>
  <sheetData>
    <row r="1" spans="1:2" x14ac:dyDescent="0.25">
      <c r="A1" s="2" t="s">
        <v>148</v>
      </c>
      <c r="B1" s="2" t="s">
        <v>63</v>
      </c>
    </row>
    <row r="2" spans="1:2" x14ac:dyDescent="0.25">
      <c r="A2" t="s">
        <v>1</v>
      </c>
      <c r="B2">
        <v>0.05</v>
      </c>
    </row>
    <row r="3" spans="1:2" x14ac:dyDescent="0.25">
      <c r="A3" t="s">
        <v>2</v>
      </c>
      <c r="B3">
        <v>0.03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BE73-D660-402D-8ABC-7BC4E42D221F}">
  <dimension ref="A1:F1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5" x14ac:dyDescent="0.25"/>
  <sheetData>
    <row r="1" spans="1:6" x14ac:dyDescent="0.25">
      <c r="A1" s="2" t="s">
        <v>148</v>
      </c>
      <c r="B1" s="2" t="s">
        <v>0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 x14ac:dyDescent="0.25">
      <c r="A2" t="s">
        <v>1</v>
      </c>
      <c r="B2">
        <v>2012</v>
      </c>
      <c r="C2">
        <v>0.36288500000000001</v>
      </c>
      <c r="D2">
        <v>5.5190000000000001</v>
      </c>
      <c r="E2">
        <v>1.373</v>
      </c>
      <c r="F2">
        <v>0</v>
      </c>
    </row>
    <row r="3" spans="1:6" x14ac:dyDescent="0.25">
      <c r="A3" t="s">
        <v>1</v>
      </c>
      <c r="B3">
        <v>2013</v>
      </c>
      <c r="C3">
        <v>0.62597400000000003</v>
      </c>
      <c r="D3">
        <v>5.5730000000000004</v>
      </c>
      <c r="E3">
        <v>1.6879999999999999</v>
      </c>
      <c r="F3">
        <v>0</v>
      </c>
    </row>
    <row r="4" spans="1:6" x14ac:dyDescent="0.25">
      <c r="A4" t="s">
        <v>1</v>
      </c>
      <c r="B4">
        <v>2014</v>
      </c>
      <c r="C4">
        <v>0.785246</v>
      </c>
      <c r="D4">
        <v>5.6150000000000002</v>
      </c>
      <c r="E4">
        <v>2.0960000000000001</v>
      </c>
      <c r="F4">
        <v>0</v>
      </c>
    </row>
    <row r="5" spans="1:6" x14ac:dyDescent="0.25">
      <c r="A5" t="s">
        <v>1</v>
      </c>
      <c r="B5">
        <v>2015</v>
      </c>
      <c r="C5">
        <v>0.93709799999999999</v>
      </c>
      <c r="D5">
        <v>5.6559999999999997</v>
      </c>
      <c r="E5">
        <v>2.4209999999999998</v>
      </c>
      <c r="F5">
        <v>0</v>
      </c>
    </row>
    <row r="6" spans="1:6" x14ac:dyDescent="0.25">
      <c r="A6" t="s">
        <v>1</v>
      </c>
      <c r="B6">
        <v>2016</v>
      </c>
      <c r="C6">
        <v>1.0960160000000001</v>
      </c>
      <c r="D6">
        <v>5.7</v>
      </c>
      <c r="E6">
        <v>2.649</v>
      </c>
      <c r="F6">
        <v>0</v>
      </c>
    </row>
    <row r="7" spans="1:6" x14ac:dyDescent="0.25">
      <c r="A7" t="s">
        <v>1</v>
      </c>
      <c r="B7">
        <v>2017</v>
      </c>
      <c r="C7">
        <v>1.2689710000000001</v>
      </c>
      <c r="D7">
        <v>5.7140000000000004</v>
      </c>
      <c r="E7">
        <v>2.8439999999999999</v>
      </c>
      <c r="F7">
        <v>0</v>
      </c>
    </row>
    <row r="8" spans="1:6" x14ac:dyDescent="0.25">
      <c r="A8" t="s">
        <v>1</v>
      </c>
      <c r="B8">
        <v>2018</v>
      </c>
      <c r="C8">
        <v>1.4376409999999999</v>
      </c>
      <c r="D8">
        <v>5.7220000000000004</v>
      </c>
      <c r="E8">
        <v>3.0449999999999999</v>
      </c>
      <c r="F8">
        <v>0</v>
      </c>
    </row>
    <row r="9" spans="1:6" x14ac:dyDescent="0.25">
      <c r="A9" t="s">
        <v>1</v>
      </c>
      <c r="B9">
        <v>2019</v>
      </c>
      <c r="F9">
        <v>0</v>
      </c>
    </row>
    <row r="10" spans="1:6" x14ac:dyDescent="0.25">
      <c r="A10" t="s">
        <v>1</v>
      </c>
      <c r="B10">
        <v>2020</v>
      </c>
      <c r="F10">
        <v>0</v>
      </c>
    </row>
    <row r="11" spans="1:6" x14ac:dyDescent="0.25">
      <c r="A11" t="s">
        <v>2</v>
      </c>
      <c r="B11">
        <v>2012</v>
      </c>
      <c r="C11">
        <v>34.076999999999998</v>
      </c>
      <c r="D11">
        <v>4.5179999999999998</v>
      </c>
      <c r="E11">
        <v>30.710999999999999</v>
      </c>
      <c r="F11">
        <v>0.26800000000000002</v>
      </c>
    </row>
    <row r="12" spans="1:6" x14ac:dyDescent="0.25">
      <c r="A12" t="s">
        <v>2</v>
      </c>
      <c r="B12">
        <v>2013</v>
      </c>
      <c r="C12">
        <v>36.71</v>
      </c>
      <c r="D12">
        <v>4.5009999999999994</v>
      </c>
      <c r="E12">
        <v>32.969000000000001</v>
      </c>
      <c r="F12">
        <v>0.50800000000000001</v>
      </c>
    </row>
    <row r="13" spans="1:6" x14ac:dyDescent="0.25">
      <c r="A13" t="s">
        <v>2</v>
      </c>
      <c r="B13">
        <v>2014</v>
      </c>
      <c r="C13">
        <v>37.9</v>
      </c>
      <c r="D13">
        <v>4.4909999999999997</v>
      </c>
      <c r="E13">
        <v>37.619999999999997</v>
      </c>
      <c r="F13">
        <v>0.99399999999999999</v>
      </c>
    </row>
    <row r="14" spans="1:6" x14ac:dyDescent="0.25">
      <c r="A14" t="s">
        <v>2</v>
      </c>
      <c r="B14">
        <v>2015</v>
      </c>
      <c r="C14">
        <v>39.223999999999997</v>
      </c>
      <c r="D14">
        <v>4.5</v>
      </c>
      <c r="E14">
        <v>41.296999999999997</v>
      </c>
      <c r="F14">
        <v>3.2829999999999999</v>
      </c>
    </row>
    <row r="15" spans="1:6" x14ac:dyDescent="0.25">
      <c r="A15" t="s">
        <v>2</v>
      </c>
      <c r="B15">
        <v>2016</v>
      </c>
      <c r="C15">
        <v>40.679000000000002</v>
      </c>
      <c r="D15">
        <v>4.5</v>
      </c>
      <c r="E15">
        <v>45.283000000000001</v>
      </c>
      <c r="F15">
        <v>4.1520000000000001</v>
      </c>
    </row>
    <row r="16" spans="1:6" x14ac:dyDescent="0.25">
      <c r="A16" t="s">
        <v>2</v>
      </c>
      <c r="B16">
        <v>2017</v>
      </c>
      <c r="C16">
        <v>42.338999999999999</v>
      </c>
      <c r="D16">
        <v>4.5</v>
      </c>
      <c r="E16">
        <v>50.290999999999997</v>
      </c>
      <c r="F16">
        <v>5.4269999999999996</v>
      </c>
    </row>
    <row r="17" spans="1:6" x14ac:dyDescent="0.25">
      <c r="A17" t="s">
        <v>2</v>
      </c>
      <c r="B17">
        <v>2018</v>
      </c>
      <c r="C17">
        <v>45.277000000000001</v>
      </c>
      <c r="D17">
        <v>4.5069999999999997</v>
      </c>
      <c r="E17">
        <v>52.564999999999998</v>
      </c>
      <c r="F17">
        <v>6.4169999999999998</v>
      </c>
    </row>
    <row r="18" spans="1:6" x14ac:dyDescent="0.25">
      <c r="A18" t="s">
        <v>2</v>
      </c>
      <c r="B18">
        <v>2019</v>
      </c>
    </row>
    <row r="19" spans="1:6" x14ac:dyDescent="0.25">
      <c r="A19" t="s">
        <v>2</v>
      </c>
      <c r="B19">
        <v>2020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5A1D-EA9B-421F-AC28-39B233C76782}">
  <dimension ref="A1:I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G1"/>
    </sheetView>
  </sheetViews>
  <sheetFormatPr baseColWidth="10" defaultRowHeight="15" x14ac:dyDescent="0.25"/>
  <cols>
    <col min="9" max="9" width="12.140625" bestFit="1" customWidth="1"/>
  </cols>
  <sheetData>
    <row r="1" spans="1:9" ht="45" x14ac:dyDescent="0.25">
      <c r="A1" s="2" t="s">
        <v>148</v>
      </c>
      <c r="B1" s="14" t="s">
        <v>146</v>
      </c>
      <c r="C1" s="14" t="s">
        <v>64</v>
      </c>
      <c r="D1" s="23" t="s">
        <v>147</v>
      </c>
      <c r="E1" s="24" t="s">
        <v>144</v>
      </c>
      <c r="F1" s="24" t="s">
        <v>145</v>
      </c>
      <c r="G1" s="14" t="s">
        <v>223</v>
      </c>
    </row>
    <row r="2" spans="1:9" ht="30" customHeight="1" x14ac:dyDescent="0.25">
      <c r="A2" s="20" t="s">
        <v>1</v>
      </c>
      <c r="B2" s="20" t="s">
        <v>3</v>
      </c>
      <c r="C2" s="1">
        <v>40</v>
      </c>
      <c r="D2" s="20">
        <f>D6</f>
        <v>625000</v>
      </c>
      <c r="E2" s="20">
        <f t="shared" ref="E2:F2" si="0">E6</f>
        <v>9032</v>
      </c>
      <c r="F2" s="21">
        <f t="shared" si="0"/>
        <v>0</v>
      </c>
      <c r="G2" s="1">
        <f>ROUND((WACC!$B$2*(1+WACC!$B$2)^$C2)/((1+WACC!$B$2)^$C2-1)*$D2,0)</f>
        <v>36424</v>
      </c>
      <c r="H2" s="30"/>
      <c r="I2" s="31"/>
    </row>
    <row r="3" spans="1:9" ht="30" customHeight="1" x14ac:dyDescent="0.25">
      <c r="A3" s="20" t="s">
        <v>1</v>
      </c>
      <c r="B3" s="20" t="s">
        <v>4</v>
      </c>
      <c r="C3" s="1">
        <f>C7</f>
        <v>60</v>
      </c>
      <c r="D3" s="20">
        <f t="shared" ref="D3:F5" si="1">D7</f>
        <v>2800000</v>
      </c>
      <c r="E3" s="20">
        <f t="shared" si="1"/>
        <v>60000</v>
      </c>
      <c r="F3" s="21">
        <f t="shared" si="1"/>
        <v>0</v>
      </c>
      <c r="G3" s="1">
        <f>ROUND((WACC!$B$2*(1+WACC!$B$2)^$C3)/((1+WACC!$B$2)^$C3-1)*$D3,0)</f>
        <v>147919</v>
      </c>
      <c r="I3" s="25"/>
    </row>
    <row r="4" spans="1:9" x14ac:dyDescent="0.25">
      <c r="A4" t="s">
        <v>1</v>
      </c>
      <c r="B4" t="s">
        <v>5</v>
      </c>
      <c r="C4" s="1">
        <f>C8</f>
        <v>30</v>
      </c>
      <c r="D4" s="20">
        <f t="shared" si="1"/>
        <v>1040000</v>
      </c>
      <c r="E4" s="20">
        <f t="shared" si="1"/>
        <v>12600</v>
      </c>
      <c r="F4" s="21">
        <f t="shared" si="1"/>
        <v>1.35</v>
      </c>
      <c r="G4" s="1">
        <f>ROUND((WACC!$B$2*(1+WACC!$B$2)^$C4)/((1+WACC!$B$2)^$C4-1)*$D4,0)</f>
        <v>67653</v>
      </c>
      <c r="I4" s="25"/>
    </row>
    <row r="5" spans="1:9" x14ac:dyDescent="0.25">
      <c r="A5" t="s">
        <v>1</v>
      </c>
      <c r="B5" t="s">
        <v>6</v>
      </c>
      <c r="C5" s="1">
        <f>C9</f>
        <v>30</v>
      </c>
      <c r="D5" s="20">
        <f t="shared" si="1"/>
        <v>1930000</v>
      </c>
      <c r="E5" s="20">
        <f t="shared" si="1"/>
        <v>36053</v>
      </c>
      <c r="F5" s="21">
        <f t="shared" si="1"/>
        <v>2.7</v>
      </c>
      <c r="G5" s="1">
        <f>ROUND((WACC!$B$2*(1+WACC!$B$2)^$C5)/((1+WACC!$B$2)^$C5-1)*$D5,0)</f>
        <v>125549</v>
      </c>
      <c r="I5" s="25"/>
    </row>
    <row r="6" spans="1:9" x14ac:dyDescent="0.25">
      <c r="A6" t="s">
        <v>2</v>
      </c>
      <c r="B6" s="20" t="s">
        <v>3</v>
      </c>
      <c r="C6" s="1">
        <v>40</v>
      </c>
      <c r="D6" s="1">
        <v>625000</v>
      </c>
      <c r="E6" s="1">
        <v>9032</v>
      </c>
      <c r="F6" s="7">
        <v>0</v>
      </c>
      <c r="G6" s="1">
        <f>ROUND((WACC!$B$3*(1+WACC!$B$3)^$C6)/((1+WACC!$B$3)^$C6-1)*$D6,0)</f>
        <v>27039</v>
      </c>
      <c r="I6" s="25"/>
    </row>
    <row r="7" spans="1:9" x14ac:dyDescent="0.25">
      <c r="A7" t="s">
        <v>2</v>
      </c>
      <c r="B7" s="20" t="s">
        <v>4</v>
      </c>
      <c r="C7" s="1">
        <v>60</v>
      </c>
      <c r="D7" s="22">
        <v>2800000</v>
      </c>
      <c r="E7" s="1">
        <v>60000</v>
      </c>
      <c r="F7" s="7">
        <v>0</v>
      </c>
      <c r="G7" s="1">
        <f>ROUND((WACC!$B$3*(1+WACC!$B$3)^$C7)/((1+WACC!$B$3)^$C7-1)*$D7,0)</f>
        <v>101172</v>
      </c>
      <c r="I7" s="25"/>
    </row>
    <row r="8" spans="1:9" x14ac:dyDescent="0.25">
      <c r="A8" t="s">
        <v>2</v>
      </c>
      <c r="B8" t="s">
        <v>5</v>
      </c>
      <c r="C8" s="1">
        <v>30</v>
      </c>
      <c r="D8" s="1">
        <v>1040000</v>
      </c>
      <c r="E8" s="1">
        <v>12600</v>
      </c>
      <c r="F8" s="7">
        <v>1.35</v>
      </c>
      <c r="G8" s="1">
        <f>ROUND((WACC!$B$3*(1+WACC!$B$3)^$C8)/((1+WACC!$B$3)^$C8-1)*$D8,0)</f>
        <v>53060</v>
      </c>
      <c r="I8" s="25"/>
    </row>
    <row r="9" spans="1:9" x14ac:dyDescent="0.25">
      <c r="A9" t="s">
        <v>2</v>
      </c>
      <c r="B9" t="s">
        <v>6</v>
      </c>
      <c r="C9" s="1">
        <v>30</v>
      </c>
      <c r="D9" s="1">
        <v>1930000</v>
      </c>
      <c r="E9" s="1">
        <v>36053</v>
      </c>
      <c r="F9" s="7">
        <v>2.7</v>
      </c>
      <c r="G9" s="1">
        <f>ROUND((WACC!$B$3*(1+WACC!$B$3)^$C9)/((1+WACC!$B$3)^$C9-1)*$D9,0)</f>
        <v>98467</v>
      </c>
      <c r="I9" s="25"/>
    </row>
  </sheetData>
  <pageMargins left="0.7" right="0.7" top="0.78740157499999996" bottom="0.78740157499999996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21D5C-F791-46AF-9A23-F1D5D185B926}">
  <dimension ref="A1:O15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H19" sqref="H19"/>
    </sheetView>
  </sheetViews>
  <sheetFormatPr baseColWidth="10" defaultRowHeight="15" x14ac:dyDescent="0.25"/>
  <cols>
    <col min="4" max="7" width="11.42578125" customWidth="1"/>
  </cols>
  <sheetData>
    <row r="1" spans="1:15" s="15" customFormat="1" ht="30" x14ac:dyDescent="0.25">
      <c r="A1" s="14" t="s">
        <v>148</v>
      </c>
      <c r="B1" s="14" t="s">
        <v>146</v>
      </c>
      <c r="C1" s="14" t="s">
        <v>64</v>
      </c>
      <c r="D1" s="14" t="s">
        <v>118</v>
      </c>
      <c r="E1" s="14" t="s">
        <v>119</v>
      </c>
      <c r="F1" s="24" t="s">
        <v>144</v>
      </c>
      <c r="G1" s="24" t="s">
        <v>145</v>
      </c>
      <c r="H1" s="14" t="s">
        <v>120</v>
      </c>
      <c r="I1" s="14" t="s">
        <v>121</v>
      </c>
    </row>
    <row r="2" spans="1:15" x14ac:dyDescent="0.25">
      <c r="A2" t="s">
        <v>1</v>
      </c>
      <c r="B2" t="s">
        <v>122</v>
      </c>
      <c r="C2">
        <v>50</v>
      </c>
      <c r="D2" s="1">
        <v>3000000</v>
      </c>
      <c r="E2" s="1">
        <v>6500</v>
      </c>
      <c r="F2" s="1">
        <v>22000</v>
      </c>
      <c r="G2">
        <v>3</v>
      </c>
      <c r="H2" s="1">
        <f>D2*(WACC!$B$2*(1+WACC!$B$2)^$C2)/((1+WACC!$B$2)^$C2-1)</f>
        <v>164330.20645720942</v>
      </c>
      <c r="I2" s="1">
        <f>E2*(WACC!$B$3*(1+WACC!$B$3)^$C2)/((1+WACC!$B$3)^$C2-1)</f>
        <v>252.62571387089088</v>
      </c>
      <c r="N2" s="1"/>
      <c r="O2" s="1"/>
    </row>
    <row r="3" spans="1:15" x14ac:dyDescent="0.25">
      <c r="A3" t="s">
        <v>1</v>
      </c>
      <c r="B3" t="s">
        <v>123</v>
      </c>
      <c r="C3">
        <v>50</v>
      </c>
      <c r="D3" s="1">
        <v>3000000</v>
      </c>
      <c r="E3" s="1">
        <v>6500</v>
      </c>
      <c r="F3" s="1">
        <v>22000</v>
      </c>
      <c r="G3" s="1">
        <v>3</v>
      </c>
      <c r="H3" s="1">
        <f>D3*(WACC!$B$2*(1+WACC!$B$2)^$C3)/((1+WACC!$B$2)^$C3-1)</f>
        <v>164330.20645720942</v>
      </c>
      <c r="I3" s="1">
        <f>E3*(WACC!$B$3*(1+WACC!$B$3)^$C3)/((1+WACC!$B$3)^$C3-1)</f>
        <v>252.62571387089088</v>
      </c>
      <c r="N3" s="1"/>
      <c r="O3" s="1"/>
    </row>
    <row r="4" spans="1:15" x14ac:dyDescent="0.25">
      <c r="A4" t="s">
        <v>1</v>
      </c>
      <c r="B4" t="s">
        <v>124</v>
      </c>
      <c r="C4">
        <v>50</v>
      </c>
      <c r="D4" s="1">
        <v>3000000</v>
      </c>
      <c r="E4" s="1">
        <v>6500</v>
      </c>
      <c r="F4" s="1">
        <v>22000</v>
      </c>
      <c r="G4" s="1">
        <v>3</v>
      </c>
      <c r="H4" s="1">
        <f>D4*(WACC!$B$2*(1+WACC!$B$2)^$C4)/((1+WACC!$B$2)^$C4-1)</f>
        <v>164330.20645720942</v>
      </c>
      <c r="I4" s="1">
        <f>E4*(WACC!$B$3*(1+WACC!$B$3)^$C4)/((1+WACC!$B$3)^$C4-1)</f>
        <v>252.62571387089088</v>
      </c>
      <c r="N4" s="1"/>
      <c r="O4" s="1"/>
    </row>
    <row r="5" spans="1:15" x14ac:dyDescent="0.25">
      <c r="A5" t="s">
        <v>1</v>
      </c>
      <c r="B5" t="s">
        <v>125</v>
      </c>
      <c r="C5">
        <v>50</v>
      </c>
      <c r="D5" s="1">
        <v>2400000</v>
      </c>
      <c r="E5" s="1">
        <v>6500</v>
      </c>
      <c r="F5" s="1">
        <v>22000</v>
      </c>
      <c r="G5" s="1">
        <v>3</v>
      </c>
      <c r="H5" s="1">
        <f>D5*(WACC!$B$2*(1+WACC!$B$2)^$C5)/((1+WACC!$B$2)^$C5-1)</f>
        <v>131464.16516576754</v>
      </c>
      <c r="I5" s="1">
        <f>E5*(WACC!$B$3*(1+WACC!$B$3)^$C5)/((1+WACC!$B$3)^$C5-1)</f>
        <v>252.62571387089088</v>
      </c>
      <c r="N5" s="1"/>
      <c r="O5" s="1"/>
    </row>
    <row r="6" spans="1:15" x14ac:dyDescent="0.25">
      <c r="A6" t="s">
        <v>1</v>
      </c>
      <c r="B6" t="s">
        <v>126</v>
      </c>
      <c r="C6">
        <v>50</v>
      </c>
      <c r="D6" s="1">
        <v>2400000</v>
      </c>
      <c r="E6" s="1">
        <v>6500</v>
      </c>
      <c r="F6" s="1">
        <v>22000</v>
      </c>
      <c r="G6" s="1">
        <v>3</v>
      </c>
      <c r="H6" s="1">
        <f>D6*(WACC!$B$2*(1+WACC!$B$2)^$C6)/((1+WACC!$B$2)^$C6-1)</f>
        <v>131464.16516576754</v>
      </c>
      <c r="I6" s="1">
        <f>E6*(WACC!$B$3*(1+WACC!$B$3)^$C6)/((1+WACC!$B$3)^$C6-1)</f>
        <v>252.62571387089088</v>
      </c>
    </row>
    <row r="7" spans="1:15" x14ac:dyDescent="0.25">
      <c r="A7" t="s">
        <v>1</v>
      </c>
      <c r="B7" t="s">
        <v>127</v>
      </c>
      <c r="C7">
        <v>50</v>
      </c>
      <c r="D7" s="1">
        <v>2400000</v>
      </c>
      <c r="E7" s="1">
        <v>6500</v>
      </c>
      <c r="F7" s="1">
        <v>22000</v>
      </c>
      <c r="G7" s="1">
        <v>3</v>
      </c>
      <c r="H7" s="1">
        <f>D7*(WACC!$B$2*(1+WACC!$B$2)^$C7)/((1+WACC!$B$2)^$C7-1)</f>
        <v>131464.16516576754</v>
      </c>
      <c r="I7" s="1">
        <f>E7*(WACC!$B$3*(1+WACC!$B$3)^$C7)/((1+WACC!$B$3)^$C7-1)</f>
        <v>252.62571387089088</v>
      </c>
    </row>
    <row r="8" spans="1:15" x14ac:dyDescent="0.25">
      <c r="A8" t="s">
        <v>1</v>
      </c>
      <c r="B8" t="s">
        <v>117</v>
      </c>
      <c r="C8">
        <v>25</v>
      </c>
      <c r="D8" s="1">
        <v>320000</v>
      </c>
      <c r="E8" s="1">
        <v>302000</v>
      </c>
      <c r="F8" s="1">
        <v>540</v>
      </c>
      <c r="G8" s="8">
        <v>1.8</v>
      </c>
      <c r="H8" s="1">
        <f>D8*(WACC!$B$2*(1+WACC!$B$2)^$C8)/((1+WACC!$B$2)^$C8-1)</f>
        <v>22704.786335753477</v>
      </c>
      <c r="I8" s="1">
        <f>E8*(WACC!$B$3*(1+WACC!$B$3)^$C8)/((1+WACC!$B$3)^$C8-1)</f>
        <v>17343.217053816603</v>
      </c>
    </row>
    <row r="9" spans="1:15" x14ac:dyDescent="0.25">
      <c r="A9" t="s">
        <v>1</v>
      </c>
      <c r="B9" t="s">
        <v>258</v>
      </c>
      <c r="C9">
        <v>25</v>
      </c>
      <c r="D9" s="8">
        <v>2575000</v>
      </c>
      <c r="E9" s="1">
        <v>2000</v>
      </c>
      <c r="F9" s="1">
        <v>82500</v>
      </c>
      <c r="G9" s="1">
        <v>0</v>
      </c>
      <c r="H9" s="1">
        <f>D9*(WACC!$B$2*(1+WACC!$B$2)^$C9)/((1+WACC!$B$2)^$C9-1)</f>
        <v>182702.57754551628</v>
      </c>
      <c r="I9" s="1">
        <f>E9*(WACC!$B$3*(1+WACC!$B$3)^$C9)/((1+WACC!$B$3)^$C9-1)</f>
        <v>114.85574207825563</v>
      </c>
    </row>
    <row r="10" spans="1:15" x14ac:dyDescent="0.25">
      <c r="D10" s="8"/>
      <c r="E10" s="6"/>
      <c r="F10" s="6"/>
      <c r="G10" s="6"/>
      <c r="H10" s="7"/>
    </row>
    <row r="11" spans="1:15" x14ac:dyDescent="0.25">
      <c r="E11" s="9"/>
      <c r="F11" s="9"/>
      <c r="G11" s="9"/>
      <c r="H11" s="7"/>
    </row>
    <row r="14" spans="1:15" x14ac:dyDescent="0.25">
      <c r="D14" s="8"/>
      <c r="E14" s="9"/>
      <c r="F14" s="9"/>
      <c r="G14" s="9"/>
      <c r="H14" s="7"/>
    </row>
    <row r="15" spans="1:15" x14ac:dyDescent="0.25">
      <c r="D15" s="8"/>
      <c r="E15" s="1"/>
      <c r="F15" s="1"/>
      <c r="G15" s="1"/>
      <c r="H15" s="7"/>
    </row>
  </sheetData>
  <pageMargins left="0.7" right="0.7" top="0.78740157499999996" bottom="0.78740157499999996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26B0-C129-4904-8AA9-F9E48EA6FD9F}">
  <dimension ref="A1:S3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Q33" sqref="Q33"/>
    </sheetView>
  </sheetViews>
  <sheetFormatPr baseColWidth="10" defaultRowHeight="15" x14ac:dyDescent="0.25"/>
  <cols>
    <col min="2" max="2" width="14.140625" bestFit="1" customWidth="1"/>
  </cols>
  <sheetData>
    <row r="1" spans="1:19" x14ac:dyDescent="0.25">
      <c r="A1" s="2" t="s">
        <v>18</v>
      </c>
      <c r="B1" s="2" t="s">
        <v>65</v>
      </c>
      <c r="C1" s="28" t="s">
        <v>66</v>
      </c>
      <c r="D1" s="28" t="s">
        <v>67</v>
      </c>
      <c r="E1" s="28" t="s">
        <v>68</v>
      </c>
      <c r="F1" s="28" t="s">
        <v>69</v>
      </c>
      <c r="G1" s="28" t="s">
        <v>70</v>
      </c>
      <c r="H1" s="28" t="s">
        <v>71</v>
      </c>
      <c r="I1" s="28" t="s">
        <v>72</v>
      </c>
      <c r="J1" s="28" t="s">
        <v>73</v>
      </c>
      <c r="K1" s="28" t="s">
        <v>74</v>
      </c>
      <c r="L1" s="28" t="s">
        <v>75</v>
      </c>
      <c r="M1" s="2" t="s">
        <v>76</v>
      </c>
      <c r="N1" s="2" t="s">
        <v>77</v>
      </c>
      <c r="O1" s="2" t="s">
        <v>64</v>
      </c>
      <c r="P1" s="2" t="s">
        <v>78</v>
      </c>
      <c r="Q1" s="2" t="s">
        <v>79</v>
      </c>
    </row>
    <row r="2" spans="1:19" x14ac:dyDescent="0.25">
      <c r="A2">
        <v>10</v>
      </c>
      <c r="B2" t="s">
        <v>80</v>
      </c>
      <c r="C2" s="18">
        <v>24</v>
      </c>
      <c r="D2" s="18">
        <v>4</v>
      </c>
      <c r="E2" s="18">
        <v>12</v>
      </c>
      <c r="F2" s="18">
        <v>18</v>
      </c>
      <c r="G2" s="18">
        <v>30</v>
      </c>
      <c r="H2" s="18">
        <v>1.95</v>
      </c>
      <c r="I2" s="18">
        <v>2.0625</v>
      </c>
      <c r="J2" s="18">
        <v>3.05</v>
      </c>
      <c r="K2" s="18">
        <v>1</v>
      </c>
      <c r="L2" s="18">
        <v>0.62</v>
      </c>
      <c r="M2" s="8">
        <f>LOOKUP($A2,tech_full!$A$3:$A$38,tech_full!$T$3:$T$38)</f>
        <v>2.5</v>
      </c>
      <c r="N2" s="1">
        <f>LOOKUP($A2,tech_full!$A$3:$A$38,tech_full!$U$3:$U$38)</f>
        <v>121800.00000000001</v>
      </c>
      <c r="O2" s="1">
        <f>LOOKUP($A2,tech_full!$A$3:$A$38,tech_full!$V$3:$V$38)</f>
        <v>40</v>
      </c>
      <c r="P2" s="1">
        <f>LOOKUP($A2,tech_full!$A$3:$A$38,tech_full!$S$3:$S$38)*1000</f>
        <v>5800000</v>
      </c>
      <c r="Q2" s="1">
        <f>P2*(WACC!$B$2*(1+WACC!$B$2)^$O2)/((1+WACC!$B$2)^$O2-1)</f>
        <v>338013.33476300299</v>
      </c>
      <c r="S2" s="7"/>
    </row>
    <row r="3" spans="1:19" x14ac:dyDescent="0.25">
      <c r="A3">
        <v>20</v>
      </c>
      <c r="B3" t="s">
        <v>81</v>
      </c>
      <c r="C3" s="18">
        <v>12</v>
      </c>
      <c r="D3" s="18">
        <v>4</v>
      </c>
      <c r="E3" s="18">
        <v>12</v>
      </c>
      <c r="F3" s="18">
        <v>18</v>
      </c>
      <c r="G3" s="18">
        <v>30</v>
      </c>
      <c r="H3" s="18">
        <v>3.95</v>
      </c>
      <c r="I3" s="18">
        <v>4.4000000000000004</v>
      </c>
      <c r="J3" s="18">
        <v>6</v>
      </c>
      <c r="K3" s="18">
        <v>1</v>
      </c>
      <c r="L3" s="18">
        <v>0.65</v>
      </c>
      <c r="M3" s="8">
        <f>LOOKUP($A3,tech_full!$A$3:$A$38,tech_full!$T$3:$T$38)</f>
        <v>2</v>
      </c>
      <c r="N3" s="1">
        <f>LOOKUP($A3,tech_full!$A$3:$A$38,tech_full!$U$3:$U$38)</f>
        <v>60000</v>
      </c>
      <c r="O3" s="1">
        <f>LOOKUP($A3,tech_full!$A$3:$A$38,tech_full!$V$3:$V$38)</f>
        <v>40</v>
      </c>
      <c r="P3" s="1">
        <f>LOOKUP($A3,tech_full!$A$3:$A$38,tech_full!$S$3:$S$38)*1000</f>
        <v>1700000</v>
      </c>
      <c r="Q3" s="1">
        <f>P3*(WACC!$B$2*(1+WACC!$B$2)^$O3)/((1+WACC!$B$2)^$O3-1)</f>
        <v>99072.873982259509</v>
      </c>
      <c r="S3" s="7"/>
    </row>
    <row r="4" spans="1:19" x14ac:dyDescent="0.25">
      <c r="A4">
        <v>20.5</v>
      </c>
      <c r="B4" t="s">
        <v>82</v>
      </c>
      <c r="C4" s="18">
        <v>12</v>
      </c>
      <c r="D4" s="18">
        <v>4</v>
      </c>
      <c r="E4" s="18">
        <v>12</v>
      </c>
      <c r="F4" s="18">
        <v>18</v>
      </c>
      <c r="G4" s="18">
        <v>30</v>
      </c>
      <c r="H4" s="18">
        <v>3.95</v>
      </c>
      <c r="I4" s="18">
        <v>4.4000000000000004</v>
      </c>
      <c r="J4" s="18">
        <v>6</v>
      </c>
      <c r="K4" s="18">
        <v>1</v>
      </c>
      <c r="L4" s="18">
        <v>0.55000000000000004</v>
      </c>
      <c r="M4" s="8">
        <f>LOOKUP($A4,tech_full!$A$3:$A$38,tech_full!$T$3:$T$38)</f>
        <v>2</v>
      </c>
      <c r="N4" s="1">
        <f>LOOKUP($A4,tech_full!$A$3:$A$38,tech_full!$U$3:$U$38)</f>
        <v>60000</v>
      </c>
      <c r="O4" s="1">
        <f>LOOKUP($A4,tech_full!$A$3:$A$38,tech_full!$V$3:$V$38)</f>
        <v>40</v>
      </c>
      <c r="P4" s="1">
        <f>LOOKUP($A4,tech_full!$A$3:$A$38,tech_full!$S$3:$S$38)*1000</f>
        <v>1700000</v>
      </c>
      <c r="Q4" s="1">
        <f>P4*(WACC!$B$2*(1+WACC!$B$2)^$O4)/((1+WACC!$B$2)^$O4-1)</f>
        <v>99072.873982259509</v>
      </c>
      <c r="S4" s="7"/>
    </row>
    <row r="5" spans="1:19" x14ac:dyDescent="0.25">
      <c r="A5">
        <v>21</v>
      </c>
      <c r="B5" t="s">
        <v>83</v>
      </c>
      <c r="C5" s="18">
        <v>2</v>
      </c>
      <c r="D5" s="18">
        <v>4</v>
      </c>
      <c r="E5" s="18">
        <v>8</v>
      </c>
      <c r="F5" s="18">
        <v>14</v>
      </c>
      <c r="G5" s="18">
        <v>24</v>
      </c>
      <c r="H5" s="18">
        <v>3.7</v>
      </c>
      <c r="I5" s="18">
        <v>4.25</v>
      </c>
      <c r="J5" s="18">
        <v>5.5</v>
      </c>
      <c r="K5" s="18">
        <v>0.75</v>
      </c>
      <c r="L5" s="18">
        <v>0.4</v>
      </c>
      <c r="M5" s="8">
        <f>LOOKUP($A5,tech_full!$A$3:$A$38,tech_full!$T$3:$T$38)</f>
        <v>4.5</v>
      </c>
      <c r="N5" s="1">
        <f>LOOKUP($A5,tech_full!$A$3:$A$38,tech_full!$U$3:$U$38)</f>
        <v>50000</v>
      </c>
      <c r="O5" s="1">
        <f>LOOKUP($A5,tech_full!$A$3:$A$38,tech_full!$V$3:$V$38)</f>
        <v>40</v>
      </c>
      <c r="P5" s="1">
        <f>LOOKUP($A5,tech_full!$A$3:$A$38,tech_full!$S$3:$S$38)*1000</f>
        <v>2000000</v>
      </c>
      <c r="Q5" s="1">
        <f>P5*(WACC!$B$2*(1+WACC!$B$2)^$O5)/((1+WACC!$B$2)^$O5-1)</f>
        <v>116556.32233207001</v>
      </c>
      <c r="S5" s="7"/>
    </row>
    <row r="6" spans="1:19" x14ac:dyDescent="0.25">
      <c r="A6">
        <v>21.5</v>
      </c>
      <c r="B6" t="s">
        <v>84</v>
      </c>
      <c r="C6" s="18">
        <v>2</v>
      </c>
      <c r="D6" s="18">
        <v>4</v>
      </c>
      <c r="E6" s="18">
        <v>8</v>
      </c>
      <c r="F6" s="18">
        <v>14</v>
      </c>
      <c r="G6" s="18">
        <v>24</v>
      </c>
      <c r="H6" s="18">
        <v>3.7</v>
      </c>
      <c r="I6" s="18">
        <v>4.25</v>
      </c>
      <c r="J6" s="18">
        <v>5.5</v>
      </c>
      <c r="K6" s="18">
        <v>0.75</v>
      </c>
      <c r="L6" s="18">
        <v>0.35</v>
      </c>
      <c r="M6" s="8">
        <f>LOOKUP($A6,tech_full!$A$3:$A$38,tech_full!$T$3:$T$38)</f>
        <v>4.5</v>
      </c>
      <c r="N6" s="1">
        <f>LOOKUP($A6,tech_full!$A$3:$A$38,tech_full!$U$3:$U$38)</f>
        <v>52625</v>
      </c>
      <c r="O6" s="1">
        <f>LOOKUP($A6,tech_full!$A$3:$A$38,tech_full!$V$3:$V$38)</f>
        <v>40</v>
      </c>
      <c r="P6" s="1">
        <f>LOOKUP($A6,tech_full!$A$3:$A$38,tech_full!$S$3:$S$38)*1000</f>
        <v>2105000</v>
      </c>
      <c r="Q6" s="1">
        <f>P6*(WACC!$B$2*(1+WACC!$B$2)^$O6)/((1+WACC!$B$2)^$O6-1)</f>
        <v>122675.52925450366</v>
      </c>
      <c r="S6" s="7"/>
    </row>
    <row r="7" spans="1:19" x14ac:dyDescent="0.25">
      <c r="A7">
        <v>30</v>
      </c>
      <c r="B7" t="s">
        <v>85</v>
      </c>
      <c r="C7" s="18">
        <v>6</v>
      </c>
      <c r="D7" s="18">
        <v>6</v>
      </c>
      <c r="E7" s="18">
        <v>8</v>
      </c>
      <c r="F7" s="18">
        <v>14</v>
      </c>
      <c r="G7" s="18">
        <v>24</v>
      </c>
      <c r="H7" s="18">
        <v>3.95</v>
      </c>
      <c r="I7" s="18">
        <v>4.4000000000000004</v>
      </c>
      <c r="J7" s="18">
        <v>6</v>
      </c>
      <c r="K7" s="18">
        <v>1</v>
      </c>
      <c r="L7" s="18">
        <v>0.52500000000000002</v>
      </c>
      <c r="M7" s="8">
        <f>LOOKUP($A7,tech_full!$A$3:$A$38,tech_full!$T$3:$T$38)</f>
        <v>6</v>
      </c>
      <c r="N7" s="1">
        <f>LOOKUP($A7,tech_full!$A$3:$A$38,tech_full!$U$3:$U$38)</f>
        <v>30000</v>
      </c>
      <c r="O7" s="1">
        <f>LOOKUP($A7,tech_full!$A$3:$A$38,tech_full!$V$3:$V$38)</f>
        <v>40</v>
      </c>
      <c r="P7" s="1">
        <f>LOOKUP($A7,tech_full!$A$3:$A$38,tech_full!$S$3:$S$38)*1000</f>
        <v>1200000</v>
      </c>
      <c r="Q7" s="1">
        <f>P7*(WACC!$B$2*(1+WACC!$B$2)^$O7)/((1+WACC!$B$2)^$O7-1)</f>
        <v>69933.793399242</v>
      </c>
      <c r="S7" s="7"/>
    </row>
    <row r="8" spans="1:19" x14ac:dyDescent="0.25">
      <c r="A8">
        <v>30.5</v>
      </c>
      <c r="B8" t="s">
        <v>86</v>
      </c>
      <c r="C8" s="18">
        <v>6</v>
      </c>
      <c r="D8" s="18">
        <v>6</v>
      </c>
      <c r="E8" s="18">
        <v>8</v>
      </c>
      <c r="F8" s="18">
        <v>14</v>
      </c>
      <c r="G8" s="18">
        <v>24</v>
      </c>
      <c r="H8" s="18">
        <v>3.95</v>
      </c>
      <c r="I8" s="18">
        <v>4.4000000000000004</v>
      </c>
      <c r="J8" s="18">
        <v>6</v>
      </c>
      <c r="K8" s="18">
        <v>1</v>
      </c>
      <c r="L8" s="18">
        <v>0.52500000000000002</v>
      </c>
      <c r="M8" s="8">
        <f>LOOKUP($A8,tech_full!$A$3:$A$38,tech_full!$T$3:$T$38)</f>
        <v>6</v>
      </c>
      <c r="N8" s="1">
        <f>LOOKUP($A8,tech_full!$A$3:$A$38,tech_full!$U$3:$U$38)</f>
        <v>30000</v>
      </c>
      <c r="O8" s="1">
        <f>LOOKUP($A8,tech_full!$A$3:$A$38,tech_full!$V$3:$V$38)</f>
        <v>40</v>
      </c>
      <c r="P8" s="1">
        <f>LOOKUP($A8,tech_full!$A$3:$A$38,tech_full!$S$3:$S$38)*1000</f>
        <v>1263000</v>
      </c>
      <c r="Q8" s="1">
        <f>P8*(WACC!$B$2*(1+WACC!$B$2)^$O8)/((1+WACC!$B$2)^$O8-1)</f>
        <v>73605.31755270221</v>
      </c>
      <c r="S8" s="7"/>
    </row>
    <row r="9" spans="1:19" x14ac:dyDescent="0.25">
      <c r="A9">
        <v>31</v>
      </c>
      <c r="B9" t="s">
        <v>87</v>
      </c>
      <c r="C9" s="18">
        <v>4</v>
      </c>
      <c r="D9" s="18">
        <v>2</v>
      </c>
      <c r="E9" s="18">
        <v>8</v>
      </c>
      <c r="F9" s="18">
        <v>14</v>
      </c>
      <c r="G9" s="18">
        <v>24</v>
      </c>
      <c r="H9" s="18">
        <v>3.7</v>
      </c>
      <c r="I9" s="18">
        <v>4.25</v>
      </c>
      <c r="J9" s="18">
        <v>5.5</v>
      </c>
      <c r="K9" s="18">
        <v>0.75</v>
      </c>
      <c r="L9" s="18">
        <v>0.4</v>
      </c>
      <c r="M9" s="8">
        <f>LOOKUP($A9,tech_full!$A$3:$A$38,tech_full!$T$3:$T$38)</f>
        <v>6</v>
      </c>
      <c r="N9" s="1">
        <f>LOOKUP($A9,tech_full!$A$3:$A$38,tech_full!$U$3:$U$38)</f>
        <v>25000</v>
      </c>
      <c r="O9" s="1">
        <f>LOOKUP($A9,tech_full!$A$3:$A$38,tech_full!$V$3:$V$38)</f>
        <v>40</v>
      </c>
      <c r="P9" s="1">
        <f>LOOKUP($A9,tech_full!$A$3:$A$38,tech_full!$S$3:$S$38)*1000</f>
        <v>1300000</v>
      </c>
      <c r="Q9" s="1">
        <f>P9*(WACC!$B$2*(1+WACC!$B$2)^$O9)/((1+WACC!$B$2)^$O9-1)</f>
        <v>75761.609515845499</v>
      </c>
      <c r="S9" s="7"/>
    </row>
    <row r="10" spans="1:19" x14ac:dyDescent="0.25">
      <c r="A10">
        <v>31.5</v>
      </c>
      <c r="B10" t="s">
        <v>88</v>
      </c>
      <c r="C10" s="18">
        <v>4</v>
      </c>
      <c r="D10" s="18">
        <v>2</v>
      </c>
      <c r="E10" s="18">
        <v>8</v>
      </c>
      <c r="F10" s="18">
        <v>14</v>
      </c>
      <c r="G10" s="18">
        <v>24</v>
      </c>
      <c r="H10" s="18">
        <v>3.7</v>
      </c>
      <c r="I10" s="18">
        <v>4.25</v>
      </c>
      <c r="J10" s="18">
        <v>5.5</v>
      </c>
      <c r="K10" s="18">
        <v>0.75</v>
      </c>
      <c r="L10" s="18">
        <v>0.4</v>
      </c>
      <c r="M10" s="8">
        <f>LOOKUP($A10,tech_full!$A$3:$A$38,tech_full!$T$3:$T$38)</f>
        <v>6</v>
      </c>
      <c r="N10" s="1">
        <f>LOOKUP($A10,tech_full!$A$3:$A$38,tech_full!$U$3:$U$38)</f>
        <v>25000</v>
      </c>
      <c r="O10" s="1">
        <f>LOOKUP($A10,tech_full!$A$3:$A$38,tech_full!$V$3:$V$38)</f>
        <v>40</v>
      </c>
      <c r="P10" s="1">
        <f>LOOKUP($A10,tech_full!$A$3:$A$38,tech_full!$S$3:$S$38)*1000</f>
        <v>1368000</v>
      </c>
      <c r="Q10" s="1">
        <f>P10*(WACC!$B$2*(1+WACC!$B$2)^$O10)/((1+WACC!$B$2)^$O10-1)</f>
        <v>79724.524475135884</v>
      </c>
      <c r="S10" s="7"/>
    </row>
    <row r="11" spans="1:19" x14ac:dyDescent="0.25">
      <c r="A11">
        <v>32</v>
      </c>
      <c r="B11" t="s">
        <v>89</v>
      </c>
      <c r="C11" s="18">
        <v>4</v>
      </c>
      <c r="D11" s="18">
        <v>2</v>
      </c>
      <c r="E11" s="18">
        <v>8</v>
      </c>
      <c r="F11" s="18">
        <v>14</v>
      </c>
      <c r="G11" s="18">
        <v>24</v>
      </c>
      <c r="H11" s="18">
        <v>3.7</v>
      </c>
      <c r="I11" s="18">
        <v>4.25</v>
      </c>
      <c r="J11" s="18">
        <v>5.5</v>
      </c>
      <c r="K11" s="18">
        <v>0.625</v>
      </c>
      <c r="L11" s="18">
        <v>0.35699999999999998</v>
      </c>
      <c r="M11" s="8">
        <f>LOOKUP($A11,tech_full!$A$3:$A$38,tech_full!$T$3:$T$38)</f>
        <v>2.9</v>
      </c>
      <c r="N11" s="1">
        <f>LOOKUP($A11,tech_full!$A$3:$A$38,tech_full!$U$3:$U$38)</f>
        <v>31000</v>
      </c>
      <c r="O11" s="1">
        <f>LOOKUP($A11,tech_full!$A$3:$A$38,tech_full!$V$3:$V$38)</f>
        <v>40</v>
      </c>
      <c r="P11" s="1">
        <f>LOOKUP($A11,tech_full!$A$3:$A$38,tech_full!$S$3:$S$38)*1000</f>
        <v>1900000</v>
      </c>
      <c r="Q11" s="1">
        <f>P11*(WACC!$B$2*(1+WACC!$B$2)^$O11)/((1+WACC!$B$2)^$O11-1)</f>
        <v>110728.50621546649</v>
      </c>
      <c r="S11" s="7"/>
    </row>
    <row r="12" spans="1:19" x14ac:dyDescent="0.25">
      <c r="A12">
        <v>32.5</v>
      </c>
      <c r="B12" t="s">
        <v>90</v>
      </c>
      <c r="C12" s="18">
        <v>4</v>
      </c>
      <c r="D12" s="18">
        <v>2</v>
      </c>
      <c r="E12" s="18">
        <v>8</v>
      </c>
      <c r="F12" s="18">
        <v>14</v>
      </c>
      <c r="G12" s="18">
        <v>24</v>
      </c>
      <c r="H12" s="18">
        <v>3.7</v>
      </c>
      <c r="I12" s="18">
        <v>4.25</v>
      </c>
      <c r="J12" s="18">
        <v>5.5</v>
      </c>
      <c r="K12" s="18">
        <v>0.625</v>
      </c>
      <c r="L12" s="18">
        <v>0.375</v>
      </c>
      <c r="M12" s="8">
        <f>LOOKUP($A12,tech_full!$A$3:$A$38,tech_full!$T$3:$T$38)</f>
        <v>2.9</v>
      </c>
      <c r="N12" s="1">
        <f>LOOKUP($A12,tech_full!$A$3:$A$38,tech_full!$U$3:$U$38)</f>
        <v>31000</v>
      </c>
      <c r="O12" s="1">
        <f>LOOKUP($A12,tech_full!$A$3:$A$38,tech_full!$V$3:$V$38)</f>
        <v>40</v>
      </c>
      <c r="P12" s="1">
        <f>LOOKUP($A12,tech_full!$A$3:$A$38,tech_full!$S$3:$S$38)*1000</f>
        <v>2000000</v>
      </c>
      <c r="Q12" s="1">
        <f>P12*(WACC!$B$2*(1+WACC!$B$2)^$O12)/((1+WACC!$B$2)^$O12-1)</f>
        <v>116556.32233207001</v>
      </c>
      <c r="S12" s="7"/>
    </row>
    <row r="13" spans="1:19" x14ac:dyDescent="0.25">
      <c r="A13">
        <v>33</v>
      </c>
      <c r="B13" t="s">
        <v>91</v>
      </c>
      <c r="C13" s="18">
        <v>2</v>
      </c>
      <c r="D13" s="18">
        <v>2</v>
      </c>
      <c r="E13" s="18">
        <v>8</v>
      </c>
      <c r="F13" s="18">
        <v>12</v>
      </c>
      <c r="G13" s="18">
        <v>24</v>
      </c>
      <c r="H13" s="18">
        <v>1.6</v>
      </c>
      <c r="I13" s="18">
        <v>1.75</v>
      </c>
      <c r="J13" s="18">
        <v>2.75</v>
      </c>
      <c r="K13" s="18">
        <v>0.625</v>
      </c>
      <c r="L13" s="18">
        <v>0.2</v>
      </c>
      <c r="M13" s="8">
        <f>LOOKUP($A13,tech_full!$A$3:$A$38,tech_full!$T$3:$T$38)</f>
        <v>5</v>
      </c>
      <c r="N13" s="1">
        <f>LOOKUP($A13,tech_full!$A$3:$A$38,tech_full!$U$3:$U$38)</f>
        <v>57500</v>
      </c>
      <c r="O13" s="1">
        <f>LOOKUP($A13,tech_full!$A$3:$A$38,tech_full!$V$3:$V$38)</f>
        <v>35</v>
      </c>
      <c r="P13" s="1">
        <f>LOOKUP($A13,tech_full!$A$3:$A$38,tech_full!$S$3:$S$38)*1000</f>
        <v>2300000</v>
      </c>
      <c r="Q13" s="1">
        <f>P13*(WACC!$B$2*(1+WACC!$B$2)^$O13)/((1+WACC!$B$2)^$O13-1)</f>
        <v>140464.92663095458</v>
      </c>
      <c r="S13" s="7"/>
    </row>
    <row r="14" spans="1:19" x14ac:dyDescent="0.25">
      <c r="A14">
        <v>40</v>
      </c>
      <c r="B14" t="s">
        <v>92</v>
      </c>
      <c r="C14" s="18">
        <v>6</v>
      </c>
      <c r="D14" s="18">
        <v>1</v>
      </c>
      <c r="E14" s="18">
        <v>8</v>
      </c>
      <c r="F14" s="18">
        <v>12</v>
      </c>
      <c r="G14" s="18">
        <v>24</v>
      </c>
      <c r="H14" s="18">
        <v>1.6</v>
      </c>
      <c r="I14" s="18">
        <v>1.75</v>
      </c>
      <c r="J14" s="18">
        <v>2.75</v>
      </c>
      <c r="K14" s="18">
        <v>0.625</v>
      </c>
      <c r="L14" s="18">
        <v>0.5</v>
      </c>
      <c r="M14" s="8">
        <f>LOOKUP($A14,tech_full!$A$3:$A$38,tech_full!$T$3:$T$38)</f>
        <v>3</v>
      </c>
      <c r="N14" s="1">
        <f>LOOKUP($A14,tech_full!$A$3:$A$38,tech_full!$U$3:$U$38)</f>
        <v>15000</v>
      </c>
      <c r="O14" s="1">
        <f>LOOKUP($A14,tech_full!$A$3:$A$38,tech_full!$V$3:$V$38)</f>
        <v>30</v>
      </c>
      <c r="P14" s="1">
        <f>LOOKUP($A14,tech_full!$A$3:$A$38,tech_full!$S$3:$S$38)*1000</f>
        <v>400000</v>
      </c>
      <c r="Q14" s="1">
        <f>P14*(WACC!$B$2*(1+WACC!$B$2)^$O14)/((1+WACC!$B$2)^$O14-1)</f>
        <v>26020.574032110635</v>
      </c>
      <c r="S14" s="7"/>
    </row>
    <row r="15" spans="1:19" x14ac:dyDescent="0.25">
      <c r="A15">
        <v>40.5</v>
      </c>
      <c r="B15" t="s">
        <v>93</v>
      </c>
      <c r="C15" s="18">
        <v>6</v>
      </c>
      <c r="D15" s="18">
        <v>1</v>
      </c>
      <c r="E15" s="18">
        <v>8</v>
      </c>
      <c r="F15" s="18">
        <v>12</v>
      </c>
      <c r="G15" s="18">
        <v>24</v>
      </c>
      <c r="H15" s="18">
        <v>1.6</v>
      </c>
      <c r="I15" s="18">
        <v>1.75</v>
      </c>
      <c r="J15" s="18">
        <v>2.75</v>
      </c>
      <c r="K15" s="18">
        <v>0.625</v>
      </c>
      <c r="L15" s="18">
        <v>0.5</v>
      </c>
      <c r="M15" s="8">
        <f>LOOKUP($A15,tech_full!$A$3:$A$38,tech_full!$T$3:$T$38)</f>
        <v>3</v>
      </c>
      <c r="N15" s="1">
        <f>LOOKUP($A15,tech_full!$A$3:$A$38,tech_full!$U$3:$U$38)</f>
        <v>15000</v>
      </c>
      <c r="O15" s="1">
        <f>LOOKUP($A15,tech_full!$A$3:$A$38,tech_full!$V$3:$V$38)</f>
        <v>30</v>
      </c>
      <c r="P15" s="1">
        <f>LOOKUP($A15,tech_full!$A$3:$A$38,tech_full!$S$3:$S$38)*1000</f>
        <v>400000</v>
      </c>
      <c r="Q15" s="1">
        <f>P15*(WACC!$B$2*(1+WACC!$B$2)^$O15)/((1+WACC!$B$2)^$O15-1)</f>
        <v>26020.574032110635</v>
      </c>
      <c r="S15" s="7"/>
    </row>
    <row r="16" spans="1:19" x14ac:dyDescent="0.25">
      <c r="A16">
        <v>41</v>
      </c>
      <c r="B16" t="s">
        <v>94</v>
      </c>
      <c r="C16" s="18">
        <v>4</v>
      </c>
      <c r="D16" s="18">
        <v>1</v>
      </c>
      <c r="E16" s="18">
        <v>6</v>
      </c>
      <c r="F16" s="18">
        <v>12</v>
      </c>
      <c r="G16" s="18">
        <v>24</v>
      </c>
      <c r="H16" s="18">
        <v>1.7</v>
      </c>
      <c r="I16" s="18">
        <v>1.8125</v>
      </c>
      <c r="J16" s="18">
        <v>2.8</v>
      </c>
      <c r="K16" s="18">
        <v>0.75</v>
      </c>
      <c r="L16" s="18">
        <v>0.75</v>
      </c>
      <c r="M16" s="8">
        <f>LOOKUP($A16,tech_full!$A$3:$A$38,tech_full!$T$3:$T$38)</f>
        <v>4.5</v>
      </c>
      <c r="N16" s="1">
        <f>LOOKUP($A16,tech_full!$A$3:$A$38,tech_full!$U$3:$U$38)</f>
        <v>8068</v>
      </c>
      <c r="O16" s="1">
        <f>LOOKUP($A16,tech_full!$A$3:$A$38,tech_full!$V$3:$V$38)</f>
        <v>25</v>
      </c>
      <c r="P16" s="1">
        <f>LOOKUP($A16,tech_full!$A$3:$A$38,tech_full!$S$3:$S$38)*1000</f>
        <v>454000</v>
      </c>
      <c r="Q16" s="1">
        <f>P16*(WACC!$B$2*(1+WACC!$B$2)^$O16)/((1+WACC!$B$2)^$O16-1)</f>
        <v>32212.415613850248</v>
      </c>
      <c r="S16" s="7"/>
    </row>
    <row r="17" spans="1:19" x14ac:dyDescent="0.25">
      <c r="A17">
        <v>41.5</v>
      </c>
      <c r="B17" t="s">
        <v>95</v>
      </c>
      <c r="C17" s="18">
        <v>4</v>
      </c>
      <c r="D17" s="18">
        <v>1</v>
      </c>
      <c r="E17" s="18">
        <v>6</v>
      </c>
      <c r="F17" s="18">
        <v>12</v>
      </c>
      <c r="G17" s="18">
        <v>24</v>
      </c>
      <c r="H17" s="18">
        <v>1.7</v>
      </c>
      <c r="I17" s="18">
        <v>1.8125</v>
      </c>
      <c r="J17" s="18">
        <v>2.8</v>
      </c>
      <c r="K17" s="18">
        <v>0.75</v>
      </c>
      <c r="L17" s="18">
        <v>0.7</v>
      </c>
      <c r="M17" s="8">
        <f>LOOKUP($A17,tech_full!$A$3:$A$38,tech_full!$T$3:$T$38)</f>
        <v>4.5</v>
      </c>
      <c r="N17" s="1">
        <f>LOOKUP($A17,tech_full!$A$3:$A$38,tech_full!$U$3:$U$38)</f>
        <v>8068</v>
      </c>
      <c r="O17" s="1">
        <f>LOOKUP($A17,tech_full!$A$3:$A$38,tech_full!$V$3:$V$38)</f>
        <v>25</v>
      </c>
      <c r="P17" s="1">
        <f>LOOKUP($A17,tech_full!$A$3:$A$38,tech_full!$S$3:$S$38)*1000</f>
        <v>454000</v>
      </c>
      <c r="Q17" s="1">
        <f>P17*(WACC!$B$2*(1+WACC!$B$2)^$O17)/((1+WACC!$B$2)^$O17-1)</f>
        <v>32212.415613850248</v>
      </c>
      <c r="S17" s="7"/>
    </row>
    <row r="18" spans="1:19" x14ac:dyDescent="0.25">
      <c r="A18">
        <v>42</v>
      </c>
      <c r="B18" t="s">
        <v>96</v>
      </c>
      <c r="C18" s="18">
        <v>1</v>
      </c>
      <c r="D18" s="18">
        <v>1</v>
      </c>
      <c r="E18" s="18">
        <v>6</v>
      </c>
      <c r="F18" s="18">
        <v>12</v>
      </c>
      <c r="G18" s="18">
        <v>24</v>
      </c>
      <c r="H18" s="18">
        <v>1.45</v>
      </c>
      <c r="I18" s="18">
        <v>1.55</v>
      </c>
      <c r="J18" s="18">
        <v>2.6</v>
      </c>
      <c r="K18" s="18">
        <v>0.5</v>
      </c>
      <c r="L18" s="18">
        <v>0.7</v>
      </c>
      <c r="M18" s="8">
        <f>LOOKUP($A18,tech_full!$A$3:$A$38,tech_full!$T$3:$T$38)</f>
        <v>4.4000000000000004</v>
      </c>
      <c r="N18" s="1">
        <f>LOOKUP($A18,tech_full!$A$3:$A$38,tech_full!$U$3:$U$38)</f>
        <v>19500</v>
      </c>
      <c r="O18" s="1">
        <f>LOOKUP($A18,tech_full!$A$3:$A$38,tech_full!$V$3:$V$38)</f>
        <v>25</v>
      </c>
      <c r="P18" s="1">
        <f>LOOKUP($A18,tech_full!$A$3:$A$38,tech_full!$S$3:$S$38)*1000</f>
        <v>590000</v>
      </c>
      <c r="Q18" s="1">
        <f>P18*(WACC!$B$2*(1+WACC!$B$2)^$O18)/((1+WACC!$B$2)^$O18-1)</f>
        <v>41861.949806545475</v>
      </c>
      <c r="S18" s="7"/>
    </row>
    <row r="19" spans="1:19" x14ac:dyDescent="0.25">
      <c r="A19">
        <v>42.5</v>
      </c>
      <c r="B19" t="s">
        <v>97</v>
      </c>
      <c r="C19" s="18">
        <v>2</v>
      </c>
      <c r="D19" s="18">
        <v>1</v>
      </c>
      <c r="E19" s="18">
        <v>6</v>
      </c>
      <c r="F19" s="18">
        <v>12</v>
      </c>
      <c r="G19" s="18">
        <v>24</v>
      </c>
      <c r="H19" s="18">
        <v>1.45</v>
      </c>
      <c r="I19" s="18">
        <v>1.55</v>
      </c>
      <c r="J19" s="18">
        <v>2.6</v>
      </c>
      <c r="K19" s="18">
        <v>0.5</v>
      </c>
      <c r="L19" s="18">
        <v>0.65</v>
      </c>
      <c r="M19" s="8">
        <f>LOOKUP($A19,tech_full!$A$3:$A$38,tech_full!$T$3:$T$38)</f>
        <v>4.4000000000000004</v>
      </c>
      <c r="N19" s="1">
        <f>LOOKUP($A19,tech_full!$A$3:$A$38,tech_full!$U$3:$U$38)</f>
        <v>19500</v>
      </c>
      <c r="O19" s="1">
        <f>LOOKUP($A19,tech_full!$A$3:$A$38,tech_full!$V$3:$V$38)</f>
        <v>25</v>
      </c>
      <c r="P19" s="1">
        <f>LOOKUP($A19,tech_full!$A$3:$A$38,tech_full!$S$3:$S$38)*1000</f>
        <v>590000</v>
      </c>
      <c r="Q19" s="1">
        <f>P19*(WACC!$B$2*(1+WACC!$B$2)^$O19)/((1+WACC!$B$2)^$O19-1)</f>
        <v>41861.949806545475</v>
      </c>
      <c r="S19" s="7"/>
    </row>
    <row r="20" spans="1:19" x14ac:dyDescent="0.25">
      <c r="A20">
        <v>43</v>
      </c>
      <c r="B20" t="s">
        <v>98</v>
      </c>
      <c r="C20" s="18">
        <v>4</v>
      </c>
      <c r="D20" s="18">
        <v>1</v>
      </c>
      <c r="E20" s="18">
        <v>6</v>
      </c>
      <c r="F20" s="18">
        <v>12</v>
      </c>
      <c r="G20" s="18">
        <v>24</v>
      </c>
      <c r="H20" s="18">
        <v>1.7</v>
      </c>
      <c r="I20" s="18">
        <v>1.8125</v>
      </c>
      <c r="J20" s="18">
        <v>2.8</v>
      </c>
      <c r="K20" s="18">
        <v>0.75</v>
      </c>
      <c r="L20" s="18">
        <v>0.352112676056338</v>
      </c>
      <c r="M20" s="8">
        <f>LOOKUP($A20,tech_full!$A$3:$A$38,tech_full!$T$3:$T$38)</f>
        <v>4</v>
      </c>
      <c r="N20" s="1">
        <f>LOOKUP($A20,tech_full!$A$3:$A$38,tech_full!$U$3:$U$38)</f>
        <v>20000</v>
      </c>
      <c r="O20" s="1">
        <f>LOOKUP($A20,tech_full!$A$3:$A$38,tech_full!$V$3:$V$38)</f>
        <v>30</v>
      </c>
      <c r="P20" s="1">
        <f>LOOKUP($A20,tech_full!$A$3:$A$38,tech_full!$S$3:$S$38)*1000</f>
        <v>800000</v>
      </c>
      <c r="Q20" s="1">
        <f>P20*(WACC!$B$2*(1+WACC!$B$2)^$O20)/((1+WACC!$B$2)^$O20-1)</f>
        <v>52041.14806422127</v>
      </c>
      <c r="S20" s="7"/>
    </row>
    <row r="21" spans="1:19" x14ac:dyDescent="0.25">
      <c r="A21">
        <v>43.5</v>
      </c>
      <c r="B21" t="s">
        <v>99</v>
      </c>
      <c r="C21" s="18">
        <v>4</v>
      </c>
      <c r="D21" s="18">
        <v>1</v>
      </c>
      <c r="E21" s="18">
        <v>6</v>
      </c>
      <c r="F21" s="18">
        <v>12</v>
      </c>
      <c r="G21" s="18">
        <v>24</v>
      </c>
      <c r="H21" s="18">
        <v>1.7</v>
      </c>
      <c r="I21" s="18">
        <v>1.8125</v>
      </c>
      <c r="J21" s="18">
        <v>2.8</v>
      </c>
      <c r="K21" s="18">
        <v>0.75</v>
      </c>
      <c r="L21" s="18">
        <v>0.375</v>
      </c>
      <c r="M21" s="8">
        <f>LOOKUP($A21,tech_full!$A$3:$A$38,tech_full!$T$3:$T$38)</f>
        <v>4</v>
      </c>
      <c r="N21" s="1">
        <f>LOOKUP($A21,tech_full!$A$3:$A$38,tech_full!$U$3:$U$38)</f>
        <v>20000</v>
      </c>
      <c r="O21" s="1">
        <f>LOOKUP($A21,tech_full!$A$3:$A$38,tech_full!$V$3:$V$38)</f>
        <v>30</v>
      </c>
      <c r="P21" s="1">
        <f>LOOKUP($A21,tech_full!$A$3:$A$38,tech_full!$S$3:$S$38)*1000</f>
        <v>842000</v>
      </c>
      <c r="Q21" s="1">
        <f>P21*(WACC!$B$2*(1+WACC!$B$2)^$O21)/((1+WACC!$B$2)^$O21-1)</f>
        <v>54773.308337592884</v>
      </c>
      <c r="S21" s="7"/>
    </row>
    <row r="22" spans="1:19" x14ac:dyDescent="0.25">
      <c r="A22">
        <v>44</v>
      </c>
      <c r="B22" t="s">
        <v>100</v>
      </c>
      <c r="C22" s="18">
        <v>2</v>
      </c>
      <c r="D22" s="18">
        <v>1</v>
      </c>
      <c r="E22" s="18">
        <v>6</v>
      </c>
      <c r="F22" s="18">
        <v>12</v>
      </c>
      <c r="G22" s="18">
        <v>24</v>
      </c>
      <c r="H22" s="18">
        <v>1.55</v>
      </c>
      <c r="I22" s="18">
        <v>1.65</v>
      </c>
      <c r="J22" s="18">
        <v>2.5</v>
      </c>
      <c r="K22" s="18">
        <v>0.5</v>
      </c>
      <c r="L22" s="18">
        <v>0.49872122762148335</v>
      </c>
      <c r="M22" s="8">
        <f>LOOKUP($A22,tech_full!$A$3:$A$38,tech_full!$T$3:$T$38)</f>
        <v>4.4000000000000004</v>
      </c>
      <c r="N22" s="1">
        <f>LOOKUP($A22,tech_full!$A$3:$A$38,tech_full!$U$3:$U$38)</f>
        <v>27835</v>
      </c>
      <c r="O22" s="1">
        <f>LOOKUP($A22,tech_full!$A$3:$A$38,tech_full!$V$3:$V$38)</f>
        <v>25</v>
      </c>
      <c r="P22" s="1">
        <f>LOOKUP($A22,tech_full!$A$3:$A$38,tech_full!$S$3:$S$38)*1000</f>
        <v>836000</v>
      </c>
      <c r="Q22" s="1">
        <f>P22*(WACC!$B$2*(1+WACC!$B$2)^$O22)/((1+WACC!$B$2)^$O22-1)</f>
        <v>59316.254302155969</v>
      </c>
      <c r="S22" s="7"/>
    </row>
    <row r="23" spans="1:19" x14ac:dyDescent="0.25">
      <c r="A23">
        <v>44.5</v>
      </c>
      <c r="B23" t="s">
        <v>101</v>
      </c>
      <c r="C23" s="18">
        <v>2</v>
      </c>
      <c r="D23" s="18">
        <v>1</v>
      </c>
      <c r="E23" s="18">
        <v>6</v>
      </c>
      <c r="F23" s="18">
        <v>12</v>
      </c>
      <c r="G23" s="18">
        <v>24</v>
      </c>
      <c r="H23" s="18">
        <v>1.55</v>
      </c>
      <c r="I23" s="18">
        <v>1.65</v>
      </c>
      <c r="J23" s="18">
        <v>2.5</v>
      </c>
      <c r="K23" s="18">
        <v>0.5</v>
      </c>
      <c r="L23" s="18">
        <v>0.38</v>
      </c>
      <c r="M23" s="8">
        <f>LOOKUP($A23,tech_full!$A$3:$A$38,tech_full!$T$3:$T$38)</f>
        <v>4.4000000000000004</v>
      </c>
      <c r="N23" s="1">
        <f>LOOKUP($A23,tech_full!$A$3:$A$38,tech_full!$U$3:$U$38)</f>
        <v>29300</v>
      </c>
      <c r="O23" s="1">
        <f>LOOKUP($A23,tech_full!$A$3:$A$38,tech_full!$V$3:$V$38)</f>
        <v>25</v>
      </c>
      <c r="P23" s="1">
        <f>LOOKUP($A23,tech_full!$A$3:$A$38,tech_full!$S$3:$S$38)*1000</f>
        <v>880000</v>
      </c>
      <c r="Q23" s="1">
        <f>P23*(WACC!$B$2*(1+WACC!$B$2)^$O23)/((1+WACC!$B$2)^$O23-1)</f>
        <v>62438.162423322065</v>
      </c>
      <c r="S23" s="7"/>
    </row>
    <row r="24" spans="1:19" x14ac:dyDescent="0.25">
      <c r="A24">
        <v>45</v>
      </c>
      <c r="B24" t="s">
        <v>102</v>
      </c>
      <c r="C24" s="18">
        <v>1</v>
      </c>
      <c r="D24" s="18">
        <v>1</v>
      </c>
      <c r="E24" s="18">
        <v>6</v>
      </c>
      <c r="F24" s="18">
        <v>12</v>
      </c>
      <c r="G24" s="18">
        <v>24</v>
      </c>
      <c r="H24" s="18">
        <v>1.55</v>
      </c>
      <c r="I24" s="18">
        <v>1.65</v>
      </c>
      <c r="J24" s="18">
        <v>2.5</v>
      </c>
      <c r="K24" s="18">
        <v>0.5</v>
      </c>
      <c r="L24" s="18">
        <v>0.25</v>
      </c>
      <c r="M24" s="8">
        <f>LOOKUP($A24,tech_full!$A$3:$A$38,tech_full!$T$3:$T$38)</f>
        <v>5.4</v>
      </c>
      <c r="N24" s="1">
        <f>LOOKUP($A24,tech_full!$A$3:$A$38,tech_full!$U$3:$U$38)</f>
        <v>9262.5</v>
      </c>
      <c r="O24" s="1">
        <f>LOOKUP($A24,tech_full!$A$3:$A$38,tech_full!$V$3:$V$38)</f>
        <v>25</v>
      </c>
      <c r="P24" s="1">
        <f>LOOKUP($A24,tech_full!$A$3:$A$38,tech_full!$S$3:$S$38)*1000</f>
        <v>902500</v>
      </c>
      <c r="Q24" s="1">
        <f>P24*(WACC!$B$2*(1+WACC!$B$2)^$O24)/((1+WACC!$B$2)^$O24-1)</f>
        <v>64034.592712554731</v>
      </c>
      <c r="S24" s="7"/>
    </row>
    <row r="25" spans="1:19" x14ac:dyDescent="0.25">
      <c r="A25">
        <v>45.5</v>
      </c>
      <c r="B25" t="s">
        <v>103</v>
      </c>
      <c r="C25" s="18">
        <v>1</v>
      </c>
      <c r="D25" s="18">
        <v>1</v>
      </c>
      <c r="E25" s="18">
        <v>6</v>
      </c>
      <c r="F25" s="18">
        <v>12</v>
      </c>
      <c r="G25" s="18">
        <v>24</v>
      </c>
      <c r="H25" s="18">
        <v>1.55</v>
      </c>
      <c r="I25" s="18">
        <v>1.65</v>
      </c>
      <c r="J25" s="18">
        <v>2.5</v>
      </c>
      <c r="K25" s="18">
        <v>0.5</v>
      </c>
      <c r="L25" s="18">
        <v>0.25</v>
      </c>
      <c r="M25" s="8">
        <f>LOOKUP($A25,tech_full!$A$3:$A$38,tech_full!$T$3:$T$38)</f>
        <v>5.4</v>
      </c>
      <c r="N25" s="1">
        <f>LOOKUP($A25,tech_full!$A$3:$A$38,tech_full!$U$3:$U$38)</f>
        <v>9750</v>
      </c>
      <c r="O25" s="1">
        <f>LOOKUP($A25,tech_full!$A$3:$A$38,tech_full!$V$3:$V$38)</f>
        <v>25</v>
      </c>
      <c r="P25" s="1">
        <f>LOOKUP($A25,tech_full!$A$3:$A$38,tech_full!$S$3:$S$38)*1000</f>
        <v>950000</v>
      </c>
      <c r="Q25" s="1">
        <f>P25*(WACC!$B$2*(1+WACC!$B$2)^$O25)/((1+WACC!$B$2)^$O25-1)</f>
        <v>67404.834434268138</v>
      </c>
      <c r="S25" s="7"/>
    </row>
    <row r="26" spans="1:19" x14ac:dyDescent="0.25">
      <c r="A26">
        <v>49.5</v>
      </c>
      <c r="B26" t="s">
        <v>104</v>
      </c>
      <c r="C26" s="18">
        <v>0</v>
      </c>
      <c r="D26" s="18">
        <v>1</v>
      </c>
      <c r="E26" s="18">
        <v>1</v>
      </c>
      <c r="F26" s="18">
        <v>2</v>
      </c>
      <c r="G26" s="18">
        <v>4</v>
      </c>
      <c r="H26" s="18">
        <v>1</v>
      </c>
      <c r="I26" s="18">
        <v>1.1000000000000001</v>
      </c>
      <c r="J26" s="18">
        <v>1.2</v>
      </c>
      <c r="K26" s="18">
        <v>1</v>
      </c>
      <c r="L26" s="18">
        <v>0.99</v>
      </c>
      <c r="M26" s="8">
        <f>LOOKUP($A26,tech_full!$A$3:$A$38,tech_full!$T$3:$T$38)</f>
        <v>1</v>
      </c>
      <c r="N26" s="1">
        <f>LOOKUP($A26,tech_full!$A$3:$A$38,tech_full!$U$3:$U$38)</f>
        <v>1950</v>
      </c>
      <c r="O26" s="1">
        <f>LOOKUP($A26,tech_full!$A$3:$A$38,tech_full!$V$3:$V$38)</f>
        <v>25</v>
      </c>
      <c r="P26" s="1">
        <f>LOOKUP($A26,tech_full!$A$3:$A$38,tech_full!$S$3:$S$38)*1000</f>
        <v>60000</v>
      </c>
      <c r="Q26" s="1">
        <f>P26*(WACC!$B$2*(1+WACC!$B$2)^$O26)/((1+WACC!$B$2)^$O26-1)</f>
        <v>4257.1474379537767</v>
      </c>
      <c r="S26" s="7"/>
    </row>
    <row r="27" spans="1:19" x14ac:dyDescent="0.25">
      <c r="A27">
        <v>50</v>
      </c>
      <c r="B27" t="s">
        <v>105</v>
      </c>
      <c r="C27" s="18">
        <v>4</v>
      </c>
      <c r="D27" s="18">
        <v>1</v>
      </c>
      <c r="E27" s="18">
        <v>8</v>
      </c>
      <c r="F27" s="18">
        <v>12</v>
      </c>
      <c r="G27" s="18">
        <v>24</v>
      </c>
      <c r="H27" s="18">
        <v>1.65</v>
      </c>
      <c r="I27" s="18">
        <v>1.8</v>
      </c>
      <c r="J27" s="18">
        <v>2.625</v>
      </c>
      <c r="K27" s="18">
        <v>0.625</v>
      </c>
      <c r="L27" s="18">
        <v>0.5</v>
      </c>
      <c r="M27" s="8">
        <f>LOOKUP($A27,tech_full!$A$3:$A$38,tech_full!$T$3:$T$38)</f>
        <v>3</v>
      </c>
      <c r="N27" s="1">
        <f>LOOKUP($A27,tech_full!$A$3:$A$38,tech_full!$U$3:$U$38)</f>
        <v>6000</v>
      </c>
      <c r="O27" s="1">
        <f>LOOKUP($A27,tech_full!$A$3:$A$38,tech_full!$V$3:$V$38)</f>
        <v>30</v>
      </c>
      <c r="P27" s="1">
        <f>LOOKUP($A27,tech_full!$A$3:$A$38,tech_full!$S$3:$S$38)*1000</f>
        <v>400000</v>
      </c>
      <c r="Q27" s="1">
        <f>P27*(WACC!$B$2*(1+WACC!$B$2)^$O27)/((1+WACC!$B$2)^$O27-1)</f>
        <v>26020.574032110635</v>
      </c>
      <c r="S27" s="7"/>
    </row>
    <row r="28" spans="1:19" x14ac:dyDescent="0.25">
      <c r="A28">
        <v>50.5</v>
      </c>
      <c r="B28" t="s">
        <v>106</v>
      </c>
      <c r="C28" s="18">
        <v>4</v>
      </c>
      <c r="D28" s="18">
        <v>1</v>
      </c>
      <c r="E28" s="18">
        <v>8</v>
      </c>
      <c r="F28" s="18">
        <v>12</v>
      </c>
      <c r="G28" s="18">
        <v>24</v>
      </c>
      <c r="H28" s="18">
        <v>1.65</v>
      </c>
      <c r="I28" s="18">
        <v>1.8</v>
      </c>
      <c r="J28" s="18">
        <v>2.625</v>
      </c>
      <c r="K28" s="18">
        <v>0.625</v>
      </c>
      <c r="L28" s="18">
        <v>0.5</v>
      </c>
      <c r="M28" s="8">
        <f>LOOKUP($A28,tech_full!$A$3:$A$38,tech_full!$T$3:$T$38)</f>
        <v>3</v>
      </c>
      <c r="N28" s="1">
        <f>LOOKUP($A28,tech_full!$A$3:$A$38,tech_full!$U$3:$U$38)</f>
        <v>6000</v>
      </c>
      <c r="O28" s="1">
        <f>LOOKUP($A28,tech_full!$A$3:$A$38,tech_full!$V$3:$V$38)</f>
        <v>30</v>
      </c>
      <c r="P28" s="1">
        <f>LOOKUP($A28,tech_full!$A$3:$A$38,tech_full!$S$3:$S$38)*1000</f>
        <v>400000</v>
      </c>
      <c r="Q28" s="1">
        <f>P28*(WACC!$B$2*(1+WACC!$B$2)^$O28)/((1+WACC!$B$2)^$O28-1)</f>
        <v>26020.574032110635</v>
      </c>
      <c r="S28" s="7"/>
    </row>
    <row r="29" spans="1:19" x14ac:dyDescent="0.25">
      <c r="A29">
        <v>51</v>
      </c>
      <c r="B29" t="s">
        <v>107</v>
      </c>
      <c r="C29" s="18">
        <v>4</v>
      </c>
      <c r="D29" s="18">
        <v>1</v>
      </c>
      <c r="E29" s="18">
        <v>6</v>
      </c>
      <c r="F29" s="18">
        <v>12</v>
      </c>
      <c r="G29" s="18">
        <v>24</v>
      </c>
      <c r="H29" s="18">
        <v>1.65</v>
      </c>
      <c r="I29" s="18">
        <v>1.8</v>
      </c>
      <c r="J29" s="18">
        <v>2.625</v>
      </c>
      <c r="K29" s="18">
        <v>0.625</v>
      </c>
      <c r="L29" s="18">
        <v>0.77500000000000002</v>
      </c>
      <c r="M29" s="8">
        <f>LOOKUP($A29,tech_full!$A$3:$A$38,tech_full!$T$3:$T$38)</f>
        <v>4.5</v>
      </c>
      <c r="N29" s="1">
        <f>LOOKUP($A29,tech_full!$A$3:$A$38,tech_full!$U$3:$U$38)</f>
        <v>8068</v>
      </c>
      <c r="O29" s="1">
        <f>LOOKUP($A29,tech_full!$A$3:$A$38,tech_full!$V$3:$V$38)</f>
        <v>25</v>
      </c>
      <c r="P29" s="1">
        <f>LOOKUP($A29,tech_full!$A$3:$A$38,tech_full!$S$3:$S$38)*1000</f>
        <v>378000</v>
      </c>
      <c r="Q29" s="1">
        <f>P29*(WACC!$B$2*(1+WACC!$B$2)^$O29)/((1+WACC!$B$2)^$O29-1)</f>
        <v>26820.028859108796</v>
      </c>
      <c r="S29" s="7"/>
    </row>
    <row r="30" spans="1:19" x14ac:dyDescent="0.25">
      <c r="A30">
        <v>51.5</v>
      </c>
      <c r="B30" t="s">
        <v>108</v>
      </c>
      <c r="C30" s="18">
        <v>4</v>
      </c>
      <c r="D30" s="18">
        <v>1</v>
      </c>
      <c r="E30" s="18">
        <v>6</v>
      </c>
      <c r="F30" s="18">
        <v>12</v>
      </c>
      <c r="G30" s="18">
        <v>24</v>
      </c>
      <c r="H30" s="18">
        <v>1.65</v>
      </c>
      <c r="I30" s="18">
        <v>1.8</v>
      </c>
      <c r="J30" s="18">
        <v>2.625</v>
      </c>
      <c r="K30" s="18">
        <v>0.625</v>
      </c>
      <c r="L30" s="18">
        <v>0.67500000000000004</v>
      </c>
      <c r="M30" s="8">
        <f>LOOKUP($A30,tech_full!$A$3:$A$38,tech_full!$T$3:$T$38)</f>
        <v>4.5</v>
      </c>
      <c r="N30" s="1">
        <f>LOOKUP($A30,tech_full!$A$3:$A$38,tech_full!$U$3:$U$38)</f>
        <v>8068</v>
      </c>
      <c r="O30" s="1">
        <f>LOOKUP($A30,tech_full!$A$3:$A$38,tech_full!$V$3:$V$38)</f>
        <v>25</v>
      </c>
      <c r="P30" s="1">
        <f>LOOKUP($A30,tech_full!$A$3:$A$38,tech_full!$S$3:$S$38)*1000</f>
        <v>378000</v>
      </c>
      <c r="Q30" s="1">
        <f>P30*(WACC!$B$2*(1+WACC!$B$2)^$O30)/((1+WACC!$B$2)^$O30-1)</f>
        <v>26820.028859108796</v>
      </c>
      <c r="S30" s="7"/>
    </row>
    <row r="31" spans="1:19" x14ac:dyDescent="0.25">
      <c r="A31">
        <v>52</v>
      </c>
      <c r="B31" t="s">
        <v>109</v>
      </c>
      <c r="C31" s="18">
        <v>4</v>
      </c>
      <c r="D31" s="18">
        <v>1</v>
      </c>
      <c r="E31" s="18">
        <v>6</v>
      </c>
      <c r="F31" s="18">
        <v>12</v>
      </c>
      <c r="G31" s="18">
        <v>24</v>
      </c>
      <c r="H31" s="18">
        <v>1.65</v>
      </c>
      <c r="I31" s="18">
        <v>1.8</v>
      </c>
      <c r="J31" s="18">
        <v>2.625</v>
      </c>
      <c r="K31" s="18">
        <v>0.625</v>
      </c>
      <c r="L31" s="18">
        <v>0.45454545454545453</v>
      </c>
      <c r="M31" s="8">
        <f>LOOKUP($A31,tech_full!$A$3:$A$38,tech_full!$T$3:$T$38)</f>
        <v>4</v>
      </c>
      <c r="N31" s="1">
        <f>LOOKUP($A31,tech_full!$A$3:$A$38,tech_full!$U$3:$U$38)</f>
        <v>25000</v>
      </c>
      <c r="O31" s="1">
        <f>LOOKUP($A31,tech_full!$A$3:$A$38,tech_full!$V$3:$V$38)</f>
        <v>25</v>
      </c>
      <c r="P31" s="1">
        <f>LOOKUP($A31,tech_full!$A$3:$A$38,tech_full!$S$3:$S$38)*1000</f>
        <v>800000</v>
      </c>
      <c r="Q31" s="1">
        <f>P31*(WACC!$B$2*(1+WACC!$B$2)^$O31)/((1+WACC!$B$2)^$O31-1)</f>
        <v>56761.965839383694</v>
      </c>
      <c r="S31" s="7"/>
    </row>
    <row r="32" spans="1:19" x14ac:dyDescent="0.25">
      <c r="A32">
        <v>52.5</v>
      </c>
      <c r="B32" t="s">
        <v>110</v>
      </c>
      <c r="C32" s="18">
        <v>4</v>
      </c>
      <c r="D32" s="18">
        <v>1</v>
      </c>
      <c r="E32" s="18">
        <v>6</v>
      </c>
      <c r="F32" s="18">
        <v>12</v>
      </c>
      <c r="G32" s="18">
        <v>24</v>
      </c>
      <c r="H32" s="18">
        <v>1.65</v>
      </c>
      <c r="I32" s="18">
        <v>1.8</v>
      </c>
      <c r="J32" s="18">
        <v>2.625</v>
      </c>
      <c r="K32" s="18">
        <v>0.625</v>
      </c>
      <c r="L32" s="18">
        <v>0.45454545454545453</v>
      </c>
      <c r="M32" s="8">
        <f>LOOKUP($A32,tech_full!$A$3:$A$38,tech_full!$T$3:$T$38)</f>
        <v>4</v>
      </c>
      <c r="N32" s="1">
        <f>LOOKUP($A32,tech_full!$A$3:$A$38,tech_full!$U$3:$U$38)</f>
        <v>25000</v>
      </c>
      <c r="O32" s="1">
        <f>LOOKUP($A32,tech_full!$A$3:$A$38,tech_full!$V$3:$V$38)</f>
        <v>25</v>
      </c>
      <c r="P32" s="1">
        <f>LOOKUP($A32,tech_full!$A$3:$A$38,tech_full!$S$3:$S$38)*1000</f>
        <v>842000</v>
      </c>
      <c r="Q32" s="1">
        <f>P32*(WACC!$B$2*(1+WACC!$B$2)^$O32)/((1+WACC!$B$2)^$O32-1)</f>
        <v>59741.969045951344</v>
      </c>
      <c r="S32" s="7"/>
    </row>
    <row r="33" spans="1:19" x14ac:dyDescent="0.25">
      <c r="A33">
        <v>60</v>
      </c>
      <c r="B33" t="s">
        <v>111</v>
      </c>
      <c r="C33" s="18">
        <v>1</v>
      </c>
      <c r="D33" s="18">
        <v>1</v>
      </c>
      <c r="E33" s="18">
        <v>1</v>
      </c>
      <c r="F33" s="18">
        <v>1</v>
      </c>
      <c r="G33" s="18">
        <v>1</v>
      </c>
      <c r="H33" s="18">
        <v>0.5</v>
      </c>
      <c r="I33" s="18">
        <v>0.5</v>
      </c>
      <c r="J33" s="18">
        <v>0.5</v>
      </c>
      <c r="K33" s="18">
        <v>0.1</v>
      </c>
      <c r="L33" s="18">
        <v>0</v>
      </c>
      <c r="M33" s="8">
        <f>LOOKUP($A33,tech_full!$A$3:$A$38,tech_full!$T$3:$T$38)</f>
        <v>0</v>
      </c>
      <c r="N33" s="1">
        <f>LOOKUP($A33,tech_full!$A$3:$A$38,tech_full!$U$3:$U$38)</f>
        <v>60000</v>
      </c>
      <c r="O33" s="1">
        <f>LOOKUP($A33,tech_full!$A$3:$A$38,tech_full!$V$3:$V$38)</f>
        <v>60</v>
      </c>
      <c r="P33" s="1">
        <f>LOOKUP($A33,tech_full!$A$3:$A$38,tech_full!$S$3:$S$38)*1000</f>
        <v>3000000</v>
      </c>
      <c r="Q33" s="1">
        <f>P33*(WACC!$B$2*(1+WACC!$B$2)^$O33)/((1+WACC!$B$2)^$O33-1)</f>
        <v>158484.55358172712</v>
      </c>
      <c r="S33" s="7"/>
    </row>
    <row r="34" spans="1:19" x14ac:dyDescent="0.25">
      <c r="A34">
        <v>61</v>
      </c>
      <c r="B34" t="s">
        <v>112</v>
      </c>
      <c r="C34" s="18">
        <v>1</v>
      </c>
      <c r="D34" s="18">
        <v>1</v>
      </c>
      <c r="E34" s="18">
        <v>1</v>
      </c>
      <c r="F34" s="18">
        <v>1</v>
      </c>
      <c r="G34" s="18">
        <v>1</v>
      </c>
      <c r="H34" s="18">
        <v>0.5</v>
      </c>
      <c r="I34" s="18">
        <v>0.5</v>
      </c>
      <c r="J34" s="18">
        <v>0.5</v>
      </c>
      <c r="K34" s="18">
        <v>0.1</v>
      </c>
      <c r="L34" s="18">
        <v>0</v>
      </c>
      <c r="M34" s="8">
        <f>LOOKUP($A34,tech_full!$A$3:$A$38,tech_full!$T$3:$T$38)</f>
        <v>0</v>
      </c>
      <c r="N34" s="1">
        <f>LOOKUP($A34,tech_full!$A$3:$A$38,tech_full!$U$3:$U$38)</f>
        <v>20000</v>
      </c>
      <c r="O34" s="1">
        <f>LOOKUP($A34,tech_full!$A$3:$A$38,tech_full!$V$3:$V$38)</f>
        <v>60</v>
      </c>
      <c r="P34" s="1">
        <f>LOOKUP($A34,tech_full!$A$3:$A$38,tech_full!$S$3:$S$38)*1000</f>
        <v>2000000</v>
      </c>
      <c r="Q34" s="1">
        <f>P34*(WACC!$B$2*(1+WACC!$B$2)^$O34)/((1+WACC!$B$2)^$O34-1)</f>
        <v>105656.36905448473</v>
      </c>
      <c r="S34" s="7"/>
    </row>
    <row r="35" spans="1:19" x14ac:dyDescent="0.25">
      <c r="A35">
        <v>62</v>
      </c>
      <c r="B35" t="s">
        <v>113</v>
      </c>
      <c r="C35" s="18">
        <v>1</v>
      </c>
      <c r="D35" s="18">
        <v>1</v>
      </c>
      <c r="E35" s="18">
        <v>1</v>
      </c>
      <c r="F35" s="18">
        <v>1</v>
      </c>
      <c r="G35" s="18">
        <v>1</v>
      </c>
      <c r="H35" s="18">
        <v>0.5</v>
      </c>
      <c r="I35" s="18">
        <v>0.5</v>
      </c>
      <c r="J35" s="18">
        <v>0.5</v>
      </c>
      <c r="K35" s="18">
        <v>0.1</v>
      </c>
      <c r="L35" s="18">
        <v>0</v>
      </c>
      <c r="M35" s="8">
        <f>LOOKUP($A35,tech_full!$A$3:$A$38,tech_full!$T$3:$T$38)</f>
        <v>0</v>
      </c>
      <c r="N35" s="1">
        <f>LOOKUP($A35,tech_full!$A$3:$A$38,tech_full!$U$3:$U$38)</f>
        <v>20000</v>
      </c>
      <c r="O35" s="1">
        <f>LOOKUP($A35,tech_full!$A$3:$A$38,tech_full!$V$3:$V$38)</f>
        <v>60</v>
      </c>
      <c r="P35" s="1">
        <f>LOOKUP($A35,tech_full!$A$3:$A$38,tech_full!$S$3:$S$38)*1000</f>
        <v>2000000</v>
      </c>
      <c r="Q35" s="1">
        <f>P35*(WACC!$B$2*(1+WACC!$B$2)^$O35)/((1+WACC!$B$2)^$O35-1)</f>
        <v>105656.36905448473</v>
      </c>
      <c r="S35" s="7"/>
    </row>
    <row r="36" spans="1:19" x14ac:dyDescent="0.25">
      <c r="A36">
        <v>70</v>
      </c>
      <c r="B36" t="s">
        <v>114</v>
      </c>
      <c r="C36" s="18">
        <v>4</v>
      </c>
      <c r="D36" s="18">
        <v>1</v>
      </c>
      <c r="E36" s="18">
        <v>10</v>
      </c>
      <c r="F36" s="18">
        <v>18</v>
      </c>
      <c r="G36" s="18">
        <v>30</v>
      </c>
      <c r="H36" s="18">
        <v>1.7</v>
      </c>
      <c r="I36" s="18">
        <v>1.8125</v>
      </c>
      <c r="J36" s="18">
        <v>2.8</v>
      </c>
      <c r="K36" s="18">
        <v>0.75</v>
      </c>
      <c r="L36" s="18">
        <v>0.5</v>
      </c>
      <c r="M36" s="8">
        <f>LOOKUP($A36,tech_full!$A$3:$A$38,tech_full!$T$3:$T$38)</f>
        <v>3.8</v>
      </c>
      <c r="N36" s="1">
        <f>LOOKUP($A36,tech_full!$A$3:$A$38,tech_full!$U$3:$U$38)</f>
        <v>92720</v>
      </c>
      <c r="O36" s="1">
        <f>LOOKUP($A36,tech_full!$A$3:$A$38,tech_full!$V$3:$V$38)</f>
        <v>25</v>
      </c>
      <c r="P36" s="1">
        <f>LOOKUP($A36,tech_full!$A$3:$A$38,tech_full!$S$3:$S$38)*1000</f>
        <v>3230000</v>
      </c>
      <c r="Q36" s="1">
        <f>P36*(WACC!$B$2*(1+WACC!$B$2)^$O36)/((1+WACC!$B$2)^$O36-1)</f>
        <v>229176.43707651168</v>
      </c>
      <c r="S36" s="7"/>
    </row>
    <row r="37" spans="1:19" x14ac:dyDescent="0.25">
      <c r="A37">
        <v>70.5</v>
      </c>
      <c r="B37" t="s">
        <v>115</v>
      </c>
      <c r="C37" s="18">
        <v>4</v>
      </c>
      <c r="D37" s="18">
        <v>1</v>
      </c>
      <c r="E37" s="18">
        <v>10</v>
      </c>
      <c r="F37" s="18">
        <v>18</v>
      </c>
      <c r="G37" s="18">
        <v>30</v>
      </c>
      <c r="H37" s="18">
        <v>1.7</v>
      </c>
      <c r="I37" s="18">
        <v>1.8125</v>
      </c>
      <c r="J37" s="18">
        <v>2.8</v>
      </c>
      <c r="K37" s="18">
        <v>0.75</v>
      </c>
      <c r="L37" s="18">
        <v>0.5</v>
      </c>
      <c r="M37" s="8">
        <f>LOOKUP($A37,tech_full!$A$3:$A$38,tech_full!$T$3:$T$38)</f>
        <v>3.8</v>
      </c>
      <c r="N37" s="1">
        <f>LOOKUP($A37,tech_full!$A$3:$A$38,tech_full!$U$3:$U$38)</f>
        <v>97600</v>
      </c>
      <c r="O37" s="1">
        <f>LOOKUP($A37,tech_full!$A$3:$A$38,tech_full!$V$3:$V$38)</f>
        <v>25</v>
      </c>
      <c r="P37" s="1">
        <f>LOOKUP($A37,tech_full!$A$3:$A$38,tech_full!$S$3:$S$38)*1000</f>
        <v>3400000</v>
      </c>
      <c r="Q37" s="1">
        <f>P37*(WACC!$B$2*(1+WACC!$B$2)^$O37)/((1+WACC!$B$2)^$O37-1)</f>
        <v>241238.35481738072</v>
      </c>
      <c r="S37" s="7"/>
    </row>
    <row r="38" spans="1:19" x14ac:dyDescent="0.25">
      <c r="A38">
        <v>100</v>
      </c>
      <c r="B38" t="s">
        <v>116</v>
      </c>
      <c r="C38" s="18">
        <v>1</v>
      </c>
      <c r="D38" s="18">
        <v>1</v>
      </c>
      <c r="E38" s="18">
        <v>1</v>
      </c>
      <c r="F38" s="18">
        <v>2</v>
      </c>
      <c r="G38" s="18">
        <v>4</v>
      </c>
      <c r="H38" s="18">
        <v>1</v>
      </c>
      <c r="I38" s="18">
        <v>1.01</v>
      </c>
      <c r="J38" s="18">
        <v>1.02</v>
      </c>
      <c r="K38" s="18">
        <v>1</v>
      </c>
      <c r="L38" s="18">
        <v>1</v>
      </c>
      <c r="M38" s="8">
        <f>LOOKUP($A38,tech_full!$A$3:$A$38,tech_full!$T$3:$T$38)</f>
        <v>1.8</v>
      </c>
      <c r="N38" s="1">
        <f>LOOKUP($A38,tech_full!$A$3:$A$38,tech_full!$U$3:$U$38)</f>
        <v>2000</v>
      </c>
      <c r="O38" s="1">
        <f>LOOKUP($A38,tech_full!$A$3:$A$38,tech_full!$V$3:$V$38)</f>
        <v>25</v>
      </c>
      <c r="P38" s="1">
        <f>LOOKUP($A38,tech_full!$A$3:$A$38,tech_full!$S$3:$S$38)*1000</f>
        <v>660000</v>
      </c>
      <c r="Q38" s="1">
        <f>P38*(WACC!$B$2*(1+WACC!$B$2)^$O38)/((1+WACC!$B$2)^$O38-1)</f>
        <v>46828.621817491548</v>
      </c>
      <c r="S38" s="7"/>
    </row>
  </sheetData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09567-9A6C-4187-BA34-43941F9E27B4}">
  <dimension ref="A1:AG38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G9" sqref="G9"/>
    </sheetView>
  </sheetViews>
  <sheetFormatPr baseColWidth="10" defaultRowHeight="15" x14ac:dyDescent="0.25"/>
  <cols>
    <col min="2" max="2" width="38.85546875" bestFit="1" customWidth="1"/>
    <col min="3" max="3" width="15.42578125" bestFit="1" customWidth="1"/>
    <col min="19" max="24" width="11.42578125" customWidth="1"/>
  </cols>
  <sheetData>
    <row r="1" spans="1:33" ht="90" x14ac:dyDescent="0.25">
      <c r="A1" s="13" t="s">
        <v>18</v>
      </c>
      <c r="B1" s="14" t="s">
        <v>19</v>
      </c>
      <c r="C1" s="14" t="s">
        <v>65</v>
      </c>
      <c r="D1" s="14" t="s">
        <v>175</v>
      </c>
      <c r="E1" s="14" t="s">
        <v>176</v>
      </c>
      <c r="F1" s="14" t="s">
        <v>177</v>
      </c>
      <c r="G1" s="14" t="s">
        <v>178</v>
      </c>
      <c r="H1" s="14" t="s">
        <v>179</v>
      </c>
      <c r="I1" s="14" t="s">
        <v>180</v>
      </c>
      <c r="J1" s="14" t="s">
        <v>181</v>
      </c>
      <c r="K1" s="14" t="s">
        <v>182</v>
      </c>
      <c r="L1" s="14" t="s">
        <v>183</v>
      </c>
      <c r="M1" s="14" t="s">
        <v>184</v>
      </c>
      <c r="N1" s="14" t="s">
        <v>185</v>
      </c>
      <c r="O1" s="14" t="s">
        <v>186</v>
      </c>
      <c r="P1" s="14" t="s">
        <v>187</v>
      </c>
      <c r="Q1" s="14" t="s">
        <v>188</v>
      </c>
      <c r="R1" s="14" t="s">
        <v>215</v>
      </c>
      <c r="S1" s="14" t="s">
        <v>189</v>
      </c>
      <c r="T1" s="14" t="s">
        <v>190</v>
      </c>
      <c r="U1" s="14" t="s">
        <v>191</v>
      </c>
      <c r="V1" s="14" t="s">
        <v>192</v>
      </c>
      <c r="W1" s="14" t="s">
        <v>188</v>
      </c>
      <c r="X1" s="14"/>
      <c r="Y1" s="14"/>
      <c r="Z1" s="14"/>
      <c r="AA1" s="14"/>
      <c r="AB1" s="14"/>
      <c r="AC1" s="14"/>
      <c r="AD1" s="14"/>
      <c r="AE1" s="14"/>
      <c r="AF1" s="14"/>
      <c r="AG1" s="14"/>
    </row>
    <row r="2" spans="1:33" x14ac:dyDescent="0.25">
      <c r="E2" t="s">
        <v>193</v>
      </c>
      <c r="F2" t="s">
        <v>194</v>
      </c>
      <c r="G2" t="s">
        <v>195</v>
      </c>
      <c r="H2" t="s">
        <v>196</v>
      </c>
      <c r="I2" t="s">
        <v>197</v>
      </c>
      <c r="J2" t="s">
        <v>198</v>
      </c>
      <c r="K2" t="s">
        <v>199</v>
      </c>
      <c r="L2" t="s">
        <v>200</v>
      </c>
    </row>
    <row r="3" spans="1:33" x14ac:dyDescent="0.25">
      <c r="A3">
        <v>10</v>
      </c>
      <c r="B3" t="s">
        <v>20</v>
      </c>
      <c r="C3" t="s">
        <v>80</v>
      </c>
      <c r="E3">
        <v>1</v>
      </c>
      <c r="F3">
        <v>0.34</v>
      </c>
      <c r="G3" t="s">
        <v>154</v>
      </c>
      <c r="H3" t="s">
        <v>154</v>
      </c>
      <c r="I3" t="s">
        <v>154</v>
      </c>
      <c r="J3" t="s">
        <v>154</v>
      </c>
      <c r="K3" t="s">
        <v>154</v>
      </c>
      <c r="L3" t="s">
        <v>154</v>
      </c>
      <c r="M3" t="s">
        <v>154</v>
      </c>
      <c r="N3" t="s">
        <v>154</v>
      </c>
      <c r="O3" t="s">
        <v>154</v>
      </c>
      <c r="P3">
        <v>1</v>
      </c>
      <c r="Q3">
        <v>8</v>
      </c>
      <c r="S3">
        <v>5800</v>
      </c>
      <c r="T3">
        <v>2.5</v>
      </c>
      <c r="U3">
        <f>2.1%*S3*1000</f>
        <v>121800.00000000001</v>
      </c>
      <c r="V3">
        <v>40</v>
      </c>
      <c r="W3">
        <v>6</v>
      </c>
      <c r="Y3" s="6"/>
      <c r="Z3" s="6"/>
      <c r="AA3" s="6"/>
      <c r="AB3" s="6"/>
      <c r="AC3" s="6"/>
      <c r="AD3" s="6"/>
      <c r="AE3" s="6"/>
      <c r="AF3" s="6"/>
      <c r="AG3" s="6"/>
    </row>
    <row r="4" spans="1:33" x14ac:dyDescent="0.25">
      <c r="A4">
        <v>20</v>
      </c>
      <c r="B4" t="s">
        <v>21</v>
      </c>
      <c r="C4" t="s">
        <v>81</v>
      </c>
      <c r="D4">
        <v>1980</v>
      </c>
      <c r="E4">
        <v>1</v>
      </c>
      <c r="F4">
        <v>0.35199999999999998</v>
      </c>
      <c r="G4" t="s">
        <v>154</v>
      </c>
      <c r="H4" t="s">
        <v>154</v>
      </c>
      <c r="I4" t="s">
        <v>154</v>
      </c>
      <c r="J4" t="s">
        <v>154</v>
      </c>
      <c r="K4" t="s">
        <v>154</v>
      </c>
      <c r="L4" t="s">
        <v>154</v>
      </c>
      <c r="M4" t="s">
        <v>154</v>
      </c>
      <c r="N4" t="s">
        <v>154</v>
      </c>
      <c r="O4" t="s">
        <v>154</v>
      </c>
      <c r="P4">
        <v>0</v>
      </c>
      <c r="Q4">
        <v>4</v>
      </c>
      <c r="S4">
        <v>1700</v>
      </c>
      <c r="T4">
        <v>2</v>
      </c>
      <c r="U4">
        <v>60000</v>
      </c>
      <c r="V4">
        <v>40</v>
      </c>
      <c r="W4">
        <v>9</v>
      </c>
      <c r="Y4" s="6"/>
      <c r="Z4" s="6"/>
      <c r="AA4" s="6"/>
      <c r="AB4" s="6"/>
      <c r="AC4" s="6"/>
      <c r="AD4" s="6"/>
      <c r="AE4" s="6"/>
      <c r="AF4" s="6"/>
      <c r="AG4" s="6"/>
    </row>
    <row r="5" spans="1:33" x14ac:dyDescent="0.25">
      <c r="A5">
        <v>20.5</v>
      </c>
      <c r="B5" t="s">
        <v>22</v>
      </c>
      <c r="C5" t="s">
        <v>82</v>
      </c>
      <c r="D5">
        <v>1980</v>
      </c>
      <c r="E5">
        <v>1</v>
      </c>
      <c r="F5">
        <v>0.35199999999999998</v>
      </c>
      <c r="G5">
        <v>0.15</v>
      </c>
      <c r="H5">
        <v>0.52500000000000002</v>
      </c>
      <c r="I5" s="26">
        <f>J5*O5</f>
        <v>1.1851851851851851</v>
      </c>
      <c r="J5" s="26">
        <f>E5/(G5+H5)</f>
        <v>1.4814814814814814</v>
      </c>
      <c r="K5" s="26">
        <f>E5-G5*I5</f>
        <v>0.82222222222222219</v>
      </c>
      <c r="L5" s="26">
        <f>E5-G5*J5</f>
        <v>0.77777777777777779</v>
      </c>
      <c r="M5" s="27">
        <f>(E5+G5*I5)/F5</f>
        <v>3.3459595959595965</v>
      </c>
      <c r="N5" s="9">
        <f>$F5*(1+((1-$G5)/($H5+$G5))*($I5/$J5))</f>
        <v>0.70660740740740724</v>
      </c>
      <c r="O5" s="15">
        <v>0.8</v>
      </c>
      <c r="P5">
        <v>0</v>
      </c>
      <c r="Q5" t="s">
        <v>201</v>
      </c>
      <c r="S5">
        <v>1700</v>
      </c>
      <c r="T5">
        <v>2</v>
      </c>
      <c r="U5">
        <v>60000</v>
      </c>
      <c r="V5">
        <v>40</v>
      </c>
      <c r="W5">
        <v>9</v>
      </c>
      <c r="Y5" s="6"/>
      <c r="Z5" s="6"/>
      <c r="AA5" s="6"/>
      <c r="AB5" s="6"/>
      <c r="AC5" s="6"/>
      <c r="AD5" s="6"/>
      <c r="AE5" s="6"/>
      <c r="AF5" s="6"/>
      <c r="AG5" s="6"/>
    </row>
    <row r="6" spans="1:33" x14ac:dyDescent="0.25">
      <c r="A6">
        <v>21</v>
      </c>
      <c r="B6" t="s">
        <v>23</v>
      </c>
      <c r="C6" t="s">
        <v>83</v>
      </c>
      <c r="D6">
        <v>2020</v>
      </c>
      <c r="E6">
        <v>1</v>
      </c>
      <c r="F6">
        <v>0.439</v>
      </c>
      <c r="G6" t="s">
        <v>154</v>
      </c>
      <c r="H6" t="s">
        <v>154</v>
      </c>
      <c r="I6" t="s">
        <v>154</v>
      </c>
      <c r="J6" t="s">
        <v>154</v>
      </c>
      <c r="K6" t="s">
        <v>154</v>
      </c>
      <c r="L6" t="s">
        <v>154</v>
      </c>
      <c r="M6" t="s">
        <v>154</v>
      </c>
      <c r="N6" t="s">
        <v>154</v>
      </c>
      <c r="O6" t="s">
        <v>154</v>
      </c>
      <c r="P6">
        <v>1</v>
      </c>
      <c r="Q6">
        <v>1</v>
      </c>
      <c r="S6">
        <v>2000</v>
      </c>
      <c r="T6">
        <v>4.5</v>
      </c>
      <c r="U6">
        <f>2.5%*S6*1000</f>
        <v>50000</v>
      </c>
      <c r="V6">
        <v>40</v>
      </c>
      <c r="W6">
        <v>6</v>
      </c>
      <c r="Y6" s="6"/>
      <c r="Z6" s="6"/>
      <c r="AA6" s="6"/>
      <c r="AB6" s="6"/>
      <c r="AC6" s="6"/>
      <c r="AD6" s="6"/>
      <c r="AE6" s="6"/>
      <c r="AF6" s="6"/>
      <c r="AG6" s="6"/>
    </row>
    <row r="7" spans="1:33" x14ac:dyDescent="0.25">
      <c r="A7">
        <v>21.5</v>
      </c>
      <c r="B7" t="s">
        <v>24</v>
      </c>
      <c r="C7" t="s">
        <v>84</v>
      </c>
      <c r="D7" s="15">
        <v>2020</v>
      </c>
      <c r="E7">
        <v>1</v>
      </c>
      <c r="F7">
        <v>0.439</v>
      </c>
      <c r="G7">
        <v>0.15</v>
      </c>
      <c r="H7">
        <v>0.66</v>
      </c>
      <c r="I7" s="26">
        <f>J7*O7</f>
        <v>0.98765432098765427</v>
      </c>
      <c r="J7" s="26">
        <f>E7/(G7+H7)</f>
        <v>1.2345679012345678</v>
      </c>
      <c r="K7" s="26">
        <f>E7-G7*I7</f>
        <v>0.85185185185185186</v>
      </c>
      <c r="L7" s="26">
        <f>E7-G7*J7</f>
        <v>0.81481481481481488</v>
      </c>
      <c r="M7" s="27">
        <f>(E7+G7*I7)/F7</f>
        <v>2.615371635872775</v>
      </c>
      <c r="N7" s="9">
        <f>$F7*(1+((1-$G7)/($H7+$G7))*($I7/$J7))</f>
        <v>0.80754320987654327</v>
      </c>
      <c r="O7" s="15">
        <v>0.8</v>
      </c>
      <c r="P7" s="15">
        <v>1</v>
      </c>
      <c r="Q7" s="15" t="s">
        <v>202</v>
      </c>
      <c r="S7">
        <f>ROUND(S6/0.95,0)</f>
        <v>2105</v>
      </c>
      <c r="T7">
        <v>4.5</v>
      </c>
      <c r="U7">
        <f>2.5%*S7*1000</f>
        <v>52625</v>
      </c>
      <c r="V7" s="29">
        <v>40</v>
      </c>
      <c r="W7" t="s">
        <v>203</v>
      </c>
      <c r="Y7" s="6"/>
      <c r="Z7" s="6"/>
      <c r="AA7" s="6"/>
      <c r="AB7" s="6"/>
      <c r="AC7" s="6"/>
      <c r="AD7" s="6"/>
      <c r="AE7" s="6"/>
      <c r="AF7" s="6"/>
      <c r="AG7" s="6"/>
    </row>
    <row r="8" spans="1:33" x14ac:dyDescent="0.25">
      <c r="A8">
        <v>30</v>
      </c>
      <c r="B8" t="s">
        <v>25</v>
      </c>
      <c r="C8" t="s">
        <v>85</v>
      </c>
      <c r="D8">
        <v>1980</v>
      </c>
      <c r="E8">
        <v>1</v>
      </c>
      <c r="F8">
        <v>0.375</v>
      </c>
      <c r="G8" t="s">
        <v>154</v>
      </c>
      <c r="H8" t="s">
        <v>154</v>
      </c>
      <c r="I8" t="s">
        <v>154</v>
      </c>
      <c r="J8" t="s">
        <v>154</v>
      </c>
      <c r="K8" t="s">
        <v>154</v>
      </c>
      <c r="L8" t="s">
        <v>154</v>
      </c>
      <c r="M8" t="s">
        <v>154</v>
      </c>
      <c r="N8" t="s">
        <v>154</v>
      </c>
      <c r="O8" t="s">
        <v>154</v>
      </c>
      <c r="P8">
        <v>0</v>
      </c>
      <c r="Q8">
        <v>4</v>
      </c>
      <c r="S8">
        <v>1200</v>
      </c>
      <c r="T8">
        <v>6</v>
      </c>
      <c r="U8">
        <v>30000</v>
      </c>
      <c r="V8" s="29">
        <v>40</v>
      </c>
      <c r="W8" t="s">
        <v>219</v>
      </c>
      <c r="Y8" s="6"/>
      <c r="Z8" s="6"/>
      <c r="AA8" s="6"/>
      <c r="AB8" s="6"/>
      <c r="AC8" s="6"/>
      <c r="AD8" s="6"/>
      <c r="AE8" s="6"/>
      <c r="AF8" s="6"/>
      <c r="AG8" s="6"/>
    </row>
    <row r="9" spans="1:33" x14ac:dyDescent="0.25">
      <c r="A9">
        <v>30.5</v>
      </c>
      <c r="B9" t="s">
        <v>26</v>
      </c>
      <c r="C9" t="s">
        <v>86</v>
      </c>
      <c r="D9">
        <v>1980</v>
      </c>
      <c r="E9">
        <v>1</v>
      </c>
      <c r="F9">
        <v>0.375</v>
      </c>
      <c r="G9">
        <v>0.15</v>
      </c>
      <c r="H9">
        <v>0.55000000000000004</v>
      </c>
      <c r="I9" s="26">
        <f>J9*O9</f>
        <v>1.1428571428571428</v>
      </c>
      <c r="J9" s="26">
        <f>E9/(G9+H9)</f>
        <v>1.4285714285714284</v>
      </c>
      <c r="K9" s="26">
        <f>E9-G9*I9</f>
        <v>0.82857142857142863</v>
      </c>
      <c r="L9" s="26">
        <f>E9-G9*J9</f>
        <v>0.78571428571428581</v>
      </c>
      <c r="M9" s="27">
        <f>(E9+G9*I9)/F9</f>
        <v>3.1238095238095238</v>
      </c>
      <c r="N9" s="9">
        <f>$F9*(1+((1-$G9)/($H9+$G9))*($I9/$J9))</f>
        <v>0.73928571428571432</v>
      </c>
      <c r="O9" s="15">
        <v>0.8</v>
      </c>
      <c r="P9">
        <v>0</v>
      </c>
      <c r="Q9" t="s">
        <v>201</v>
      </c>
      <c r="S9">
        <f>ROUND(S8/0.95,0)</f>
        <v>1263</v>
      </c>
      <c r="T9">
        <v>6</v>
      </c>
      <c r="U9">
        <v>30000</v>
      </c>
      <c r="V9" s="29">
        <v>40</v>
      </c>
      <c r="W9" t="s">
        <v>219</v>
      </c>
      <c r="Y9" s="6"/>
      <c r="Z9" s="6"/>
      <c r="AA9" s="6"/>
      <c r="AB9" s="6"/>
      <c r="AC9" s="6"/>
      <c r="AD9" s="6"/>
      <c r="AE9" s="6"/>
      <c r="AF9" s="6"/>
      <c r="AG9" s="6"/>
    </row>
    <row r="10" spans="1:33" x14ac:dyDescent="0.25">
      <c r="A10">
        <v>31</v>
      </c>
      <c r="B10" t="s">
        <v>27</v>
      </c>
      <c r="C10" t="s">
        <v>87</v>
      </c>
      <c r="D10">
        <v>2000</v>
      </c>
      <c r="E10">
        <v>1</v>
      </c>
      <c r="F10">
        <v>0.42499999999999999</v>
      </c>
      <c r="G10" t="s">
        <v>154</v>
      </c>
      <c r="H10" t="s">
        <v>154</v>
      </c>
      <c r="I10" t="s">
        <v>154</v>
      </c>
      <c r="J10" t="s">
        <v>154</v>
      </c>
      <c r="K10" t="s">
        <v>154</v>
      </c>
      <c r="L10" t="s">
        <v>154</v>
      </c>
      <c r="M10" t="s">
        <v>154</v>
      </c>
      <c r="N10" t="s">
        <v>154</v>
      </c>
      <c r="O10" t="s">
        <v>154</v>
      </c>
      <c r="P10">
        <v>1</v>
      </c>
      <c r="Q10">
        <v>4</v>
      </c>
      <c r="S10">
        <v>1300</v>
      </c>
      <c r="T10">
        <v>6</v>
      </c>
      <c r="U10">
        <v>25000</v>
      </c>
      <c r="V10" s="29">
        <v>40</v>
      </c>
      <c r="W10" t="s">
        <v>219</v>
      </c>
      <c r="Y10" s="6"/>
      <c r="Z10" s="6"/>
      <c r="AA10" s="6"/>
      <c r="AB10" s="6"/>
      <c r="AC10" s="6"/>
      <c r="AD10" s="6"/>
      <c r="AE10" s="6"/>
      <c r="AF10" s="6"/>
      <c r="AG10" s="6"/>
    </row>
    <row r="11" spans="1:33" x14ac:dyDescent="0.25">
      <c r="A11">
        <v>31.5</v>
      </c>
      <c r="B11" t="s">
        <v>28</v>
      </c>
      <c r="C11" t="s">
        <v>88</v>
      </c>
      <c r="D11">
        <v>2000</v>
      </c>
      <c r="E11">
        <v>1</v>
      </c>
      <c r="F11">
        <v>0.42499999999999999</v>
      </c>
      <c r="G11">
        <v>0.15</v>
      </c>
      <c r="H11">
        <v>0.6</v>
      </c>
      <c r="I11" s="27">
        <f>J11*O11</f>
        <v>1.0666666666666667</v>
      </c>
      <c r="J11" s="27">
        <f>E11/(G11+H11)</f>
        <v>1.3333333333333333</v>
      </c>
      <c r="K11" s="27">
        <f>E11-G11*I11</f>
        <v>0.84</v>
      </c>
      <c r="L11" s="27">
        <f>E11-G11*J11</f>
        <v>0.8</v>
      </c>
      <c r="M11" s="27">
        <f>(E11+G11*I11)/F11</f>
        <v>2.7294117647058824</v>
      </c>
      <c r="N11" s="9">
        <f>$F11*(1+((1-$G11)/($H11+$G11))*($I11/$J11))</f>
        <v>0.81033333333333335</v>
      </c>
      <c r="O11">
        <v>0.8</v>
      </c>
      <c r="P11" s="15">
        <v>1</v>
      </c>
      <c r="Q11" t="s">
        <v>201</v>
      </c>
      <c r="S11">
        <f>ROUND(S10/0.95,0)</f>
        <v>1368</v>
      </c>
      <c r="T11">
        <v>6</v>
      </c>
      <c r="U11">
        <v>25000</v>
      </c>
      <c r="V11" s="29">
        <v>40</v>
      </c>
      <c r="W11" t="s">
        <v>219</v>
      </c>
      <c r="Y11" s="6"/>
      <c r="Z11" s="6"/>
      <c r="AA11" s="6"/>
      <c r="AB11" s="6"/>
      <c r="AC11" s="6"/>
      <c r="AD11" s="6"/>
      <c r="AE11" s="6"/>
      <c r="AF11" s="6"/>
      <c r="AG11" s="6"/>
    </row>
    <row r="12" spans="1:33" x14ac:dyDescent="0.25">
      <c r="A12">
        <v>32</v>
      </c>
      <c r="B12" t="s">
        <v>29</v>
      </c>
      <c r="C12" t="s">
        <v>89</v>
      </c>
      <c r="D12">
        <v>2020</v>
      </c>
      <c r="E12">
        <v>1</v>
      </c>
      <c r="F12">
        <v>0.48499999999999999</v>
      </c>
      <c r="G12" t="s">
        <v>154</v>
      </c>
      <c r="H12" t="s">
        <v>154</v>
      </c>
      <c r="I12" t="s">
        <v>154</v>
      </c>
      <c r="J12" t="s">
        <v>154</v>
      </c>
      <c r="K12" t="s">
        <v>154</v>
      </c>
      <c r="L12" t="s">
        <v>154</v>
      </c>
      <c r="M12" t="s">
        <v>154</v>
      </c>
      <c r="N12" t="s">
        <v>154</v>
      </c>
      <c r="O12" t="s">
        <v>154</v>
      </c>
      <c r="P12">
        <v>1</v>
      </c>
      <c r="Q12">
        <v>1</v>
      </c>
      <c r="S12">
        <v>1900</v>
      </c>
      <c r="T12">
        <v>2.9</v>
      </c>
      <c r="U12">
        <v>31000</v>
      </c>
      <c r="V12" s="29">
        <v>40</v>
      </c>
      <c r="W12" t="s">
        <v>219</v>
      </c>
      <c r="Y12" s="6"/>
      <c r="Z12" s="6"/>
      <c r="AA12" s="6"/>
      <c r="AB12" s="6"/>
      <c r="AC12" s="6"/>
      <c r="AD12" s="6"/>
      <c r="AE12" s="6"/>
      <c r="AF12" s="6"/>
      <c r="AG12" s="6"/>
    </row>
    <row r="13" spans="1:33" x14ac:dyDescent="0.25">
      <c r="A13">
        <v>32.5</v>
      </c>
      <c r="B13" t="s">
        <v>30</v>
      </c>
      <c r="C13" t="s">
        <v>90</v>
      </c>
      <c r="D13">
        <v>2020</v>
      </c>
      <c r="E13">
        <v>1</v>
      </c>
      <c r="F13">
        <v>0.48499999999999999</v>
      </c>
      <c r="G13">
        <v>0.15</v>
      </c>
      <c r="H13">
        <v>0.84</v>
      </c>
      <c r="I13" s="27">
        <f>J13*O13</f>
        <v>0.80808080808080818</v>
      </c>
      <c r="J13" s="27">
        <f>E13/(G13+H13)</f>
        <v>1.0101010101010102</v>
      </c>
      <c r="K13" s="27">
        <f>E13-G13*I13</f>
        <v>0.87878787878787878</v>
      </c>
      <c r="L13" s="27">
        <f>E13-G13*J13</f>
        <v>0.84848484848484851</v>
      </c>
      <c r="M13" s="27">
        <f>(E13+G13*I13)/F13</f>
        <v>2.3117775695095282</v>
      </c>
      <c r="N13" s="9">
        <f>$F13*(1+((1-$G13)/($H13+$G13))*($I13/$J13))</f>
        <v>0.81813131313131315</v>
      </c>
      <c r="O13">
        <v>0.8</v>
      </c>
      <c r="P13" s="15">
        <v>1</v>
      </c>
      <c r="Q13">
        <v>1</v>
      </c>
      <c r="S13">
        <f>ROUND(S12/0.95,0)</f>
        <v>2000</v>
      </c>
      <c r="T13">
        <v>2.9</v>
      </c>
      <c r="U13">
        <v>31000</v>
      </c>
      <c r="V13">
        <v>40</v>
      </c>
      <c r="W13">
        <v>1</v>
      </c>
      <c r="Y13" s="6"/>
      <c r="Z13" s="6"/>
      <c r="AA13" s="6"/>
      <c r="AB13" s="6"/>
      <c r="AC13" s="6"/>
      <c r="AD13" s="6"/>
      <c r="AE13" s="6"/>
      <c r="AF13" s="6"/>
      <c r="AG13" s="6"/>
    </row>
    <row r="14" spans="1:33" x14ac:dyDescent="0.25">
      <c r="A14">
        <v>33</v>
      </c>
      <c r="B14" t="s">
        <v>31</v>
      </c>
      <c r="C14" t="s">
        <v>91</v>
      </c>
      <c r="D14">
        <v>2020</v>
      </c>
      <c r="E14">
        <v>1</v>
      </c>
      <c r="F14">
        <v>0.46</v>
      </c>
      <c r="G14" t="s">
        <v>154</v>
      </c>
      <c r="H14" t="s">
        <v>154</v>
      </c>
      <c r="I14" t="s">
        <v>154</v>
      </c>
      <c r="J14" t="s">
        <v>154</v>
      </c>
      <c r="K14" t="s">
        <v>154</v>
      </c>
      <c r="L14" t="s">
        <v>154</v>
      </c>
      <c r="M14" t="s">
        <v>154</v>
      </c>
      <c r="N14" t="s">
        <v>154</v>
      </c>
      <c r="O14" t="s">
        <v>154</v>
      </c>
      <c r="P14">
        <v>0</v>
      </c>
      <c r="Q14">
        <v>6</v>
      </c>
      <c r="S14">
        <v>2300</v>
      </c>
      <c r="T14">
        <v>5</v>
      </c>
      <c r="U14">
        <f>0.025*S14*1000</f>
        <v>57500</v>
      </c>
      <c r="V14" s="29">
        <v>35</v>
      </c>
      <c r="W14">
        <v>6</v>
      </c>
      <c r="Y14" s="6"/>
      <c r="Z14" s="6"/>
      <c r="AA14" s="6"/>
      <c r="AB14" s="6"/>
      <c r="AC14" s="6"/>
      <c r="AD14" s="6"/>
      <c r="AE14" s="6"/>
      <c r="AF14" s="6"/>
      <c r="AG14" s="6"/>
    </row>
    <row r="15" spans="1:33" x14ac:dyDescent="0.25">
      <c r="A15">
        <v>40</v>
      </c>
      <c r="B15" t="s">
        <v>32</v>
      </c>
      <c r="C15" t="s">
        <v>92</v>
      </c>
      <c r="D15">
        <v>2020</v>
      </c>
      <c r="E15">
        <v>1</v>
      </c>
      <c r="F15">
        <v>0.40699999999999997</v>
      </c>
      <c r="G15" t="s">
        <v>154</v>
      </c>
      <c r="H15" t="s">
        <v>154</v>
      </c>
      <c r="I15" t="s">
        <v>154</v>
      </c>
      <c r="J15" t="s">
        <v>154</v>
      </c>
      <c r="K15" t="s">
        <v>154</v>
      </c>
      <c r="L15" t="s">
        <v>154</v>
      </c>
      <c r="M15" t="s">
        <v>154</v>
      </c>
      <c r="N15" t="s">
        <v>154</v>
      </c>
      <c r="O15" t="s">
        <v>154</v>
      </c>
      <c r="Q15">
        <v>4</v>
      </c>
      <c r="S15">
        <v>400</v>
      </c>
      <c r="T15">
        <v>3</v>
      </c>
      <c r="U15">
        <v>15000</v>
      </c>
      <c r="V15" s="29">
        <v>30</v>
      </c>
      <c r="W15">
        <v>3</v>
      </c>
      <c r="Y15" s="6"/>
      <c r="Z15" s="6"/>
      <c r="AA15" s="6"/>
      <c r="AB15" s="6"/>
      <c r="AC15" s="6"/>
      <c r="AD15" s="6"/>
      <c r="AE15" s="6"/>
      <c r="AF15" s="6"/>
      <c r="AG15" s="6"/>
    </row>
    <row r="16" spans="1:33" x14ac:dyDescent="0.25">
      <c r="A16">
        <v>40.5</v>
      </c>
      <c r="B16" t="s">
        <v>33</v>
      </c>
      <c r="C16" t="s">
        <v>93</v>
      </c>
      <c r="D16">
        <v>2020</v>
      </c>
      <c r="E16">
        <v>1</v>
      </c>
      <c r="F16">
        <v>0.40699999999999997</v>
      </c>
      <c r="G16">
        <v>0.15</v>
      </c>
      <c r="H16">
        <v>0.55000000000000004</v>
      </c>
      <c r="I16" s="26">
        <f>J16*O16</f>
        <v>1.1428571428571428</v>
      </c>
      <c r="J16" s="26">
        <f>E16/(G16+H16)</f>
        <v>1.4285714285714284</v>
      </c>
      <c r="K16" s="26">
        <f>E16-G16*I16</f>
        <v>0.82857142857142863</v>
      </c>
      <c r="L16" s="26">
        <f>E16-G16*J16</f>
        <v>0.78571428571428581</v>
      </c>
      <c r="M16" s="27">
        <f>(E16+G16*I16)/F16</f>
        <v>2.8782028782028783</v>
      </c>
      <c r="N16" s="9">
        <f>$F16*(1+((1-$G16)/($H16+$G16))*($I16/$J16))</f>
        <v>0.80237142857142851</v>
      </c>
      <c r="O16" s="15">
        <v>0.8</v>
      </c>
      <c r="Q16" t="s">
        <v>204</v>
      </c>
      <c r="S16">
        <v>400</v>
      </c>
      <c r="T16">
        <v>3</v>
      </c>
      <c r="U16">
        <v>15000</v>
      </c>
      <c r="V16" s="29">
        <v>30</v>
      </c>
      <c r="W16">
        <v>3</v>
      </c>
      <c r="Y16" s="6"/>
      <c r="Z16" s="6"/>
      <c r="AA16" s="6"/>
      <c r="AB16" s="6"/>
      <c r="AC16" s="6"/>
      <c r="AD16" s="6"/>
      <c r="AE16" s="6"/>
      <c r="AF16" s="6"/>
      <c r="AG16" s="6"/>
    </row>
    <row r="17" spans="1:33" x14ac:dyDescent="0.25">
      <c r="A17">
        <v>41</v>
      </c>
      <c r="B17" t="s">
        <v>205</v>
      </c>
      <c r="C17" t="s">
        <v>94</v>
      </c>
      <c r="D17">
        <v>1980</v>
      </c>
      <c r="E17">
        <v>1</v>
      </c>
      <c r="F17">
        <v>0.32800000000000001</v>
      </c>
      <c r="G17" t="s">
        <v>154</v>
      </c>
      <c r="H17" t="s">
        <v>154</v>
      </c>
      <c r="I17" t="s">
        <v>154</v>
      </c>
      <c r="J17" t="s">
        <v>154</v>
      </c>
      <c r="K17" t="s">
        <v>154</v>
      </c>
      <c r="L17" t="s">
        <v>154</v>
      </c>
      <c r="M17" t="s">
        <v>154</v>
      </c>
      <c r="N17" t="s">
        <v>154</v>
      </c>
      <c r="O17" t="s">
        <v>154</v>
      </c>
      <c r="P17">
        <v>0</v>
      </c>
      <c r="Q17">
        <v>4</v>
      </c>
      <c r="S17">
        <v>454</v>
      </c>
      <c r="T17">
        <v>4.5</v>
      </c>
      <c r="U17">
        <v>8068</v>
      </c>
      <c r="V17" s="29">
        <v>25</v>
      </c>
      <c r="W17">
        <v>1</v>
      </c>
      <c r="Y17" s="6"/>
      <c r="Z17" s="6"/>
      <c r="AA17" s="6"/>
      <c r="AB17" s="6"/>
      <c r="AC17" s="6"/>
      <c r="AD17" s="6"/>
      <c r="AE17" s="6"/>
      <c r="AF17" s="6"/>
      <c r="AG17" s="6"/>
    </row>
    <row r="18" spans="1:33" x14ac:dyDescent="0.25">
      <c r="A18">
        <v>42</v>
      </c>
      <c r="B18" t="s">
        <v>206</v>
      </c>
      <c r="C18" t="s">
        <v>96</v>
      </c>
      <c r="D18">
        <v>2020</v>
      </c>
      <c r="E18">
        <v>1</v>
      </c>
      <c r="F18">
        <v>0.42</v>
      </c>
      <c r="G18">
        <v>0</v>
      </c>
      <c r="H18">
        <v>0.96</v>
      </c>
      <c r="I18" s="27">
        <f>J18*O18</f>
        <v>0.83333333333333348</v>
      </c>
      <c r="J18" s="27">
        <f>E18/(G18+H18)</f>
        <v>1.0416666666666667</v>
      </c>
      <c r="K18" s="27">
        <f>E18-G18*I18</f>
        <v>1</v>
      </c>
      <c r="L18" s="27">
        <f>E18-G18*J18</f>
        <v>1</v>
      </c>
      <c r="M18" s="27">
        <f>(E18+G18*I18)/F18</f>
        <v>2.3809523809523809</v>
      </c>
      <c r="N18" s="9">
        <f>$F18*(1+((1-$G18)/($H18+$G18))*($I18/$J18))</f>
        <v>0.77</v>
      </c>
      <c r="O18">
        <v>0.8</v>
      </c>
      <c r="P18">
        <v>1</v>
      </c>
      <c r="Q18">
        <v>1</v>
      </c>
      <c r="S18">
        <v>590</v>
      </c>
      <c r="T18">
        <v>4.4000000000000004</v>
      </c>
      <c r="U18">
        <v>19500</v>
      </c>
      <c r="V18">
        <v>25</v>
      </c>
      <c r="W18">
        <v>1</v>
      </c>
      <c r="Y18" s="6"/>
      <c r="Z18" s="6"/>
      <c r="AA18" s="6"/>
      <c r="AB18" s="6"/>
      <c r="AC18" s="6"/>
      <c r="AD18" s="6"/>
      <c r="AE18" s="6"/>
      <c r="AF18" s="6"/>
      <c r="AG18" s="6"/>
    </row>
    <row r="19" spans="1:33" x14ac:dyDescent="0.25">
      <c r="A19">
        <v>43</v>
      </c>
      <c r="B19" t="s">
        <v>38</v>
      </c>
      <c r="C19" t="s">
        <v>98</v>
      </c>
      <c r="D19">
        <v>2020</v>
      </c>
      <c r="E19">
        <v>1</v>
      </c>
      <c r="F19">
        <v>0.56000000000000005</v>
      </c>
      <c r="G19" t="s">
        <v>154</v>
      </c>
      <c r="H19" t="s">
        <v>154</v>
      </c>
      <c r="I19" t="s">
        <v>154</v>
      </c>
      <c r="J19" t="s">
        <v>154</v>
      </c>
      <c r="K19" t="s">
        <v>154</v>
      </c>
      <c r="L19" t="s">
        <v>154</v>
      </c>
      <c r="M19" t="s">
        <v>154</v>
      </c>
      <c r="N19" t="s">
        <v>154</v>
      </c>
      <c r="O19" t="s">
        <v>154</v>
      </c>
      <c r="P19">
        <v>0</v>
      </c>
      <c r="Q19">
        <v>1</v>
      </c>
      <c r="S19">
        <v>800</v>
      </c>
      <c r="T19">
        <v>4</v>
      </c>
      <c r="U19">
        <v>20000</v>
      </c>
      <c r="V19" s="29">
        <v>30</v>
      </c>
      <c r="W19" t="s">
        <v>221</v>
      </c>
      <c r="Y19" s="6"/>
      <c r="Z19" s="6"/>
      <c r="AA19" s="6"/>
      <c r="AB19" s="6"/>
      <c r="AC19" s="6"/>
      <c r="AD19" s="6"/>
      <c r="AE19" s="6"/>
      <c r="AF19" s="6"/>
      <c r="AG19" s="6"/>
    </row>
    <row r="20" spans="1:33" x14ac:dyDescent="0.25">
      <c r="A20">
        <v>43.5</v>
      </c>
      <c r="B20" t="s">
        <v>39</v>
      </c>
      <c r="C20" t="s">
        <v>99</v>
      </c>
      <c r="D20">
        <v>2020</v>
      </c>
      <c r="E20">
        <v>1</v>
      </c>
      <c r="F20">
        <v>0.56000000000000005</v>
      </c>
      <c r="G20">
        <v>0.15</v>
      </c>
      <c r="H20">
        <v>1.8</v>
      </c>
      <c r="I20" s="27">
        <f>J20*O20</f>
        <v>0.41025641025641035</v>
      </c>
      <c r="J20" s="27">
        <f>E20/(G20+H20)</f>
        <v>0.51282051282051289</v>
      </c>
      <c r="K20" s="27">
        <f>E20-G20*I20</f>
        <v>0.93846153846153846</v>
      </c>
      <c r="L20" s="27">
        <f>E20-G20*J20</f>
        <v>0.92307692307692313</v>
      </c>
      <c r="M20" s="27">
        <f>(E20+G20*I20)/F20</f>
        <v>1.8956043956043955</v>
      </c>
      <c r="N20" s="9">
        <f>$F20*(1+((1-$G20)/($H20+$G20))*($I20/$J20))</f>
        <v>0.75528205128205139</v>
      </c>
      <c r="O20">
        <v>0.8</v>
      </c>
      <c r="P20">
        <v>0</v>
      </c>
      <c r="Q20">
        <v>1</v>
      </c>
      <c r="S20">
        <f>ROUND(S19/0.95,0)</f>
        <v>842</v>
      </c>
      <c r="T20">
        <v>4</v>
      </c>
      <c r="U20">
        <v>20000</v>
      </c>
      <c r="V20" s="29">
        <v>30</v>
      </c>
      <c r="W20" t="s">
        <v>220</v>
      </c>
      <c r="Y20" s="6"/>
      <c r="Z20" s="6"/>
      <c r="AA20" s="6"/>
      <c r="AB20" s="6"/>
      <c r="AC20" s="6"/>
      <c r="AD20" s="6"/>
      <c r="AE20" s="6"/>
      <c r="AF20" s="6"/>
      <c r="AG20" s="6"/>
    </row>
    <row r="21" spans="1:33" x14ac:dyDescent="0.25">
      <c r="A21">
        <v>44</v>
      </c>
      <c r="B21" t="s">
        <v>40</v>
      </c>
      <c r="C21" t="s">
        <v>100</v>
      </c>
      <c r="D21">
        <v>2030</v>
      </c>
      <c r="E21">
        <v>1</v>
      </c>
      <c r="F21">
        <v>0.61</v>
      </c>
      <c r="G21" t="s">
        <v>154</v>
      </c>
      <c r="H21" t="s">
        <v>154</v>
      </c>
      <c r="I21" t="s">
        <v>154</v>
      </c>
      <c r="J21" t="s">
        <v>154</v>
      </c>
      <c r="K21" t="s">
        <v>154</v>
      </c>
      <c r="L21" t="s">
        <v>154</v>
      </c>
      <c r="M21" t="s">
        <v>154</v>
      </c>
      <c r="N21" t="s">
        <v>154</v>
      </c>
      <c r="O21" t="s">
        <v>154</v>
      </c>
      <c r="P21">
        <v>1</v>
      </c>
      <c r="Q21">
        <v>1</v>
      </c>
      <c r="S21">
        <f>0.95*S22</f>
        <v>836</v>
      </c>
      <c r="T21">
        <f>T22</f>
        <v>4.4000000000000004</v>
      </c>
      <c r="U21">
        <f>0.95*U22</f>
        <v>27835</v>
      </c>
      <c r="V21">
        <f>V22</f>
        <v>25</v>
      </c>
      <c r="W21">
        <v>1</v>
      </c>
      <c r="Y21" s="6"/>
      <c r="Z21" s="6"/>
      <c r="AA21" s="6"/>
      <c r="AB21" s="6"/>
      <c r="AC21" s="6"/>
      <c r="AD21" s="6"/>
      <c r="AE21" s="6"/>
      <c r="AF21" s="6"/>
      <c r="AG21" s="6"/>
    </row>
    <row r="22" spans="1:33" x14ac:dyDescent="0.25">
      <c r="A22">
        <v>44.5</v>
      </c>
      <c r="B22" t="s">
        <v>41</v>
      </c>
      <c r="C22" t="s">
        <v>101</v>
      </c>
      <c r="D22">
        <v>2030</v>
      </c>
      <c r="E22">
        <v>1</v>
      </c>
      <c r="F22">
        <v>0.61</v>
      </c>
      <c r="G22">
        <v>0.15</v>
      </c>
      <c r="H22">
        <v>2</v>
      </c>
      <c r="I22" s="27">
        <f t="shared" ref="I22" si="0">J22*O22</f>
        <v>0.37209302325581395</v>
      </c>
      <c r="J22" s="27">
        <f t="shared" ref="J22" si="1">E22/(G22+H22)</f>
        <v>0.46511627906976744</v>
      </c>
      <c r="K22" s="27">
        <f t="shared" ref="K22" si="2">E22-G22*I22</f>
        <v>0.94418604651162785</v>
      </c>
      <c r="L22" s="27">
        <f t="shared" ref="L22" si="3">E22-G22*J22</f>
        <v>0.93023255813953487</v>
      </c>
      <c r="M22" s="27">
        <f t="shared" ref="M22" si="4">(E22+G22*I22)/F22</f>
        <v>1.7308425467022495</v>
      </c>
      <c r="N22" s="9">
        <f>$F22*(1+((1-$G22)/($H22+$G22))*($I22/$J22))</f>
        <v>0.80293023255813945</v>
      </c>
      <c r="O22">
        <v>0.8</v>
      </c>
      <c r="P22">
        <v>1</v>
      </c>
      <c r="Q22">
        <v>1</v>
      </c>
      <c r="S22">
        <v>880</v>
      </c>
      <c r="T22">
        <v>4.4000000000000004</v>
      </c>
      <c r="U22">
        <v>29300</v>
      </c>
      <c r="V22">
        <v>25</v>
      </c>
      <c r="W22">
        <v>1</v>
      </c>
      <c r="Y22" s="6"/>
      <c r="Z22" s="6"/>
      <c r="AA22" s="6"/>
      <c r="AB22" s="6"/>
      <c r="AC22" s="6"/>
      <c r="AD22" s="6"/>
      <c r="AE22" s="6"/>
      <c r="AF22" s="6"/>
      <c r="AG22" s="6"/>
    </row>
    <row r="23" spans="1:33" x14ac:dyDescent="0.25">
      <c r="A23">
        <v>45</v>
      </c>
      <c r="B23" t="s">
        <v>42</v>
      </c>
      <c r="C23" t="s">
        <v>102</v>
      </c>
      <c r="D23">
        <v>2020</v>
      </c>
      <c r="E23">
        <v>1</v>
      </c>
      <c r="F23">
        <v>0.47</v>
      </c>
      <c r="G23" t="s">
        <v>154</v>
      </c>
      <c r="H23" t="s">
        <v>154</v>
      </c>
      <c r="I23" t="s">
        <v>154</v>
      </c>
      <c r="J23" t="s">
        <v>154</v>
      </c>
      <c r="K23" t="s">
        <v>154</v>
      </c>
      <c r="L23" t="s">
        <v>154</v>
      </c>
      <c r="M23" t="s">
        <v>154</v>
      </c>
      <c r="N23" t="s">
        <v>154</v>
      </c>
      <c r="O23" t="s">
        <v>154</v>
      </c>
      <c r="Q23">
        <v>1</v>
      </c>
      <c r="S23">
        <f>0.95*S24</f>
        <v>902.5</v>
      </c>
      <c r="T23">
        <f>T24</f>
        <v>5.4</v>
      </c>
      <c r="U23">
        <f>0.95*U24</f>
        <v>9262.5</v>
      </c>
      <c r="V23">
        <f>V24</f>
        <v>25</v>
      </c>
      <c r="W23">
        <v>1</v>
      </c>
      <c r="Y23" s="6"/>
      <c r="Z23" s="6"/>
      <c r="AA23" s="6"/>
      <c r="AB23" s="6"/>
      <c r="AC23" s="6"/>
      <c r="AD23" s="6"/>
      <c r="AE23" s="6"/>
      <c r="AF23" s="6"/>
      <c r="AG23" s="6"/>
    </row>
    <row r="24" spans="1:33" x14ac:dyDescent="0.25">
      <c r="A24">
        <v>45.5</v>
      </c>
      <c r="B24" t="s">
        <v>43</v>
      </c>
      <c r="C24" t="s">
        <v>103</v>
      </c>
      <c r="D24">
        <v>2020</v>
      </c>
      <c r="E24">
        <v>1</v>
      </c>
      <c r="F24">
        <v>0.47</v>
      </c>
      <c r="G24">
        <v>0</v>
      </c>
      <c r="H24">
        <v>0.95</v>
      </c>
      <c r="I24" s="27">
        <f>J24*O24</f>
        <v>0.84210526315789469</v>
      </c>
      <c r="J24" s="27">
        <f>E24/(G24+H24)</f>
        <v>1.0526315789473684</v>
      </c>
      <c r="K24" s="27">
        <f>E24-G24*I24</f>
        <v>1</v>
      </c>
      <c r="L24" s="27">
        <f>E24-G24*J24</f>
        <v>1</v>
      </c>
      <c r="M24" s="27">
        <f>(E24+G24*I24)/F24</f>
        <v>2.1276595744680851</v>
      </c>
      <c r="N24" s="9">
        <f>$F24*(1+((1-$G24)/($H24+$G24))*($I24/$J24))</f>
        <v>0.86578947368421044</v>
      </c>
      <c r="O24">
        <v>0.8</v>
      </c>
      <c r="P24">
        <v>1</v>
      </c>
      <c r="Q24">
        <v>1</v>
      </c>
      <c r="S24">
        <v>950</v>
      </c>
      <c r="T24">
        <v>5.4</v>
      </c>
      <c r="U24">
        <v>9750</v>
      </c>
      <c r="V24">
        <v>25</v>
      </c>
      <c r="W24">
        <v>1</v>
      </c>
      <c r="Y24" s="6"/>
      <c r="Z24" s="6"/>
      <c r="AA24" s="6"/>
      <c r="AB24" s="6"/>
      <c r="AC24" s="6"/>
      <c r="AD24" s="6"/>
      <c r="AE24" s="6"/>
      <c r="AF24" s="6"/>
      <c r="AG24" s="6"/>
    </row>
    <row r="25" spans="1:33" x14ac:dyDescent="0.25">
      <c r="A25">
        <v>49.5</v>
      </c>
      <c r="B25" t="s">
        <v>207</v>
      </c>
      <c r="C25" t="s">
        <v>104</v>
      </c>
      <c r="D25">
        <v>2020</v>
      </c>
      <c r="E25">
        <v>1</v>
      </c>
      <c r="F25">
        <v>0.95</v>
      </c>
      <c r="G25" t="s">
        <v>154</v>
      </c>
      <c r="H25" t="s">
        <v>154</v>
      </c>
      <c r="I25" t="s">
        <v>154</v>
      </c>
      <c r="J25" t="s">
        <v>154</v>
      </c>
      <c r="K25" t="s">
        <v>154</v>
      </c>
      <c r="L25" t="s">
        <v>154</v>
      </c>
      <c r="M25" t="s">
        <v>154</v>
      </c>
      <c r="N25" t="s">
        <v>154</v>
      </c>
      <c r="O25" t="s">
        <v>154</v>
      </c>
      <c r="P25">
        <v>1</v>
      </c>
      <c r="Q25">
        <v>1</v>
      </c>
      <c r="S25">
        <v>60</v>
      </c>
      <c r="T25">
        <v>1</v>
      </c>
      <c r="U25">
        <v>1950</v>
      </c>
      <c r="V25" s="29">
        <v>25</v>
      </c>
      <c r="W25">
        <v>1</v>
      </c>
      <c r="Y25" s="6"/>
      <c r="Z25" s="6"/>
      <c r="AA25" s="6"/>
      <c r="AB25" s="6"/>
      <c r="AC25" s="6"/>
      <c r="AD25" s="6"/>
      <c r="AE25" s="6"/>
      <c r="AF25" s="6"/>
      <c r="AG25" s="6"/>
    </row>
    <row r="26" spans="1:33" x14ac:dyDescent="0.25">
      <c r="A26">
        <v>50</v>
      </c>
      <c r="B26" t="s">
        <v>45</v>
      </c>
      <c r="C26" t="s">
        <v>105</v>
      </c>
      <c r="D26">
        <v>2010</v>
      </c>
      <c r="E26">
        <v>1</v>
      </c>
      <c r="F26">
        <v>0.39600000000000002</v>
      </c>
      <c r="G26" t="s">
        <v>154</v>
      </c>
      <c r="H26" t="s">
        <v>154</v>
      </c>
      <c r="I26" t="s">
        <v>154</v>
      </c>
      <c r="J26" t="s">
        <v>154</v>
      </c>
      <c r="K26" t="s">
        <v>154</v>
      </c>
      <c r="L26" t="s">
        <v>154</v>
      </c>
      <c r="M26" t="s">
        <v>154</v>
      </c>
      <c r="N26" t="s">
        <v>154</v>
      </c>
      <c r="O26" t="s">
        <v>154</v>
      </c>
      <c r="Q26">
        <v>4</v>
      </c>
      <c r="S26">
        <v>400</v>
      </c>
      <c r="T26">
        <v>3</v>
      </c>
      <c r="U26">
        <v>6000</v>
      </c>
      <c r="V26" s="29">
        <v>30</v>
      </c>
      <c r="W26">
        <v>3</v>
      </c>
      <c r="Y26" s="6"/>
      <c r="Z26" s="6"/>
      <c r="AA26" s="6"/>
      <c r="AB26" s="6"/>
      <c r="AC26" s="6"/>
      <c r="AD26" s="6"/>
      <c r="AE26" s="6"/>
      <c r="AF26" s="6"/>
      <c r="AG26" s="6"/>
    </row>
    <row r="27" spans="1:33" x14ac:dyDescent="0.25">
      <c r="A27">
        <v>50.5</v>
      </c>
      <c r="B27" t="s">
        <v>46</v>
      </c>
      <c r="C27" t="s">
        <v>106</v>
      </c>
      <c r="D27">
        <v>2010</v>
      </c>
      <c r="E27">
        <v>1</v>
      </c>
      <c r="F27">
        <v>0.39600000000000002</v>
      </c>
      <c r="G27">
        <v>0.17499999999999999</v>
      </c>
      <c r="H27">
        <v>0.55000000000000004</v>
      </c>
      <c r="I27" s="26">
        <f>J27*O27</f>
        <v>1.103448275862069</v>
      </c>
      <c r="J27" s="26">
        <f>E27/(G27+H27)</f>
        <v>1.3793103448275861</v>
      </c>
      <c r="K27" s="26">
        <f>E27-G27*I27</f>
        <v>0.80689655172413799</v>
      </c>
      <c r="L27" s="26">
        <f>E27-G27*J27</f>
        <v>0.75862068965517249</v>
      </c>
      <c r="M27" s="27">
        <f>(E27+G27*I27)/F27</f>
        <v>3.0128874956461162</v>
      </c>
      <c r="N27" s="9">
        <f>$F27*(1+((1-$G27)/($H27+$G27))*($I27/$J27))</f>
        <v>0.75649655172413799</v>
      </c>
      <c r="O27" s="15">
        <v>0.8</v>
      </c>
      <c r="Q27" t="s">
        <v>204</v>
      </c>
      <c r="S27">
        <v>400</v>
      </c>
      <c r="T27">
        <v>3</v>
      </c>
      <c r="U27">
        <v>6000</v>
      </c>
      <c r="V27" s="29">
        <v>30</v>
      </c>
      <c r="W27">
        <v>3</v>
      </c>
      <c r="Y27" s="6"/>
      <c r="Z27" s="6"/>
      <c r="AA27" s="6"/>
      <c r="AB27" s="6"/>
      <c r="AC27" s="6"/>
      <c r="AD27" s="6"/>
      <c r="AE27" s="6"/>
      <c r="AF27" s="6"/>
      <c r="AG27" s="6"/>
    </row>
    <row r="28" spans="1:33" x14ac:dyDescent="0.25">
      <c r="A28">
        <v>51</v>
      </c>
      <c r="B28" t="s">
        <v>208</v>
      </c>
      <c r="C28" t="s">
        <v>107</v>
      </c>
      <c r="D28">
        <v>2020</v>
      </c>
      <c r="E28">
        <v>1</v>
      </c>
      <c r="F28">
        <v>0.41</v>
      </c>
      <c r="G28" t="s">
        <v>154</v>
      </c>
      <c r="H28" t="s">
        <v>154</v>
      </c>
      <c r="I28" t="s">
        <v>154</v>
      </c>
      <c r="J28" t="s">
        <v>154</v>
      </c>
      <c r="K28" t="s">
        <v>154</v>
      </c>
      <c r="L28" t="s">
        <v>154</v>
      </c>
      <c r="M28" t="s">
        <v>154</v>
      </c>
      <c r="N28" t="s">
        <v>154</v>
      </c>
      <c r="O28" t="s">
        <v>154</v>
      </c>
      <c r="P28">
        <v>1</v>
      </c>
      <c r="Q28">
        <v>1</v>
      </c>
      <c r="S28">
        <v>378</v>
      </c>
      <c r="T28">
        <v>4.5</v>
      </c>
      <c r="U28">
        <v>8068</v>
      </c>
      <c r="V28">
        <v>25</v>
      </c>
      <c r="W28">
        <v>1</v>
      </c>
      <c r="Y28" s="6"/>
      <c r="Z28" s="6"/>
      <c r="AA28" s="6"/>
      <c r="AB28" s="6"/>
      <c r="AC28" s="6"/>
      <c r="AD28" s="6"/>
      <c r="AE28" s="6"/>
      <c r="AF28" s="6"/>
      <c r="AG28" s="6"/>
    </row>
    <row r="29" spans="1:33" x14ac:dyDescent="0.25">
      <c r="A29">
        <v>52</v>
      </c>
      <c r="B29" t="s">
        <v>49</v>
      </c>
      <c r="C29" t="s">
        <v>109</v>
      </c>
      <c r="D29">
        <v>2020</v>
      </c>
      <c r="E29">
        <v>1</v>
      </c>
      <c r="F29">
        <v>0.47</v>
      </c>
      <c r="G29" t="s">
        <v>154</v>
      </c>
      <c r="H29" t="s">
        <v>154</v>
      </c>
      <c r="I29" t="s">
        <v>154</v>
      </c>
      <c r="J29" t="s">
        <v>154</v>
      </c>
      <c r="K29" t="s">
        <v>154</v>
      </c>
      <c r="L29" t="s">
        <v>154</v>
      </c>
      <c r="M29" t="s">
        <v>154</v>
      </c>
      <c r="N29" t="s">
        <v>154</v>
      </c>
      <c r="O29" t="s">
        <v>154</v>
      </c>
      <c r="Q29">
        <v>4</v>
      </c>
      <c r="S29">
        <v>800</v>
      </c>
      <c r="T29">
        <v>4</v>
      </c>
      <c r="U29">
        <v>25000</v>
      </c>
      <c r="V29">
        <v>25</v>
      </c>
      <c r="W29">
        <v>8</v>
      </c>
      <c r="Y29" s="6"/>
      <c r="Z29" s="6"/>
      <c r="AA29" s="6"/>
      <c r="AB29" s="6"/>
      <c r="AC29" s="6"/>
      <c r="AD29" s="6"/>
      <c r="AE29" s="6"/>
      <c r="AF29" s="6"/>
      <c r="AG29" s="6"/>
    </row>
    <row r="30" spans="1:33" x14ac:dyDescent="0.25">
      <c r="A30">
        <v>52.5</v>
      </c>
      <c r="B30" t="s">
        <v>140</v>
      </c>
      <c r="C30" t="s">
        <v>110</v>
      </c>
      <c r="D30">
        <v>2020</v>
      </c>
      <c r="E30">
        <v>1</v>
      </c>
      <c r="F30">
        <v>0.47</v>
      </c>
      <c r="G30">
        <v>0.187</v>
      </c>
      <c r="H30">
        <v>0.65</v>
      </c>
      <c r="I30" s="26">
        <f>J30*O30</f>
        <v>0.95579450418160106</v>
      </c>
      <c r="J30" s="26">
        <f>E30/(G30+H30)</f>
        <v>1.1947431302270013</v>
      </c>
      <c r="K30" s="26">
        <f>E30-G30*I30</f>
        <v>0.82126642771804059</v>
      </c>
      <c r="L30" s="26">
        <f>E30-G30*J30</f>
        <v>0.77658303464755074</v>
      </c>
      <c r="M30" s="27">
        <f>(E30+G30*I30)/F30</f>
        <v>2.5079437708126799</v>
      </c>
      <c r="N30" s="9">
        <f>$F30*(1+((1-$G30)/($H30+$G30))*($I30/$J30))</f>
        <v>0.83521863799283147</v>
      </c>
      <c r="O30" s="15">
        <v>0.8</v>
      </c>
      <c r="Q30" t="s">
        <v>204</v>
      </c>
      <c r="S30">
        <f>ROUND(S29/0.95,0)</f>
        <v>842</v>
      </c>
      <c r="T30">
        <v>4</v>
      </c>
      <c r="U30">
        <v>25000</v>
      </c>
      <c r="V30">
        <v>25</v>
      </c>
      <c r="W30" t="s">
        <v>222</v>
      </c>
      <c r="Y30" s="6"/>
      <c r="Z30" s="6"/>
      <c r="AA30" s="6"/>
      <c r="AB30" s="6"/>
      <c r="AC30" s="6"/>
      <c r="AD30" s="6"/>
      <c r="AE30" s="6"/>
      <c r="AF30" s="6"/>
      <c r="AG30" s="6"/>
    </row>
    <row r="31" spans="1:33" x14ac:dyDescent="0.25">
      <c r="A31">
        <v>60</v>
      </c>
      <c r="B31" t="s">
        <v>50</v>
      </c>
      <c r="C31" t="s">
        <v>111</v>
      </c>
      <c r="E31">
        <v>1</v>
      </c>
      <c r="F31" t="s">
        <v>154</v>
      </c>
      <c r="G31" t="s">
        <v>154</v>
      </c>
      <c r="H31" t="s">
        <v>154</v>
      </c>
      <c r="I31" t="s">
        <v>154</v>
      </c>
      <c r="J31" t="s">
        <v>154</v>
      </c>
      <c r="K31" t="s">
        <v>154</v>
      </c>
      <c r="L31" t="s">
        <v>154</v>
      </c>
      <c r="M31" t="s">
        <v>154</v>
      </c>
      <c r="N31" t="s">
        <v>154</v>
      </c>
      <c r="O31" t="s">
        <v>154</v>
      </c>
      <c r="S31">
        <v>3000</v>
      </c>
      <c r="T31">
        <v>0</v>
      </c>
      <c r="U31">
        <v>60000</v>
      </c>
      <c r="V31">
        <v>60</v>
      </c>
      <c r="W31" t="s">
        <v>221</v>
      </c>
      <c r="Y31" s="6"/>
      <c r="Z31" s="6"/>
      <c r="AA31" s="6"/>
      <c r="AB31" s="6"/>
      <c r="AC31" s="6"/>
      <c r="AD31" s="6"/>
      <c r="AE31" s="6"/>
      <c r="AF31" s="6"/>
      <c r="AG31" s="6"/>
    </row>
    <row r="32" spans="1:33" x14ac:dyDescent="0.25">
      <c r="A32">
        <v>61</v>
      </c>
      <c r="B32" t="s">
        <v>209</v>
      </c>
      <c r="C32" t="s">
        <v>112</v>
      </c>
      <c r="E32">
        <v>1</v>
      </c>
      <c r="F32" t="s">
        <v>154</v>
      </c>
      <c r="G32" t="s">
        <v>154</v>
      </c>
      <c r="H32" t="s">
        <v>154</v>
      </c>
      <c r="I32" t="s">
        <v>154</v>
      </c>
      <c r="J32" t="s">
        <v>154</v>
      </c>
      <c r="K32" t="s">
        <v>154</v>
      </c>
      <c r="L32" t="s">
        <v>154</v>
      </c>
      <c r="M32" t="s">
        <v>154</v>
      </c>
      <c r="N32" t="s">
        <v>154</v>
      </c>
      <c r="O32" t="s">
        <v>154</v>
      </c>
      <c r="S32">
        <v>2000</v>
      </c>
      <c r="T32">
        <v>0</v>
      </c>
      <c r="U32">
        <v>20000</v>
      </c>
      <c r="V32">
        <v>60</v>
      </c>
      <c r="W32" t="s">
        <v>221</v>
      </c>
      <c r="Y32" s="6"/>
      <c r="Z32" s="6"/>
      <c r="AA32" s="6"/>
      <c r="AB32" s="6"/>
      <c r="AC32" s="6"/>
      <c r="AD32" s="6"/>
      <c r="AE32" s="6"/>
      <c r="AF32" s="6"/>
      <c r="AG32" s="6"/>
    </row>
    <row r="33" spans="1:33" x14ac:dyDescent="0.25">
      <c r="A33">
        <v>63</v>
      </c>
      <c r="B33" t="s">
        <v>53</v>
      </c>
      <c r="C33" t="s">
        <v>113</v>
      </c>
      <c r="E33">
        <v>1</v>
      </c>
      <c r="F33" t="s">
        <v>154</v>
      </c>
      <c r="G33" t="s">
        <v>154</v>
      </c>
      <c r="H33" t="s">
        <v>154</v>
      </c>
      <c r="I33" t="s">
        <v>154</v>
      </c>
      <c r="J33" t="s">
        <v>154</v>
      </c>
      <c r="K33" t="s">
        <v>154</v>
      </c>
      <c r="L33" t="s">
        <v>154</v>
      </c>
      <c r="M33" t="s">
        <v>154</v>
      </c>
      <c r="N33" t="s">
        <v>154</v>
      </c>
      <c r="O33" t="s">
        <v>154</v>
      </c>
      <c r="S33">
        <v>2000</v>
      </c>
      <c r="T33">
        <v>0</v>
      </c>
      <c r="U33">
        <v>20000</v>
      </c>
      <c r="V33">
        <v>60</v>
      </c>
      <c r="W33" t="s">
        <v>221</v>
      </c>
      <c r="Y33" s="6"/>
      <c r="Z33" s="6"/>
      <c r="AA33" s="6"/>
      <c r="AB33" s="6"/>
      <c r="AC33" s="6"/>
      <c r="AD33" s="6"/>
      <c r="AE33" s="6"/>
      <c r="AF33" s="6"/>
      <c r="AG33" s="6"/>
    </row>
    <row r="34" spans="1:33" x14ac:dyDescent="0.25">
      <c r="A34">
        <v>70</v>
      </c>
      <c r="B34" t="s">
        <v>54</v>
      </c>
      <c r="C34" t="s">
        <v>114</v>
      </c>
      <c r="D34">
        <v>2030</v>
      </c>
      <c r="E34">
        <v>1</v>
      </c>
      <c r="F34">
        <v>0.29599999999999999</v>
      </c>
      <c r="G34" t="s">
        <v>154</v>
      </c>
      <c r="H34" t="s">
        <v>154</v>
      </c>
      <c r="I34" t="s">
        <v>154</v>
      </c>
      <c r="J34" t="s">
        <v>154</v>
      </c>
      <c r="K34" t="s">
        <v>154</v>
      </c>
      <c r="L34" t="s">
        <v>154</v>
      </c>
      <c r="M34" t="s">
        <v>154</v>
      </c>
      <c r="N34" t="s">
        <v>154</v>
      </c>
      <c r="O34" t="s">
        <v>154</v>
      </c>
      <c r="Q34">
        <v>1</v>
      </c>
      <c r="S34">
        <f>0.95*S35</f>
        <v>3230</v>
      </c>
      <c r="T34">
        <f>T35</f>
        <v>3.8</v>
      </c>
      <c r="U34">
        <f>0.95*U35</f>
        <v>92720</v>
      </c>
      <c r="V34">
        <f>V35</f>
        <v>25</v>
      </c>
      <c r="W34">
        <v>1</v>
      </c>
      <c r="Y34" s="6"/>
      <c r="Z34" s="6"/>
      <c r="AA34" s="6"/>
      <c r="AB34" s="6"/>
      <c r="AC34" s="6"/>
      <c r="AD34" s="6"/>
      <c r="AE34" s="6"/>
      <c r="AF34" s="6"/>
      <c r="AG34" s="6"/>
    </row>
    <row r="35" spans="1:33" x14ac:dyDescent="0.25">
      <c r="A35">
        <v>70.5</v>
      </c>
      <c r="B35" t="s">
        <v>55</v>
      </c>
      <c r="C35" t="s">
        <v>115</v>
      </c>
      <c r="D35">
        <v>2030</v>
      </c>
      <c r="E35">
        <v>1</v>
      </c>
      <c r="F35">
        <v>0.29599999999999999</v>
      </c>
      <c r="G35">
        <v>1</v>
      </c>
      <c r="H35">
        <v>0.36</v>
      </c>
      <c r="I35" s="27">
        <f t="shared" ref="I35" si="5">J35*O35</f>
        <v>0.58823529411764708</v>
      </c>
      <c r="J35" s="27">
        <f t="shared" ref="J35" si="6">E35/(G35+H35)</f>
        <v>0.73529411764705888</v>
      </c>
      <c r="K35" s="27">
        <f t="shared" ref="K35" si="7">E35-G35*I35</f>
        <v>0.41176470588235292</v>
      </c>
      <c r="L35" s="27">
        <f t="shared" ref="L35" si="8">E35-G35*J35</f>
        <v>0.26470588235294112</v>
      </c>
      <c r="M35" s="27">
        <f t="shared" ref="M35" si="9">(E35+G35*I35)/F35</f>
        <v>5.3656597774244839</v>
      </c>
      <c r="N35" s="9">
        <f>$F35*(1+((1-$G35)/($H35+$G35))*($I35/$J35))</f>
        <v>0.29599999999999999</v>
      </c>
      <c r="O35">
        <v>0.8</v>
      </c>
      <c r="Q35">
        <v>1</v>
      </c>
      <c r="S35">
        <v>3400</v>
      </c>
      <c r="T35">
        <v>3.8</v>
      </c>
      <c r="U35">
        <v>97600</v>
      </c>
      <c r="V35">
        <v>25</v>
      </c>
      <c r="W35">
        <v>1</v>
      </c>
      <c r="Y35" s="6"/>
      <c r="Z35" s="6"/>
      <c r="AA35" s="6"/>
      <c r="AB35" s="6"/>
      <c r="AC35" s="6"/>
      <c r="AD35" s="6"/>
      <c r="AE35" s="6"/>
      <c r="AF35" s="6"/>
      <c r="AG35" s="6"/>
    </row>
    <row r="36" spans="1:33" x14ac:dyDescent="0.25">
      <c r="A36">
        <v>100</v>
      </c>
      <c r="B36" t="s">
        <v>210</v>
      </c>
      <c r="C36" t="s">
        <v>116</v>
      </c>
      <c r="D36">
        <v>2020</v>
      </c>
      <c r="E36">
        <v>1</v>
      </c>
      <c r="F36">
        <v>3.6</v>
      </c>
      <c r="G36" t="s">
        <v>154</v>
      </c>
      <c r="H36" t="s">
        <v>154</v>
      </c>
      <c r="I36" t="s">
        <v>154</v>
      </c>
      <c r="J36" t="s">
        <v>154</v>
      </c>
      <c r="K36" t="s">
        <v>154</v>
      </c>
      <c r="L36" t="s">
        <v>154</v>
      </c>
      <c r="M36" t="s">
        <v>154</v>
      </c>
      <c r="N36" t="s">
        <v>154</v>
      </c>
      <c r="O36" t="s">
        <v>154</v>
      </c>
      <c r="P36">
        <v>1</v>
      </c>
      <c r="Q36">
        <v>1</v>
      </c>
      <c r="S36">
        <v>660</v>
      </c>
      <c r="T36">
        <v>1.8</v>
      </c>
      <c r="U36">
        <v>2000</v>
      </c>
      <c r="V36">
        <v>25</v>
      </c>
      <c r="W36">
        <v>1</v>
      </c>
      <c r="Y36" s="6"/>
      <c r="Z36" s="6"/>
      <c r="AA36" s="6"/>
      <c r="AB36" s="6"/>
      <c r="AC36" s="6"/>
      <c r="AD36" s="6"/>
      <c r="AE36" s="6"/>
      <c r="AF36" s="6"/>
      <c r="AG36" s="6"/>
    </row>
    <row r="37" spans="1:33" x14ac:dyDescent="0.25">
      <c r="A37">
        <v>101</v>
      </c>
      <c r="B37" t="s">
        <v>211</v>
      </c>
      <c r="C37" t="s">
        <v>212</v>
      </c>
      <c r="D37">
        <v>2020</v>
      </c>
      <c r="E37">
        <v>1</v>
      </c>
      <c r="F37">
        <v>1.71</v>
      </c>
      <c r="G37" t="s">
        <v>154</v>
      </c>
      <c r="H37" t="s">
        <v>154</v>
      </c>
      <c r="I37" s="27" t="s">
        <v>154</v>
      </c>
      <c r="J37" s="27" t="s">
        <v>154</v>
      </c>
      <c r="K37" s="27" t="s">
        <v>154</v>
      </c>
      <c r="L37" s="27" t="s">
        <v>154</v>
      </c>
      <c r="M37" s="27" t="s">
        <v>154</v>
      </c>
      <c r="N37" s="9" t="s">
        <v>154</v>
      </c>
      <c r="O37" t="s">
        <v>154</v>
      </c>
      <c r="P37">
        <v>1</v>
      </c>
      <c r="Q37">
        <v>1</v>
      </c>
      <c r="S37">
        <v>560</v>
      </c>
      <c r="T37">
        <v>0.28000000000000003</v>
      </c>
      <c r="U37">
        <v>2000</v>
      </c>
      <c r="V37">
        <v>25</v>
      </c>
      <c r="W37">
        <v>1</v>
      </c>
      <c r="Y37" s="6"/>
      <c r="Z37" s="6"/>
      <c r="AA37" s="6"/>
      <c r="AB37" s="6"/>
      <c r="AC37" s="6"/>
      <c r="AD37" s="6"/>
      <c r="AE37" s="6"/>
      <c r="AF37" s="6"/>
      <c r="AG37" s="6"/>
    </row>
    <row r="38" spans="1:33" x14ac:dyDescent="0.25">
      <c r="A38">
        <v>102</v>
      </c>
      <c r="B38" t="s">
        <v>213</v>
      </c>
      <c r="C38" t="s">
        <v>214</v>
      </c>
      <c r="D38">
        <v>2020</v>
      </c>
      <c r="E38">
        <v>1</v>
      </c>
      <c r="F38">
        <v>0.99</v>
      </c>
      <c r="G38" t="s">
        <v>154</v>
      </c>
      <c r="H38" t="s">
        <v>154</v>
      </c>
      <c r="I38" t="s">
        <v>154</v>
      </c>
      <c r="J38" t="s">
        <v>154</v>
      </c>
      <c r="K38" t="s">
        <v>154</v>
      </c>
      <c r="L38" t="s">
        <v>154</v>
      </c>
      <c r="M38" t="s">
        <v>154</v>
      </c>
      <c r="N38" t="s">
        <v>154</v>
      </c>
      <c r="O38" t="s">
        <v>154</v>
      </c>
      <c r="P38">
        <v>1</v>
      </c>
      <c r="Q38">
        <v>1</v>
      </c>
      <c r="S38">
        <v>150</v>
      </c>
      <c r="T38">
        <v>0.5</v>
      </c>
      <c r="U38">
        <v>1070</v>
      </c>
      <c r="W38">
        <v>1</v>
      </c>
      <c r="Y38" s="6"/>
      <c r="Z38" s="6"/>
      <c r="AA38" s="6"/>
      <c r="AB38" s="6"/>
      <c r="AC38" s="6"/>
      <c r="AD38" s="6"/>
      <c r="AE38" s="6"/>
      <c r="AF38" s="6"/>
      <c r="AG38" s="6"/>
    </row>
  </sheetData>
  <pageMargins left="0.7" right="0.7" top="0.78740157499999996" bottom="0.78740157499999996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D314-E06C-4AC0-8DDE-77CC4444BECC}">
  <dimension ref="A1:I1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0" sqref="H10"/>
    </sheetView>
  </sheetViews>
  <sheetFormatPr baseColWidth="10" defaultRowHeight="15" x14ac:dyDescent="0.25"/>
  <cols>
    <col min="1" max="4" width="11.42578125" style="5"/>
    <col min="5" max="5" width="11.42578125" style="17"/>
  </cols>
  <sheetData>
    <row r="1" spans="1:6" x14ac:dyDescent="0.25">
      <c r="A1" s="4" t="s">
        <v>18</v>
      </c>
      <c r="B1" s="4" t="s">
        <v>57</v>
      </c>
      <c r="C1" s="4" t="s">
        <v>138</v>
      </c>
      <c r="D1" s="4" t="s">
        <v>139</v>
      </c>
      <c r="E1" s="16" t="s">
        <v>58</v>
      </c>
      <c r="F1" s="16"/>
    </row>
    <row r="2" spans="1:6" x14ac:dyDescent="0.25">
      <c r="A2" s="4">
        <v>10</v>
      </c>
      <c r="B2" s="4" t="s">
        <v>59</v>
      </c>
      <c r="C2" s="5">
        <v>1</v>
      </c>
      <c r="D2" s="5">
        <v>0</v>
      </c>
      <c r="E2" s="17">
        <v>1</v>
      </c>
    </row>
    <row r="3" spans="1:6" x14ac:dyDescent="0.25">
      <c r="A3" s="4">
        <v>10</v>
      </c>
      <c r="B3" s="4" t="s">
        <v>60</v>
      </c>
      <c r="C3" s="5">
        <v>0.8</v>
      </c>
      <c r="D3" s="5">
        <v>0</v>
      </c>
      <c r="E3" s="17">
        <v>0.83330000000000004</v>
      </c>
    </row>
    <row r="4" spans="1:6" x14ac:dyDescent="0.25">
      <c r="A4" s="4">
        <v>10</v>
      </c>
      <c r="B4" s="4" t="s">
        <v>61</v>
      </c>
      <c r="C4" s="5">
        <v>0.5</v>
      </c>
      <c r="D4" s="5">
        <v>0</v>
      </c>
      <c r="E4" s="17">
        <v>0.54049999999999998</v>
      </c>
    </row>
    <row r="5" spans="1:6" x14ac:dyDescent="0.25">
      <c r="A5" s="4">
        <v>10</v>
      </c>
      <c r="B5" s="4" t="s">
        <v>62</v>
      </c>
      <c r="C5" s="5">
        <v>0</v>
      </c>
      <c r="D5" s="5">
        <v>0</v>
      </c>
      <c r="E5" s="17">
        <v>0</v>
      </c>
    </row>
    <row r="6" spans="1:6" x14ac:dyDescent="0.25">
      <c r="A6" s="4">
        <v>20</v>
      </c>
      <c r="B6" s="4" t="s">
        <v>59</v>
      </c>
      <c r="C6" s="5">
        <v>1</v>
      </c>
      <c r="D6" s="5">
        <v>0</v>
      </c>
      <c r="E6" s="17">
        <v>1</v>
      </c>
    </row>
    <row r="7" spans="1:6" x14ac:dyDescent="0.25">
      <c r="A7" s="4">
        <v>20</v>
      </c>
      <c r="B7" s="4" t="s">
        <v>60</v>
      </c>
      <c r="C7" s="5">
        <v>0.87</v>
      </c>
      <c r="D7" s="5">
        <v>0</v>
      </c>
      <c r="E7" s="17">
        <v>0.90629999999999999</v>
      </c>
    </row>
    <row r="8" spans="1:6" x14ac:dyDescent="0.25">
      <c r="A8" s="4">
        <v>20</v>
      </c>
      <c r="B8" s="4" t="s">
        <v>61</v>
      </c>
      <c r="C8" s="5">
        <v>0.55000000000000004</v>
      </c>
      <c r="D8" s="5">
        <v>0</v>
      </c>
      <c r="E8" s="17">
        <v>0.59460000000000002</v>
      </c>
    </row>
    <row r="9" spans="1:6" x14ac:dyDescent="0.25">
      <c r="A9" s="4">
        <v>20</v>
      </c>
      <c r="B9" s="4" t="s">
        <v>62</v>
      </c>
      <c r="C9" s="5">
        <v>0</v>
      </c>
      <c r="D9" s="5">
        <v>0</v>
      </c>
      <c r="E9" s="17">
        <v>0</v>
      </c>
    </row>
    <row r="10" spans="1:6" x14ac:dyDescent="0.25">
      <c r="A10" s="4">
        <v>20.5</v>
      </c>
      <c r="B10" s="4" t="s">
        <v>59</v>
      </c>
      <c r="C10" s="5">
        <v>1</v>
      </c>
      <c r="D10" s="5">
        <v>0</v>
      </c>
      <c r="E10" s="17">
        <v>1</v>
      </c>
    </row>
    <row r="11" spans="1:6" x14ac:dyDescent="0.25">
      <c r="A11" s="4">
        <v>20.5</v>
      </c>
      <c r="B11" s="4" t="s">
        <v>60</v>
      </c>
      <c r="C11" s="5">
        <v>0.875</v>
      </c>
      <c r="D11" s="5">
        <v>0.55000000000000004</v>
      </c>
      <c r="E11" s="17">
        <v>1</v>
      </c>
    </row>
    <row r="12" spans="1:6" x14ac:dyDescent="0.25">
      <c r="A12" s="4">
        <v>20.5</v>
      </c>
      <c r="B12" s="4" t="s">
        <v>61</v>
      </c>
      <c r="C12" s="5">
        <v>0</v>
      </c>
      <c r="D12" s="5">
        <v>0.28999999999999998</v>
      </c>
      <c r="E12" s="17">
        <f>ROUND(D12/0.85,2)</f>
        <v>0.34</v>
      </c>
    </row>
    <row r="13" spans="1:6" x14ac:dyDescent="0.25">
      <c r="A13" s="4">
        <v>20.5</v>
      </c>
      <c r="B13" s="4" t="s">
        <v>62</v>
      </c>
      <c r="C13" s="5">
        <v>0</v>
      </c>
      <c r="D13" s="5">
        <v>0</v>
      </c>
      <c r="E13" s="17">
        <v>0</v>
      </c>
    </row>
    <row r="14" spans="1:6" x14ac:dyDescent="0.25">
      <c r="A14" s="4">
        <v>21</v>
      </c>
      <c r="B14" s="4" t="s">
        <v>59</v>
      </c>
      <c r="C14" s="5">
        <v>1</v>
      </c>
      <c r="D14" s="5">
        <v>0</v>
      </c>
      <c r="E14" s="17">
        <v>1</v>
      </c>
    </row>
    <row r="15" spans="1:6" x14ac:dyDescent="0.25">
      <c r="A15" s="4">
        <v>21</v>
      </c>
      <c r="B15" s="4" t="s">
        <v>60</v>
      </c>
      <c r="C15" s="5">
        <v>0.89</v>
      </c>
      <c r="D15" s="5">
        <v>0</v>
      </c>
      <c r="E15" s="17">
        <v>0.92710000000000004</v>
      </c>
    </row>
    <row r="16" spans="1:6" x14ac:dyDescent="0.25">
      <c r="A16" s="4">
        <v>21</v>
      </c>
      <c r="B16" s="4" t="s">
        <v>61</v>
      </c>
      <c r="C16" s="5">
        <v>0.35</v>
      </c>
      <c r="D16" s="5">
        <v>0</v>
      </c>
      <c r="E16" s="17">
        <v>0.37840000000000001</v>
      </c>
    </row>
    <row r="17" spans="1:9" x14ac:dyDescent="0.25">
      <c r="A17" s="4">
        <v>21</v>
      </c>
      <c r="B17" s="4" t="s">
        <v>62</v>
      </c>
      <c r="C17" s="5">
        <v>0</v>
      </c>
      <c r="D17" s="5">
        <v>0</v>
      </c>
      <c r="E17" s="17">
        <v>0</v>
      </c>
    </row>
    <row r="18" spans="1:9" x14ac:dyDescent="0.25">
      <c r="A18" s="4">
        <v>21.5</v>
      </c>
      <c r="B18" s="4" t="s">
        <v>59</v>
      </c>
      <c r="C18" s="5">
        <v>1</v>
      </c>
      <c r="D18" s="5">
        <v>0</v>
      </c>
      <c r="E18" s="17">
        <v>1</v>
      </c>
      <c r="G18" s="17"/>
      <c r="H18" s="17"/>
      <c r="I18" s="17"/>
    </row>
    <row r="19" spans="1:9" x14ac:dyDescent="0.25">
      <c r="A19" s="4">
        <v>21.5</v>
      </c>
      <c r="B19" s="4" t="s">
        <v>60</v>
      </c>
      <c r="C19" s="5">
        <v>0.88</v>
      </c>
      <c r="D19" s="5">
        <v>0.6</v>
      </c>
      <c r="E19" s="17">
        <v>0.97499999999999998</v>
      </c>
    </row>
    <row r="20" spans="1:9" x14ac:dyDescent="0.25">
      <c r="A20" s="4">
        <v>21.5</v>
      </c>
      <c r="B20" s="4" t="s">
        <v>61</v>
      </c>
      <c r="C20" s="5">
        <v>0</v>
      </c>
      <c r="D20" s="5">
        <v>0.52500000000000002</v>
      </c>
      <c r="E20" s="17">
        <f>ROUND(D20/0.85,2)</f>
        <v>0.62</v>
      </c>
    </row>
    <row r="21" spans="1:9" x14ac:dyDescent="0.25">
      <c r="A21" s="4">
        <v>21.5</v>
      </c>
      <c r="B21" s="4" t="s">
        <v>62</v>
      </c>
      <c r="C21" s="5">
        <v>0</v>
      </c>
      <c r="D21" s="5">
        <v>0</v>
      </c>
      <c r="E21" s="17">
        <v>0</v>
      </c>
      <c r="G21" s="17"/>
      <c r="H21" s="17"/>
      <c r="I21" s="17"/>
    </row>
    <row r="22" spans="1:9" x14ac:dyDescent="0.25">
      <c r="A22" s="4">
        <v>30</v>
      </c>
      <c r="B22" s="4" t="s">
        <v>59</v>
      </c>
      <c r="C22" s="5">
        <v>1</v>
      </c>
      <c r="D22" s="5">
        <v>0</v>
      </c>
      <c r="E22" s="17">
        <v>1</v>
      </c>
    </row>
    <row r="23" spans="1:9" x14ac:dyDescent="0.25">
      <c r="A23" s="4">
        <v>30</v>
      </c>
      <c r="B23" s="4" t="s">
        <v>60</v>
      </c>
      <c r="C23" s="5">
        <v>0.9</v>
      </c>
      <c r="D23" s="5">
        <v>0</v>
      </c>
      <c r="E23" s="17">
        <v>0.9375</v>
      </c>
    </row>
    <row r="24" spans="1:9" x14ac:dyDescent="0.25">
      <c r="A24" s="4">
        <v>30</v>
      </c>
      <c r="B24" s="4" t="s">
        <v>61</v>
      </c>
      <c r="C24" s="5">
        <v>0.52500000000000002</v>
      </c>
      <c r="D24" s="5">
        <v>0</v>
      </c>
      <c r="E24" s="17">
        <v>0.56759999999999999</v>
      </c>
    </row>
    <row r="25" spans="1:9" x14ac:dyDescent="0.25">
      <c r="A25" s="4">
        <v>30</v>
      </c>
      <c r="B25" s="4" t="s">
        <v>62</v>
      </c>
      <c r="C25" s="5">
        <v>0</v>
      </c>
      <c r="D25" s="5">
        <v>0</v>
      </c>
      <c r="E25" s="17">
        <v>0</v>
      </c>
    </row>
    <row r="26" spans="1:9" x14ac:dyDescent="0.25">
      <c r="A26" s="4">
        <v>30.5</v>
      </c>
      <c r="B26" s="4" t="s">
        <v>59</v>
      </c>
      <c r="C26" s="5">
        <v>1</v>
      </c>
      <c r="D26" s="5">
        <v>0</v>
      </c>
      <c r="E26" s="17">
        <v>1</v>
      </c>
    </row>
    <row r="27" spans="1:9" x14ac:dyDescent="0.25">
      <c r="A27" s="4">
        <v>30.5</v>
      </c>
      <c r="B27" s="4" t="s">
        <v>60</v>
      </c>
      <c r="C27" s="5">
        <v>0.875</v>
      </c>
      <c r="D27" s="5">
        <v>0.55000000000000004</v>
      </c>
      <c r="E27" s="17">
        <v>0.97499999999999998</v>
      </c>
    </row>
    <row r="28" spans="1:9" x14ac:dyDescent="0.25">
      <c r="A28" s="4">
        <v>30.5</v>
      </c>
      <c r="B28" s="4" t="s">
        <v>61</v>
      </c>
      <c r="C28" s="5">
        <v>0</v>
      </c>
      <c r="D28" s="5">
        <v>0.24999999999999992</v>
      </c>
      <c r="E28" s="17">
        <f>ROUND(D28/0.85,2)</f>
        <v>0.28999999999999998</v>
      </c>
    </row>
    <row r="29" spans="1:9" x14ac:dyDescent="0.25">
      <c r="A29" s="4">
        <v>30.5</v>
      </c>
      <c r="B29" s="4" t="s">
        <v>62</v>
      </c>
      <c r="C29" s="5">
        <v>0</v>
      </c>
      <c r="D29" s="5">
        <v>0</v>
      </c>
      <c r="E29" s="17">
        <v>0</v>
      </c>
    </row>
    <row r="30" spans="1:9" x14ac:dyDescent="0.25">
      <c r="A30" s="4">
        <v>31</v>
      </c>
      <c r="B30" s="4" t="s">
        <v>59</v>
      </c>
      <c r="C30" s="5">
        <v>1</v>
      </c>
      <c r="D30" s="5">
        <v>0</v>
      </c>
      <c r="E30" s="17">
        <v>1</v>
      </c>
    </row>
    <row r="31" spans="1:9" x14ac:dyDescent="0.25">
      <c r="A31" s="4">
        <v>31</v>
      </c>
      <c r="B31" s="4" t="s">
        <v>60</v>
      </c>
      <c r="C31" s="5">
        <v>0.875</v>
      </c>
      <c r="D31" s="5">
        <v>0</v>
      </c>
      <c r="E31" s="17">
        <v>0.91149999999999998</v>
      </c>
    </row>
    <row r="32" spans="1:9" x14ac:dyDescent="0.25">
      <c r="A32" s="4">
        <v>31</v>
      </c>
      <c r="B32" s="4" t="s">
        <v>61</v>
      </c>
      <c r="C32" s="5">
        <v>0.4</v>
      </c>
      <c r="D32" s="5">
        <v>0</v>
      </c>
      <c r="E32" s="17">
        <v>0.43240000000000001</v>
      </c>
    </row>
    <row r="33" spans="1:5" x14ac:dyDescent="0.25">
      <c r="A33" s="4">
        <v>31</v>
      </c>
      <c r="B33" s="4" t="s">
        <v>62</v>
      </c>
      <c r="C33" s="5">
        <v>0</v>
      </c>
      <c r="D33" s="5">
        <v>0</v>
      </c>
      <c r="E33" s="17">
        <v>0</v>
      </c>
    </row>
    <row r="34" spans="1:5" x14ac:dyDescent="0.25">
      <c r="A34" s="4">
        <v>31.5</v>
      </c>
      <c r="B34" s="4" t="s">
        <v>59</v>
      </c>
      <c r="C34" s="5">
        <v>1</v>
      </c>
      <c r="D34" s="5">
        <v>0</v>
      </c>
      <c r="E34" s="17">
        <v>1</v>
      </c>
    </row>
    <row r="35" spans="1:5" x14ac:dyDescent="0.25">
      <c r="A35" s="4">
        <v>31.5</v>
      </c>
      <c r="B35" s="4" t="s">
        <v>60</v>
      </c>
      <c r="C35" s="5">
        <v>0.875</v>
      </c>
      <c r="D35" s="5">
        <v>0.57499999999999996</v>
      </c>
      <c r="E35" s="17">
        <v>0.97499999999999998</v>
      </c>
    </row>
    <row r="36" spans="1:5" x14ac:dyDescent="0.25">
      <c r="A36" s="4">
        <v>31.5</v>
      </c>
      <c r="B36" s="4" t="s">
        <v>61</v>
      </c>
      <c r="C36" s="5">
        <v>0</v>
      </c>
      <c r="D36" s="5">
        <v>0.25</v>
      </c>
      <c r="E36" s="17">
        <f>ROUND(D36/0.85,2)</f>
        <v>0.28999999999999998</v>
      </c>
    </row>
    <row r="37" spans="1:5" x14ac:dyDescent="0.25">
      <c r="A37" s="4">
        <v>31.5</v>
      </c>
      <c r="B37" s="4" t="s">
        <v>62</v>
      </c>
      <c r="C37" s="5">
        <v>0</v>
      </c>
      <c r="D37" s="5">
        <v>0</v>
      </c>
      <c r="E37" s="17">
        <v>0</v>
      </c>
    </row>
    <row r="38" spans="1:5" x14ac:dyDescent="0.25">
      <c r="A38" s="4">
        <v>32</v>
      </c>
      <c r="B38" s="4" t="s">
        <v>59</v>
      </c>
      <c r="C38" s="5">
        <v>1</v>
      </c>
      <c r="D38" s="5">
        <v>0</v>
      </c>
      <c r="E38" s="17">
        <v>1</v>
      </c>
    </row>
    <row r="39" spans="1:5" x14ac:dyDescent="0.25">
      <c r="A39" s="4">
        <v>32</v>
      </c>
      <c r="B39" s="4" t="s">
        <v>60</v>
      </c>
      <c r="C39" s="5">
        <v>0.85</v>
      </c>
      <c r="D39" s="5">
        <v>0</v>
      </c>
      <c r="E39" s="17">
        <v>0.88539999999999996</v>
      </c>
    </row>
    <row r="40" spans="1:5" x14ac:dyDescent="0.25">
      <c r="A40" s="4">
        <v>32</v>
      </c>
      <c r="B40" s="4" t="s">
        <v>61</v>
      </c>
      <c r="C40" s="5">
        <v>0.35</v>
      </c>
      <c r="D40" s="5">
        <v>0</v>
      </c>
      <c r="E40" s="17">
        <v>0.37840000000000001</v>
      </c>
    </row>
    <row r="41" spans="1:5" x14ac:dyDescent="0.25">
      <c r="A41" s="4">
        <v>32</v>
      </c>
      <c r="B41" s="4" t="s">
        <v>62</v>
      </c>
      <c r="C41" s="5">
        <v>0</v>
      </c>
      <c r="D41" s="5">
        <v>0</v>
      </c>
      <c r="E41" s="17">
        <v>0</v>
      </c>
    </row>
    <row r="42" spans="1:5" x14ac:dyDescent="0.25">
      <c r="A42" s="4">
        <v>32.5</v>
      </c>
      <c r="B42" s="4" t="s">
        <v>59</v>
      </c>
      <c r="C42" s="5">
        <v>1</v>
      </c>
      <c r="D42" s="5">
        <v>0</v>
      </c>
      <c r="E42" s="17">
        <v>1</v>
      </c>
    </row>
    <row r="43" spans="1:5" x14ac:dyDescent="0.25">
      <c r="A43" s="4">
        <v>32.5</v>
      </c>
      <c r="B43" s="4" t="s">
        <v>60</v>
      </c>
      <c r="C43" s="5">
        <v>0.88</v>
      </c>
      <c r="D43" s="5">
        <v>0.6</v>
      </c>
      <c r="E43" s="17">
        <v>0.97499999999999998</v>
      </c>
    </row>
    <row r="44" spans="1:5" x14ac:dyDescent="0.25">
      <c r="A44" s="4">
        <v>32.5</v>
      </c>
      <c r="B44" s="4" t="s">
        <v>61</v>
      </c>
      <c r="C44" s="5">
        <v>0</v>
      </c>
      <c r="D44" s="5">
        <v>0.26874999999999993</v>
      </c>
      <c r="E44" s="17">
        <f>ROUND(D44/0.85,2)</f>
        <v>0.32</v>
      </c>
    </row>
    <row r="45" spans="1:5" x14ac:dyDescent="0.25">
      <c r="A45" s="4">
        <v>32.5</v>
      </c>
      <c r="B45" s="4" t="s">
        <v>62</v>
      </c>
      <c r="C45" s="5">
        <v>0</v>
      </c>
      <c r="D45" s="5">
        <v>0</v>
      </c>
      <c r="E45" s="17">
        <v>0</v>
      </c>
    </row>
    <row r="46" spans="1:5" x14ac:dyDescent="0.25">
      <c r="A46" s="4">
        <v>33</v>
      </c>
      <c r="B46" s="4" t="s">
        <v>59</v>
      </c>
      <c r="C46" s="5">
        <v>1</v>
      </c>
      <c r="D46" s="5">
        <v>0</v>
      </c>
      <c r="E46" s="17">
        <v>1</v>
      </c>
    </row>
    <row r="47" spans="1:5" x14ac:dyDescent="0.25">
      <c r="A47" s="4">
        <v>33</v>
      </c>
      <c r="B47" s="4" t="s">
        <v>60</v>
      </c>
      <c r="C47" s="5">
        <v>0.8</v>
      </c>
      <c r="D47" s="5">
        <v>0</v>
      </c>
      <c r="E47" s="17">
        <v>0.83330000000000004</v>
      </c>
    </row>
    <row r="48" spans="1:5" x14ac:dyDescent="0.25">
      <c r="A48" s="4">
        <v>33</v>
      </c>
      <c r="B48" s="4" t="s">
        <v>61</v>
      </c>
      <c r="C48" s="5">
        <v>0.3</v>
      </c>
      <c r="D48" s="5">
        <v>0</v>
      </c>
      <c r="E48" s="17">
        <v>0.32429999999999998</v>
      </c>
    </row>
    <row r="49" spans="1:5" x14ac:dyDescent="0.25">
      <c r="A49" s="4">
        <v>33</v>
      </c>
      <c r="B49" s="4" t="s">
        <v>62</v>
      </c>
      <c r="C49" s="5">
        <v>0</v>
      </c>
      <c r="D49" s="5">
        <v>0</v>
      </c>
      <c r="E49" s="17">
        <v>0</v>
      </c>
    </row>
    <row r="50" spans="1:5" x14ac:dyDescent="0.25">
      <c r="A50" s="4">
        <v>40</v>
      </c>
      <c r="B50" s="4" t="s">
        <v>59</v>
      </c>
      <c r="C50" s="5">
        <v>1</v>
      </c>
      <c r="D50" s="5">
        <v>0</v>
      </c>
      <c r="E50" s="17">
        <v>1</v>
      </c>
    </row>
    <row r="51" spans="1:5" x14ac:dyDescent="0.25">
      <c r="A51" s="4">
        <v>40</v>
      </c>
      <c r="B51" s="4" t="s">
        <v>60</v>
      </c>
      <c r="C51" s="5">
        <v>0.88</v>
      </c>
      <c r="D51" s="5">
        <v>0</v>
      </c>
      <c r="E51" s="17">
        <v>0.91669999999999996</v>
      </c>
    </row>
    <row r="52" spans="1:5" x14ac:dyDescent="0.25">
      <c r="A52" s="4">
        <v>40</v>
      </c>
      <c r="B52" s="4" t="s">
        <v>61</v>
      </c>
      <c r="C52" s="5">
        <v>0.6</v>
      </c>
      <c r="D52" s="5">
        <v>0</v>
      </c>
      <c r="E52" s="17">
        <v>0.64859999999999995</v>
      </c>
    </row>
    <row r="53" spans="1:5" x14ac:dyDescent="0.25">
      <c r="A53" s="4">
        <v>40</v>
      </c>
      <c r="B53" s="4" t="s">
        <v>62</v>
      </c>
      <c r="C53" s="5">
        <v>0</v>
      </c>
      <c r="D53" s="5">
        <v>0</v>
      </c>
      <c r="E53" s="17">
        <v>0</v>
      </c>
    </row>
    <row r="54" spans="1:5" x14ac:dyDescent="0.25">
      <c r="A54" s="4">
        <v>40.5</v>
      </c>
      <c r="B54" s="4" t="s">
        <v>59</v>
      </c>
      <c r="C54" s="5">
        <v>1</v>
      </c>
      <c r="D54" s="5">
        <v>0</v>
      </c>
      <c r="E54" s="17">
        <v>1</v>
      </c>
    </row>
    <row r="55" spans="1:5" x14ac:dyDescent="0.25">
      <c r="A55" s="4">
        <v>40.5</v>
      </c>
      <c r="B55" s="4" t="s">
        <v>60</v>
      </c>
      <c r="C55" s="5">
        <v>0.55000000000000004</v>
      </c>
      <c r="D55" s="5">
        <v>1.2</v>
      </c>
      <c r="E55" s="17">
        <v>1</v>
      </c>
    </row>
    <row r="56" spans="1:5" x14ac:dyDescent="0.25">
      <c r="A56" s="4">
        <v>40.5</v>
      </c>
      <c r="B56" s="4" t="s">
        <v>61</v>
      </c>
      <c r="C56" s="5">
        <v>0</v>
      </c>
      <c r="D56" s="5">
        <v>0.54</v>
      </c>
      <c r="E56" s="17">
        <f>ROUND(D56/0.85,2)</f>
        <v>0.64</v>
      </c>
    </row>
    <row r="57" spans="1:5" x14ac:dyDescent="0.25">
      <c r="A57" s="4">
        <v>40.5</v>
      </c>
      <c r="B57" s="4" t="s">
        <v>62</v>
      </c>
      <c r="C57" s="5">
        <v>0</v>
      </c>
      <c r="D57" s="5">
        <v>0</v>
      </c>
      <c r="E57" s="17">
        <v>0</v>
      </c>
    </row>
    <row r="58" spans="1:5" x14ac:dyDescent="0.25">
      <c r="A58" s="4">
        <v>41</v>
      </c>
      <c r="B58" s="4" t="s">
        <v>59</v>
      </c>
      <c r="C58" s="5">
        <v>1</v>
      </c>
      <c r="D58" s="5">
        <v>0</v>
      </c>
      <c r="E58" s="17">
        <v>1</v>
      </c>
    </row>
    <row r="59" spans="1:5" x14ac:dyDescent="0.25">
      <c r="A59" s="4">
        <v>41</v>
      </c>
      <c r="B59" s="4" t="s">
        <v>60</v>
      </c>
      <c r="C59" s="5">
        <v>0.8</v>
      </c>
      <c r="D59" s="5">
        <v>0</v>
      </c>
      <c r="E59" s="17">
        <v>0.83330000000000004</v>
      </c>
    </row>
    <row r="60" spans="1:5" x14ac:dyDescent="0.25">
      <c r="A60" s="4">
        <v>41</v>
      </c>
      <c r="B60" s="4" t="s">
        <v>61</v>
      </c>
      <c r="C60" s="5">
        <v>0.7</v>
      </c>
      <c r="D60" s="5">
        <v>0</v>
      </c>
      <c r="E60" s="17">
        <v>0.75680000000000003</v>
      </c>
    </row>
    <row r="61" spans="1:5" x14ac:dyDescent="0.25">
      <c r="A61" s="4">
        <v>41</v>
      </c>
      <c r="B61" s="4" t="s">
        <v>62</v>
      </c>
      <c r="C61" s="5">
        <v>0</v>
      </c>
      <c r="D61" s="5">
        <v>0</v>
      </c>
      <c r="E61" s="17">
        <v>0</v>
      </c>
    </row>
    <row r="62" spans="1:5" x14ac:dyDescent="0.25">
      <c r="A62" s="4">
        <v>41.5</v>
      </c>
      <c r="B62" s="4" t="s">
        <v>59</v>
      </c>
      <c r="C62" s="5">
        <v>1</v>
      </c>
      <c r="D62" s="5">
        <v>0</v>
      </c>
      <c r="E62" s="17">
        <v>1</v>
      </c>
    </row>
    <row r="63" spans="1:5" x14ac:dyDescent="0.25">
      <c r="A63" s="4">
        <v>41.5</v>
      </c>
      <c r="B63" s="4" t="s">
        <v>60</v>
      </c>
      <c r="C63" s="5">
        <v>0.625</v>
      </c>
      <c r="D63" s="5">
        <v>1.25</v>
      </c>
      <c r="E63" s="17">
        <v>1</v>
      </c>
    </row>
    <row r="64" spans="1:5" x14ac:dyDescent="0.25">
      <c r="A64" s="4">
        <v>41.5</v>
      </c>
      <c r="B64" s="4" t="s">
        <v>61</v>
      </c>
      <c r="C64" s="5">
        <v>0</v>
      </c>
      <c r="D64" s="5">
        <v>0</v>
      </c>
      <c r="E64" s="17">
        <f>ROUND(D64/0.85,2)</f>
        <v>0</v>
      </c>
    </row>
    <row r="65" spans="1:5" x14ac:dyDescent="0.25">
      <c r="A65" s="4">
        <v>41.5</v>
      </c>
      <c r="B65" s="4" t="s">
        <v>62</v>
      </c>
      <c r="C65" s="5">
        <v>0</v>
      </c>
      <c r="D65" s="5">
        <v>0</v>
      </c>
      <c r="E65" s="17">
        <v>0</v>
      </c>
    </row>
    <row r="66" spans="1:5" x14ac:dyDescent="0.25">
      <c r="A66" s="4">
        <v>42</v>
      </c>
      <c r="B66" s="4" t="s">
        <v>59</v>
      </c>
      <c r="C66" s="5">
        <v>1</v>
      </c>
      <c r="D66" s="5">
        <v>0</v>
      </c>
      <c r="E66" s="17">
        <v>1</v>
      </c>
    </row>
    <row r="67" spans="1:5" x14ac:dyDescent="0.25">
      <c r="A67" s="4">
        <v>42</v>
      </c>
      <c r="B67" s="4" t="s">
        <v>60</v>
      </c>
      <c r="C67" s="5">
        <v>0.75</v>
      </c>
      <c r="D67" s="5">
        <v>0</v>
      </c>
      <c r="E67" s="17">
        <v>0.78129999999999999</v>
      </c>
    </row>
    <row r="68" spans="1:5" x14ac:dyDescent="0.25">
      <c r="A68" s="4">
        <v>42</v>
      </c>
      <c r="B68" s="4" t="s">
        <v>61</v>
      </c>
      <c r="C68" s="5">
        <v>0.65</v>
      </c>
      <c r="D68" s="5">
        <v>0</v>
      </c>
      <c r="E68" s="17">
        <v>0.70269999999999999</v>
      </c>
    </row>
    <row r="69" spans="1:5" x14ac:dyDescent="0.25">
      <c r="A69" s="4">
        <v>42</v>
      </c>
      <c r="B69" s="4" t="s">
        <v>62</v>
      </c>
      <c r="C69" s="5">
        <v>0</v>
      </c>
      <c r="D69" s="5">
        <v>0</v>
      </c>
      <c r="E69" s="17">
        <v>0</v>
      </c>
    </row>
    <row r="70" spans="1:5" x14ac:dyDescent="0.25">
      <c r="A70" s="4">
        <v>42.5</v>
      </c>
      <c r="B70" s="4" t="s">
        <v>59</v>
      </c>
      <c r="C70" s="5">
        <v>1</v>
      </c>
      <c r="D70" s="5">
        <v>0</v>
      </c>
      <c r="E70" s="17">
        <v>1</v>
      </c>
    </row>
    <row r="71" spans="1:5" x14ac:dyDescent="0.25">
      <c r="A71" s="4">
        <v>42.5</v>
      </c>
      <c r="B71" s="4" t="s">
        <v>60</v>
      </c>
      <c r="C71" s="5">
        <v>0.67</v>
      </c>
      <c r="D71" s="5">
        <v>1.1499999999999999</v>
      </c>
      <c r="E71" s="17">
        <v>0.97499999999999998</v>
      </c>
    </row>
    <row r="72" spans="1:5" x14ac:dyDescent="0.25">
      <c r="A72" s="4">
        <v>42.5</v>
      </c>
      <c r="B72" s="4" t="s">
        <v>61</v>
      </c>
      <c r="C72" s="5">
        <v>0</v>
      </c>
      <c r="D72" s="5">
        <v>0</v>
      </c>
      <c r="E72" s="17">
        <v>0</v>
      </c>
    </row>
    <row r="73" spans="1:5" x14ac:dyDescent="0.25">
      <c r="A73" s="4">
        <v>42.5</v>
      </c>
      <c r="B73" s="4" t="s">
        <v>62</v>
      </c>
      <c r="C73" s="5">
        <v>0</v>
      </c>
      <c r="D73" s="5">
        <v>0</v>
      </c>
      <c r="E73" s="17">
        <v>0</v>
      </c>
    </row>
    <row r="74" spans="1:5" x14ac:dyDescent="0.25">
      <c r="A74" s="4">
        <v>43</v>
      </c>
      <c r="B74" s="4" t="s">
        <v>59</v>
      </c>
      <c r="C74" s="5">
        <v>1</v>
      </c>
      <c r="D74" s="5">
        <v>0</v>
      </c>
      <c r="E74" s="17">
        <v>1</v>
      </c>
    </row>
    <row r="75" spans="1:5" x14ac:dyDescent="0.25">
      <c r="A75" s="4">
        <v>43</v>
      </c>
      <c r="B75" s="4" t="s">
        <v>60</v>
      </c>
      <c r="C75" s="5">
        <v>0.85</v>
      </c>
      <c r="D75" s="5">
        <v>0</v>
      </c>
      <c r="E75" s="17">
        <v>0.88539999999999996</v>
      </c>
    </row>
    <row r="76" spans="1:5" x14ac:dyDescent="0.25">
      <c r="A76" s="4">
        <v>43</v>
      </c>
      <c r="B76" s="4" t="s">
        <v>61</v>
      </c>
      <c r="C76" s="5">
        <v>0.375</v>
      </c>
      <c r="D76" s="5">
        <v>0</v>
      </c>
      <c r="E76" s="17">
        <v>0.40539999999999998</v>
      </c>
    </row>
    <row r="77" spans="1:5" x14ac:dyDescent="0.25">
      <c r="A77" s="4">
        <v>43</v>
      </c>
      <c r="B77" s="4" t="s">
        <v>62</v>
      </c>
      <c r="C77" s="5">
        <v>0</v>
      </c>
      <c r="D77" s="5">
        <v>0</v>
      </c>
      <c r="E77" s="17">
        <v>0</v>
      </c>
    </row>
    <row r="78" spans="1:5" x14ac:dyDescent="0.25">
      <c r="A78" s="4">
        <v>43.5</v>
      </c>
      <c r="B78" s="4" t="s">
        <v>59</v>
      </c>
      <c r="C78" s="5">
        <v>1</v>
      </c>
      <c r="D78" s="5">
        <v>0</v>
      </c>
      <c r="E78" s="17">
        <v>1</v>
      </c>
    </row>
    <row r="79" spans="1:5" x14ac:dyDescent="0.25">
      <c r="A79" s="4">
        <v>43.5</v>
      </c>
      <c r="B79" s="4" t="s">
        <v>60</v>
      </c>
      <c r="C79" s="5">
        <v>0.82499999999999996</v>
      </c>
      <c r="D79" s="5">
        <v>0.5</v>
      </c>
      <c r="E79" s="17">
        <v>0.95</v>
      </c>
    </row>
    <row r="80" spans="1:5" x14ac:dyDescent="0.25">
      <c r="A80" s="4">
        <v>43.5</v>
      </c>
      <c r="B80" s="4" t="s">
        <v>61</v>
      </c>
      <c r="C80" s="5">
        <v>0</v>
      </c>
      <c r="D80" s="5">
        <v>0.23499999999999999</v>
      </c>
      <c r="E80" s="17">
        <f>ROUND(D80/0.85,2)</f>
        <v>0.28000000000000003</v>
      </c>
    </row>
    <row r="81" spans="1:5" x14ac:dyDescent="0.25">
      <c r="A81" s="4">
        <v>43.5</v>
      </c>
      <c r="B81" s="4" t="s">
        <v>62</v>
      </c>
      <c r="C81" s="5">
        <v>0</v>
      </c>
      <c r="D81" s="5">
        <v>0</v>
      </c>
      <c r="E81" s="17">
        <v>0</v>
      </c>
    </row>
    <row r="82" spans="1:5" x14ac:dyDescent="0.25">
      <c r="A82" s="4">
        <v>44</v>
      </c>
      <c r="B82" s="4" t="s">
        <v>59</v>
      </c>
      <c r="C82" s="5">
        <v>1</v>
      </c>
      <c r="D82" s="5">
        <v>0</v>
      </c>
      <c r="E82" s="17">
        <v>1</v>
      </c>
    </row>
    <row r="83" spans="1:5" x14ac:dyDescent="0.25">
      <c r="A83" s="4">
        <v>44</v>
      </c>
      <c r="B83" s="4" t="s">
        <v>60</v>
      </c>
      <c r="C83" s="5">
        <v>0.82499999999999996</v>
      </c>
      <c r="D83" s="5">
        <v>0</v>
      </c>
      <c r="E83" s="17">
        <v>0.85940000000000005</v>
      </c>
    </row>
    <row r="84" spans="1:5" x14ac:dyDescent="0.25">
      <c r="A84" s="4">
        <v>44</v>
      </c>
      <c r="B84" s="4" t="s">
        <v>61</v>
      </c>
      <c r="C84" s="5">
        <v>0.27500000000000002</v>
      </c>
      <c r="D84" s="5">
        <v>0</v>
      </c>
      <c r="E84" s="17">
        <v>0.29730000000000001</v>
      </c>
    </row>
    <row r="85" spans="1:5" x14ac:dyDescent="0.25">
      <c r="A85" s="4">
        <v>44</v>
      </c>
      <c r="B85" s="4" t="s">
        <v>62</v>
      </c>
      <c r="C85" s="5">
        <v>0</v>
      </c>
      <c r="D85" s="5">
        <v>0</v>
      </c>
      <c r="E85" s="17">
        <v>0</v>
      </c>
    </row>
    <row r="86" spans="1:5" x14ac:dyDescent="0.25">
      <c r="A86" s="4">
        <v>44.5</v>
      </c>
      <c r="B86" s="4" t="s">
        <v>59</v>
      </c>
      <c r="C86" s="5">
        <v>1</v>
      </c>
      <c r="D86" s="5">
        <v>0</v>
      </c>
      <c r="E86" s="17">
        <v>1</v>
      </c>
    </row>
    <row r="87" spans="1:5" x14ac:dyDescent="0.25">
      <c r="A87" s="4">
        <v>44.5</v>
      </c>
      <c r="B87" s="4" t="s">
        <v>60</v>
      </c>
      <c r="C87" s="5">
        <v>0.82499999999999996</v>
      </c>
      <c r="D87" s="5">
        <v>0.75</v>
      </c>
      <c r="E87" s="17">
        <v>0.97499999999999998</v>
      </c>
    </row>
    <row r="88" spans="1:5" x14ac:dyDescent="0.25">
      <c r="A88" s="4">
        <v>44.5</v>
      </c>
      <c r="B88" s="4" t="s">
        <v>61</v>
      </c>
      <c r="C88" s="5">
        <v>0</v>
      </c>
      <c r="D88" s="5">
        <v>8.74999999999998E-2</v>
      </c>
      <c r="E88" s="17">
        <f>ROUND(D88/0.85,2)</f>
        <v>0.1</v>
      </c>
    </row>
    <row r="89" spans="1:5" x14ac:dyDescent="0.25">
      <c r="A89" s="4">
        <v>44.5</v>
      </c>
      <c r="B89" s="4" t="s">
        <v>62</v>
      </c>
      <c r="C89" s="5">
        <v>0</v>
      </c>
      <c r="D89" s="5">
        <v>0</v>
      </c>
      <c r="E89" s="17">
        <v>0</v>
      </c>
    </row>
    <row r="90" spans="1:5" x14ac:dyDescent="0.25">
      <c r="A90" s="4">
        <v>45</v>
      </c>
      <c r="B90" s="4" t="s">
        <v>59</v>
      </c>
      <c r="C90" s="5">
        <v>1</v>
      </c>
      <c r="D90" s="5">
        <v>0</v>
      </c>
      <c r="E90" s="17">
        <v>1</v>
      </c>
    </row>
    <row r="91" spans="1:5" x14ac:dyDescent="0.25">
      <c r="A91" s="4">
        <v>45</v>
      </c>
      <c r="B91" s="4" t="s">
        <v>60</v>
      </c>
      <c r="C91" s="5">
        <v>0.81</v>
      </c>
      <c r="D91" s="5">
        <v>0</v>
      </c>
      <c r="E91" s="17">
        <v>0.84379999999999999</v>
      </c>
    </row>
    <row r="92" spans="1:5" x14ac:dyDescent="0.25">
      <c r="A92" s="4">
        <v>45</v>
      </c>
      <c r="B92" s="4" t="s">
        <v>61</v>
      </c>
      <c r="C92" s="5">
        <v>0.26</v>
      </c>
      <c r="D92" s="5">
        <v>0</v>
      </c>
      <c r="E92" s="17">
        <v>0.28110000000000002</v>
      </c>
    </row>
    <row r="93" spans="1:5" x14ac:dyDescent="0.25">
      <c r="A93" s="4">
        <v>45</v>
      </c>
      <c r="B93" s="4" t="s">
        <v>62</v>
      </c>
      <c r="C93" s="5">
        <v>0</v>
      </c>
      <c r="D93" s="5">
        <v>0</v>
      </c>
      <c r="E93" s="17">
        <v>0</v>
      </c>
    </row>
    <row r="94" spans="1:5" x14ac:dyDescent="0.25">
      <c r="A94" s="4">
        <v>45.5</v>
      </c>
      <c r="B94" s="4" t="s">
        <v>59</v>
      </c>
      <c r="C94" s="5">
        <v>1</v>
      </c>
      <c r="D94" s="5">
        <v>0</v>
      </c>
      <c r="E94" s="17">
        <v>1</v>
      </c>
    </row>
    <row r="95" spans="1:5" x14ac:dyDescent="0.25">
      <c r="A95" s="4">
        <v>45.5</v>
      </c>
      <c r="B95" s="4" t="s">
        <v>60</v>
      </c>
      <c r="C95" s="5">
        <v>0.4</v>
      </c>
      <c r="D95" s="5">
        <v>0.75</v>
      </c>
      <c r="E95" s="17">
        <v>0.95</v>
      </c>
    </row>
    <row r="96" spans="1:5" x14ac:dyDescent="0.25">
      <c r="A96" s="4">
        <v>45.5</v>
      </c>
      <c r="B96" s="4" t="s">
        <v>61</v>
      </c>
      <c r="C96" s="5">
        <v>0</v>
      </c>
      <c r="D96" s="5">
        <v>0.1</v>
      </c>
      <c r="E96" s="17">
        <f>ROUND(D96/0.85,2)</f>
        <v>0.12</v>
      </c>
    </row>
    <row r="97" spans="1:5" x14ac:dyDescent="0.25">
      <c r="A97" s="4">
        <v>45.5</v>
      </c>
      <c r="B97" s="4" t="s">
        <v>62</v>
      </c>
      <c r="C97" s="5">
        <v>0</v>
      </c>
      <c r="D97" s="5">
        <v>0</v>
      </c>
      <c r="E97" s="17">
        <v>0</v>
      </c>
    </row>
    <row r="98" spans="1:5" x14ac:dyDescent="0.25">
      <c r="A98" s="4">
        <v>49.5</v>
      </c>
      <c r="B98" s="4" t="s">
        <v>59</v>
      </c>
      <c r="C98" s="5">
        <v>0</v>
      </c>
      <c r="D98" s="5">
        <v>1</v>
      </c>
      <c r="E98" s="17">
        <v>0.9</v>
      </c>
    </row>
    <row r="99" spans="1:5" x14ac:dyDescent="0.25">
      <c r="A99" s="4">
        <v>49.5</v>
      </c>
      <c r="B99" s="4" t="s">
        <v>60</v>
      </c>
      <c r="C99" s="5">
        <v>0</v>
      </c>
      <c r="D99" s="5">
        <v>0.8</v>
      </c>
      <c r="E99" s="17">
        <v>0.72600000000000009</v>
      </c>
    </row>
    <row r="100" spans="1:5" x14ac:dyDescent="0.25">
      <c r="A100" s="4">
        <v>49.5</v>
      </c>
      <c r="B100" s="4" t="s">
        <v>61</v>
      </c>
      <c r="C100" s="5">
        <v>0</v>
      </c>
      <c r="D100" s="5">
        <v>0.3</v>
      </c>
      <c r="E100" s="17">
        <v>0.34350000000000003</v>
      </c>
    </row>
    <row r="101" spans="1:5" x14ac:dyDescent="0.25">
      <c r="A101" s="4">
        <v>49.5</v>
      </c>
      <c r="B101" s="4" t="s">
        <v>62</v>
      </c>
      <c r="C101" s="5">
        <v>0</v>
      </c>
      <c r="D101" s="5">
        <v>0</v>
      </c>
      <c r="E101" s="17">
        <v>0</v>
      </c>
    </row>
    <row r="102" spans="1:5" x14ac:dyDescent="0.25">
      <c r="A102" s="4">
        <v>50</v>
      </c>
      <c r="B102" s="4" t="s">
        <v>59</v>
      </c>
      <c r="C102" s="5">
        <v>1</v>
      </c>
      <c r="D102" s="5">
        <v>0</v>
      </c>
      <c r="E102" s="17">
        <v>1</v>
      </c>
    </row>
    <row r="103" spans="1:5" x14ac:dyDescent="0.25">
      <c r="A103" s="4">
        <v>50</v>
      </c>
      <c r="B103" s="4" t="s">
        <v>60</v>
      </c>
      <c r="C103" s="5">
        <v>0.88</v>
      </c>
      <c r="D103" s="5">
        <v>0</v>
      </c>
      <c r="E103" s="17">
        <v>0.91669999999999996</v>
      </c>
    </row>
    <row r="104" spans="1:5" x14ac:dyDescent="0.25">
      <c r="A104" s="4">
        <v>50</v>
      </c>
      <c r="B104" s="4" t="s">
        <v>61</v>
      </c>
      <c r="C104" s="5">
        <v>0.5</v>
      </c>
      <c r="D104" s="5">
        <v>0</v>
      </c>
      <c r="E104" s="17">
        <v>0.54049999999999998</v>
      </c>
    </row>
    <row r="105" spans="1:5" x14ac:dyDescent="0.25">
      <c r="A105" s="4">
        <v>50</v>
      </c>
      <c r="B105" s="4" t="s">
        <v>62</v>
      </c>
      <c r="C105" s="5">
        <v>0</v>
      </c>
      <c r="D105" s="5">
        <v>0</v>
      </c>
      <c r="E105" s="17">
        <v>0</v>
      </c>
    </row>
    <row r="106" spans="1:5" x14ac:dyDescent="0.25">
      <c r="A106" s="4">
        <v>50.5</v>
      </c>
      <c r="B106" s="4" t="s">
        <v>59</v>
      </c>
      <c r="C106" s="5">
        <v>1</v>
      </c>
      <c r="D106" s="5">
        <v>0</v>
      </c>
      <c r="E106" s="17">
        <v>1</v>
      </c>
    </row>
    <row r="107" spans="1:5" x14ac:dyDescent="0.25">
      <c r="A107" s="4">
        <v>50.5</v>
      </c>
      <c r="B107" s="4" t="s">
        <v>60</v>
      </c>
      <c r="C107" s="5">
        <v>0.65</v>
      </c>
      <c r="D107" s="5">
        <v>0.8</v>
      </c>
      <c r="E107" s="17">
        <v>0.98</v>
      </c>
    </row>
    <row r="108" spans="1:5" x14ac:dyDescent="0.25">
      <c r="A108" s="4">
        <v>50.5</v>
      </c>
      <c r="B108" s="4" t="s">
        <v>61</v>
      </c>
      <c r="C108" s="5">
        <v>0</v>
      </c>
      <c r="D108" s="5">
        <v>0.15</v>
      </c>
      <c r="E108" s="17">
        <f>ROUND(D108/0.85,2)</f>
        <v>0.18</v>
      </c>
    </row>
    <row r="109" spans="1:5" x14ac:dyDescent="0.25">
      <c r="A109" s="4">
        <v>50.5</v>
      </c>
      <c r="B109" s="4" t="s">
        <v>62</v>
      </c>
      <c r="C109" s="5">
        <v>0</v>
      </c>
      <c r="D109" s="5">
        <v>0</v>
      </c>
      <c r="E109" s="17">
        <v>0</v>
      </c>
    </row>
    <row r="110" spans="1:5" x14ac:dyDescent="0.25">
      <c r="A110" s="4">
        <v>51</v>
      </c>
      <c r="B110" s="4" t="s">
        <v>59</v>
      </c>
      <c r="C110" s="5">
        <v>1</v>
      </c>
      <c r="D110" s="5">
        <v>0</v>
      </c>
      <c r="E110" s="17">
        <v>1</v>
      </c>
    </row>
    <row r="111" spans="1:5" x14ac:dyDescent="0.25">
      <c r="A111" s="4">
        <v>51</v>
      </c>
      <c r="B111" s="4" t="s">
        <v>60</v>
      </c>
      <c r="C111" s="5">
        <v>0.77500000000000002</v>
      </c>
      <c r="D111" s="5">
        <v>0</v>
      </c>
      <c r="E111" s="17">
        <v>0.80730000000000002</v>
      </c>
    </row>
    <row r="112" spans="1:5" x14ac:dyDescent="0.25">
      <c r="A112" s="4">
        <v>51</v>
      </c>
      <c r="B112" s="4" t="s">
        <v>61</v>
      </c>
      <c r="C112" s="5">
        <v>0.6</v>
      </c>
      <c r="D112" s="5">
        <v>0</v>
      </c>
      <c r="E112" s="17">
        <v>0.64859999999999995</v>
      </c>
    </row>
    <row r="113" spans="1:5" x14ac:dyDescent="0.25">
      <c r="A113" s="4">
        <v>51</v>
      </c>
      <c r="B113" s="4" t="s">
        <v>62</v>
      </c>
      <c r="C113" s="5">
        <v>0</v>
      </c>
      <c r="D113" s="5">
        <v>0</v>
      </c>
      <c r="E113" s="17">
        <v>0</v>
      </c>
    </row>
    <row r="114" spans="1:5" x14ac:dyDescent="0.25">
      <c r="A114" s="4">
        <v>51.5</v>
      </c>
      <c r="B114" s="4" t="s">
        <v>59</v>
      </c>
      <c r="C114" s="5">
        <v>1</v>
      </c>
      <c r="D114" s="5">
        <v>0</v>
      </c>
      <c r="E114" s="17">
        <v>1</v>
      </c>
    </row>
    <row r="115" spans="1:5" x14ac:dyDescent="0.25">
      <c r="A115" s="4">
        <v>51.5</v>
      </c>
      <c r="B115" s="4" t="s">
        <v>60</v>
      </c>
      <c r="C115" s="5">
        <v>0.6</v>
      </c>
      <c r="D115" s="5">
        <v>1</v>
      </c>
      <c r="E115" s="17">
        <v>0.98</v>
      </c>
    </row>
    <row r="116" spans="1:5" x14ac:dyDescent="0.25">
      <c r="A116" s="4">
        <v>51.5</v>
      </c>
      <c r="B116" s="4" t="s">
        <v>61</v>
      </c>
      <c r="C116" s="5">
        <v>0</v>
      </c>
      <c r="D116" s="5">
        <v>0</v>
      </c>
      <c r="E116" s="17">
        <v>0</v>
      </c>
    </row>
    <row r="117" spans="1:5" x14ac:dyDescent="0.25">
      <c r="A117" s="4">
        <v>51.5</v>
      </c>
      <c r="B117" s="4" t="s">
        <v>62</v>
      </c>
      <c r="C117" s="5">
        <v>0</v>
      </c>
      <c r="D117" s="5">
        <v>0</v>
      </c>
      <c r="E117" s="17">
        <v>0</v>
      </c>
    </row>
    <row r="118" spans="1:5" x14ac:dyDescent="0.25">
      <c r="A118" s="4">
        <v>52</v>
      </c>
      <c r="B118" s="4" t="s">
        <v>59</v>
      </c>
      <c r="C118" s="5">
        <v>1</v>
      </c>
      <c r="D118" s="5">
        <v>0</v>
      </c>
      <c r="E118" s="17">
        <v>1</v>
      </c>
    </row>
    <row r="119" spans="1:5" x14ac:dyDescent="0.25">
      <c r="A119" s="4">
        <v>52</v>
      </c>
      <c r="B119" s="4" t="s">
        <v>60</v>
      </c>
      <c r="C119" s="5">
        <v>0.85</v>
      </c>
      <c r="D119" s="5">
        <v>0</v>
      </c>
      <c r="E119" s="17">
        <v>0.88539999999999996</v>
      </c>
    </row>
    <row r="120" spans="1:5" x14ac:dyDescent="0.25">
      <c r="A120" s="4">
        <v>52</v>
      </c>
      <c r="B120" s="4" t="s">
        <v>61</v>
      </c>
      <c r="C120" s="5">
        <v>0.47499999999999998</v>
      </c>
      <c r="D120" s="5">
        <v>0</v>
      </c>
      <c r="E120" s="17">
        <v>0.51349999999999996</v>
      </c>
    </row>
    <row r="121" spans="1:5" x14ac:dyDescent="0.25">
      <c r="A121" s="4">
        <v>52</v>
      </c>
      <c r="B121" s="4" t="s">
        <v>62</v>
      </c>
      <c r="C121" s="5">
        <v>0</v>
      </c>
      <c r="D121" s="5">
        <v>0</v>
      </c>
      <c r="E121" s="17">
        <v>0</v>
      </c>
    </row>
    <row r="122" spans="1:5" x14ac:dyDescent="0.25">
      <c r="A122" s="4">
        <v>52.5</v>
      </c>
      <c r="B122" s="4" t="s">
        <v>59</v>
      </c>
      <c r="C122" s="5">
        <v>1</v>
      </c>
      <c r="D122" s="5">
        <v>0</v>
      </c>
      <c r="E122" s="17">
        <v>1</v>
      </c>
    </row>
    <row r="123" spans="1:5" x14ac:dyDescent="0.25">
      <c r="A123" s="4">
        <v>52.5</v>
      </c>
      <c r="B123" s="4" t="s">
        <v>60</v>
      </c>
      <c r="C123" s="5">
        <v>0.85</v>
      </c>
      <c r="D123" s="5">
        <v>0.57499999999999996</v>
      </c>
      <c r="E123" s="17">
        <v>0.98</v>
      </c>
    </row>
    <row r="124" spans="1:5" x14ac:dyDescent="0.25">
      <c r="A124" s="4">
        <v>52.5</v>
      </c>
      <c r="B124" s="4" t="s">
        <v>61</v>
      </c>
      <c r="C124" s="5">
        <v>0</v>
      </c>
      <c r="D124" s="5">
        <v>0.28600000000000081</v>
      </c>
      <c r="E124" s="17">
        <f>ROUND(D124/0.85,2)</f>
        <v>0.34</v>
      </c>
    </row>
    <row r="125" spans="1:5" x14ac:dyDescent="0.25">
      <c r="A125" s="4">
        <v>52.5</v>
      </c>
      <c r="B125" s="4" t="s">
        <v>62</v>
      </c>
      <c r="C125" s="5">
        <v>0</v>
      </c>
      <c r="D125" s="5">
        <v>0</v>
      </c>
      <c r="E125" s="17">
        <v>0</v>
      </c>
    </row>
    <row r="126" spans="1:5" x14ac:dyDescent="0.25">
      <c r="A126" s="4">
        <v>70</v>
      </c>
      <c r="B126" s="4" t="s">
        <v>59</v>
      </c>
      <c r="C126" s="5">
        <v>1</v>
      </c>
      <c r="D126" s="5">
        <v>0</v>
      </c>
      <c r="E126" s="17">
        <v>1</v>
      </c>
    </row>
    <row r="127" spans="1:5" x14ac:dyDescent="0.25">
      <c r="A127" s="4">
        <v>70</v>
      </c>
      <c r="B127" s="4" t="s">
        <v>60</v>
      </c>
      <c r="C127" s="5">
        <v>0.82</v>
      </c>
      <c r="D127" s="5">
        <v>0</v>
      </c>
      <c r="E127" s="17">
        <v>0.85419999999999996</v>
      </c>
    </row>
    <row r="128" spans="1:5" x14ac:dyDescent="0.25">
      <c r="A128" s="4">
        <v>70</v>
      </c>
      <c r="B128" s="4" t="s">
        <v>61</v>
      </c>
      <c r="C128" s="5">
        <v>0.5</v>
      </c>
      <c r="D128" s="5">
        <v>0</v>
      </c>
      <c r="E128" s="17">
        <v>0.54049999999999998</v>
      </c>
    </row>
    <row r="129" spans="1:5" x14ac:dyDescent="0.25">
      <c r="A129" s="4">
        <v>70</v>
      </c>
      <c r="B129" s="4" t="s">
        <v>62</v>
      </c>
      <c r="C129" s="5">
        <v>0</v>
      </c>
      <c r="D129" s="5">
        <v>0</v>
      </c>
      <c r="E129" s="17">
        <v>0</v>
      </c>
    </row>
    <row r="130" spans="1:5" x14ac:dyDescent="0.25">
      <c r="A130" s="4">
        <v>70.5</v>
      </c>
      <c r="B130" s="4" t="s">
        <v>59</v>
      </c>
      <c r="C130" s="5">
        <v>1</v>
      </c>
      <c r="D130" s="5">
        <v>0</v>
      </c>
      <c r="E130" s="17">
        <v>1</v>
      </c>
    </row>
    <row r="131" spans="1:5" x14ac:dyDescent="0.25">
      <c r="A131" s="4">
        <v>70.5</v>
      </c>
      <c r="B131" s="4" t="s">
        <v>60</v>
      </c>
      <c r="C131" s="5">
        <v>0.77500000000000002</v>
      </c>
      <c r="D131" s="5">
        <v>0.65</v>
      </c>
      <c r="E131" s="17">
        <v>0.97499999999999998</v>
      </c>
    </row>
    <row r="132" spans="1:5" x14ac:dyDescent="0.25">
      <c r="A132" s="4">
        <v>70.5</v>
      </c>
      <c r="B132" s="4" t="s">
        <v>61</v>
      </c>
      <c r="C132" s="5">
        <v>0</v>
      </c>
      <c r="D132" s="5">
        <v>0.4</v>
      </c>
      <c r="E132" s="17">
        <f>ROUND(D132/0.85,2)</f>
        <v>0.47</v>
      </c>
    </row>
    <row r="133" spans="1:5" x14ac:dyDescent="0.25">
      <c r="A133" s="4">
        <v>70.5</v>
      </c>
      <c r="B133" s="4" t="s">
        <v>62</v>
      </c>
      <c r="C133" s="5">
        <v>0</v>
      </c>
      <c r="D133" s="5">
        <v>0</v>
      </c>
      <c r="E133" s="17">
        <v>0</v>
      </c>
    </row>
    <row r="134" spans="1:5" x14ac:dyDescent="0.25">
      <c r="A134" s="4">
        <v>100</v>
      </c>
      <c r="B134" s="4" t="s">
        <v>59</v>
      </c>
      <c r="C134" s="5">
        <v>0</v>
      </c>
      <c r="D134" s="5">
        <v>3</v>
      </c>
      <c r="E134" s="17">
        <v>1</v>
      </c>
    </row>
    <row r="135" spans="1:5" x14ac:dyDescent="0.25">
      <c r="A135" s="4">
        <v>100</v>
      </c>
      <c r="B135" s="4" t="s">
        <v>60</v>
      </c>
      <c r="C135" s="5">
        <v>0</v>
      </c>
      <c r="D135" s="5">
        <f>$D$134*$E135+ROUND(LOG(E135)*0.25,3)</f>
        <v>2.2189999999999999</v>
      </c>
      <c r="E135" s="17">
        <v>0.75</v>
      </c>
    </row>
    <row r="136" spans="1:5" x14ac:dyDescent="0.25">
      <c r="A136" s="4">
        <v>100</v>
      </c>
      <c r="B136" s="4" t="s">
        <v>61</v>
      </c>
      <c r="C136" s="5">
        <v>0</v>
      </c>
      <c r="D136" s="5">
        <f t="shared" ref="D136" si="0">$D$134*$E136+ROUND(LOG(E136)*0.25,3)</f>
        <v>0.59899999999999998</v>
      </c>
      <c r="E136" s="17">
        <v>0.25</v>
      </c>
    </row>
    <row r="137" spans="1:5" x14ac:dyDescent="0.25">
      <c r="A137" s="4">
        <v>100</v>
      </c>
      <c r="B137" s="4" t="s">
        <v>62</v>
      </c>
      <c r="C137" s="5">
        <v>0</v>
      </c>
      <c r="D137" s="5">
        <v>0</v>
      </c>
      <c r="E137" s="17">
        <v>0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1761F-2504-4C8D-8040-F9E9B5E3E6FE}">
  <dimension ref="A1:C13"/>
  <sheetViews>
    <sheetView workbookViewId="0">
      <selection activeCell="C14" sqref="C14"/>
    </sheetView>
  </sheetViews>
  <sheetFormatPr baseColWidth="10" defaultRowHeight="15" x14ac:dyDescent="0.25"/>
  <sheetData>
    <row r="1" spans="1:3" x14ac:dyDescent="0.25">
      <c r="B1" t="s">
        <v>1</v>
      </c>
      <c r="C1" t="s">
        <v>2</v>
      </c>
    </row>
    <row r="2" spans="1:3" x14ac:dyDescent="0.25">
      <c r="A2" t="s">
        <v>3</v>
      </c>
      <c r="B2" s="10" t="s">
        <v>137</v>
      </c>
      <c r="C2" t="s">
        <v>137</v>
      </c>
    </row>
    <row r="3" spans="1:3" x14ac:dyDescent="0.25">
      <c r="A3" t="s">
        <v>4</v>
      </c>
      <c r="B3" s="10">
        <v>0</v>
      </c>
      <c r="C3">
        <v>0</v>
      </c>
    </row>
    <row r="4" spans="1:3" x14ac:dyDescent="0.25">
      <c r="A4" t="s">
        <v>5</v>
      </c>
      <c r="B4" t="s">
        <v>137</v>
      </c>
      <c r="C4" t="s">
        <v>137</v>
      </c>
    </row>
    <row r="5" spans="1:3" x14ac:dyDescent="0.25">
      <c r="A5" t="s">
        <v>6</v>
      </c>
      <c r="B5">
        <v>0</v>
      </c>
      <c r="C5">
        <v>15</v>
      </c>
    </row>
    <row r="6" spans="1:3" x14ac:dyDescent="0.25">
      <c r="A6" t="s">
        <v>122</v>
      </c>
      <c r="B6">
        <v>0</v>
      </c>
      <c r="C6">
        <v>0</v>
      </c>
    </row>
    <row r="7" spans="1:3" x14ac:dyDescent="0.25">
      <c r="A7" t="s">
        <v>123</v>
      </c>
      <c r="B7">
        <v>0</v>
      </c>
      <c r="C7">
        <v>0</v>
      </c>
    </row>
    <row r="8" spans="1:3" x14ac:dyDescent="0.25">
      <c r="A8" t="s">
        <v>124</v>
      </c>
      <c r="B8">
        <v>0</v>
      </c>
      <c r="C8">
        <v>0</v>
      </c>
    </row>
    <row r="9" spans="1:3" x14ac:dyDescent="0.25">
      <c r="A9" t="s">
        <v>125</v>
      </c>
      <c r="B9">
        <v>0</v>
      </c>
      <c r="C9">
        <v>0</v>
      </c>
    </row>
    <row r="10" spans="1:3" x14ac:dyDescent="0.25">
      <c r="A10" t="s">
        <v>126</v>
      </c>
      <c r="B10">
        <v>0</v>
      </c>
      <c r="C10">
        <v>0</v>
      </c>
    </row>
    <row r="11" spans="1:3" x14ac:dyDescent="0.25">
      <c r="A11" t="s">
        <v>127</v>
      </c>
      <c r="B11">
        <v>0</v>
      </c>
      <c r="C11">
        <v>0</v>
      </c>
    </row>
    <row r="12" spans="1:3" x14ac:dyDescent="0.25">
      <c r="A12" t="s">
        <v>117</v>
      </c>
      <c r="B12" t="s">
        <v>137</v>
      </c>
      <c r="C12" t="s">
        <v>137</v>
      </c>
    </row>
    <row r="13" spans="1:3" x14ac:dyDescent="0.25">
      <c r="A13" t="s">
        <v>352</v>
      </c>
      <c r="B13" t="s">
        <v>137</v>
      </c>
      <c r="C13" t="s">
        <v>137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55109-0130-495D-B4C2-93D774DF9105}">
  <dimension ref="A1:F39"/>
  <sheetViews>
    <sheetView workbookViewId="0">
      <pane ySplit="1" topLeftCell="A4" activePane="bottomLeft" state="frozen"/>
      <selection pane="bottomLeft" activeCell="F4" sqref="F4"/>
    </sheetView>
  </sheetViews>
  <sheetFormatPr baseColWidth="10" defaultRowHeight="15" x14ac:dyDescent="0.25"/>
  <cols>
    <col min="1" max="1" width="13.85546875" style="3" bestFit="1" customWidth="1"/>
    <col min="2" max="2" width="38.85546875" bestFit="1" customWidth="1"/>
    <col min="3" max="3" width="14.140625" bestFit="1" customWidth="1"/>
    <col min="6" max="6" width="11.42578125" style="3"/>
  </cols>
  <sheetData>
    <row r="1" spans="1:6" s="15" customFormat="1" ht="30" x14ac:dyDescent="0.25">
      <c r="A1" s="13" t="s">
        <v>18</v>
      </c>
      <c r="B1" s="14" t="s">
        <v>19</v>
      </c>
      <c r="C1" s="14" t="s">
        <v>65</v>
      </c>
      <c r="D1" s="14" t="s">
        <v>143</v>
      </c>
      <c r="E1" s="14" t="s">
        <v>141</v>
      </c>
      <c r="F1" s="13" t="s">
        <v>142</v>
      </c>
    </row>
    <row r="2" spans="1:6" x14ac:dyDescent="0.25">
      <c r="A2" s="3">
        <v>10</v>
      </c>
      <c r="B2" t="s">
        <v>20</v>
      </c>
      <c r="C2" t="s">
        <v>80</v>
      </c>
    </row>
    <row r="3" spans="1:6" x14ac:dyDescent="0.25">
      <c r="A3" s="3">
        <v>20</v>
      </c>
      <c r="B3" t="s">
        <v>21</v>
      </c>
      <c r="C3" t="s">
        <v>81</v>
      </c>
    </row>
    <row r="4" spans="1:6" x14ac:dyDescent="0.25">
      <c r="A4" s="3">
        <v>20.5</v>
      </c>
      <c r="B4" t="s">
        <v>22</v>
      </c>
      <c r="C4" t="s">
        <v>82</v>
      </c>
      <c r="D4" s="11">
        <f>'FEASIBLE_INPUT-OUTPUT_BAK'!$C$10/'FEASIBLE_INPUT-OUTPUT_BAK'!$D$11</f>
        <v>1.8181818181818181</v>
      </c>
      <c r="E4" s="11">
        <f>('FEASIBLE_INPUT-OUTPUT_BAK'!C10-'FEASIBLE_INPUT-OUTPUT_BAK'!C11)/('FEASIBLE_INPUT-OUTPUT_BAK'!D10-'FEASIBLE_INPUT-OUTPUT_BAK'!D11)</f>
        <v>-0.22727272727272727</v>
      </c>
      <c r="F4" s="12">
        <f>'FEASIBLE_INPUT-OUTPUT_BAK'!$C$10/('FEASIBLE_INPUT-OUTPUT_BAK'!C11+'FEASIBLE_INPUT-OUTPUT_BAK'!$D$11)</f>
        <v>0.70175438596491224</v>
      </c>
    </row>
    <row r="5" spans="1:6" x14ac:dyDescent="0.25">
      <c r="A5" s="3">
        <v>21</v>
      </c>
      <c r="B5" t="s">
        <v>23</v>
      </c>
      <c r="C5" t="s">
        <v>83</v>
      </c>
    </row>
    <row r="6" spans="1:6" x14ac:dyDescent="0.25">
      <c r="A6" s="3">
        <v>21.5</v>
      </c>
      <c r="B6" t="s">
        <v>24</v>
      </c>
      <c r="C6" t="s">
        <v>84</v>
      </c>
      <c r="D6" s="11">
        <f>'FEASIBLE_INPUT-OUTPUT_BAK'!$C$18/'FEASIBLE_INPUT-OUTPUT_BAK'!$D$19</f>
        <v>1.6666666666666667</v>
      </c>
      <c r="E6" s="11">
        <f>('FEASIBLE_INPUT-OUTPUT_BAK'!C18-'FEASIBLE_INPUT-OUTPUT_BAK'!C19)/('FEASIBLE_INPUT-OUTPUT_BAK'!D18-'FEASIBLE_INPUT-OUTPUT_BAK'!D19)</f>
        <v>-0.2</v>
      </c>
      <c r="F6" s="12">
        <f>'FEASIBLE_INPUT-OUTPUT_BAK'!$C$18/('FEASIBLE_INPUT-OUTPUT_BAK'!C19+'FEASIBLE_INPUT-OUTPUT_BAK'!$D$19)</f>
        <v>0.67567567567567566</v>
      </c>
    </row>
    <row r="7" spans="1:6" x14ac:dyDescent="0.25">
      <c r="A7" s="3">
        <v>30</v>
      </c>
      <c r="B7" t="s">
        <v>25</v>
      </c>
      <c r="C7" t="s">
        <v>85</v>
      </c>
    </row>
    <row r="8" spans="1:6" x14ac:dyDescent="0.25">
      <c r="A8" s="3">
        <v>30.5</v>
      </c>
      <c r="B8" t="s">
        <v>26</v>
      </c>
      <c r="C8" t="s">
        <v>86</v>
      </c>
      <c r="D8" s="11">
        <f>'FEASIBLE_INPUT-OUTPUT_BAK'!$C$26/'FEASIBLE_INPUT-OUTPUT_BAK'!$D$27</f>
        <v>1.8181818181818181</v>
      </c>
      <c r="E8" s="11">
        <f>('FEASIBLE_INPUT-OUTPUT_BAK'!C26-'FEASIBLE_INPUT-OUTPUT_BAK'!C27)/('FEASIBLE_INPUT-OUTPUT_BAK'!D26-'FEASIBLE_INPUT-OUTPUT_BAK'!D27)</f>
        <v>-0.22727272727272727</v>
      </c>
      <c r="F8" s="12">
        <f>'FEASIBLE_INPUT-OUTPUT_BAK'!$C$26/('FEASIBLE_INPUT-OUTPUT_BAK'!C27+'FEASIBLE_INPUT-OUTPUT_BAK'!$D$27)</f>
        <v>0.70175438596491224</v>
      </c>
    </row>
    <row r="9" spans="1:6" x14ac:dyDescent="0.25">
      <c r="A9" s="3">
        <v>31</v>
      </c>
      <c r="B9" t="s">
        <v>27</v>
      </c>
      <c r="C9" t="s">
        <v>87</v>
      </c>
    </row>
    <row r="10" spans="1:6" x14ac:dyDescent="0.25">
      <c r="A10" s="3">
        <v>31.5</v>
      </c>
      <c r="B10" t="s">
        <v>28</v>
      </c>
      <c r="C10" t="s">
        <v>88</v>
      </c>
      <c r="D10" s="11">
        <f>'FEASIBLE_INPUT-OUTPUT_BAK'!$C$34/'FEASIBLE_INPUT-OUTPUT_BAK'!$D$35</f>
        <v>1.7391304347826089</v>
      </c>
      <c r="E10" s="11">
        <f>('FEASIBLE_INPUT-OUTPUT_BAK'!C34-'FEASIBLE_INPUT-OUTPUT_BAK'!C35)/('FEASIBLE_INPUT-OUTPUT_BAK'!D34-'FEASIBLE_INPUT-OUTPUT_BAK'!D35)</f>
        <v>-0.21739130434782611</v>
      </c>
      <c r="F10" s="12">
        <f>'FEASIBLE_INPUT-OUTPUT_BAK'!$C$34/('FEASIBLE_INPUT-OUTPUT_BAK'!C35+'FEASIBLE_INPUT-OUTPUT_BAK'!$D$35)</f>
        <v>0.68965517241379315</v>
      </c>
    </row>
    <row r="11" spans="1:6" x14ac:dyDescent="0.25">
      <c r="A11" s="3">
        <v>32</v>
      </c>
      <c r="B11" t="s">
        <v>29</v>
      </c>
      <c r="C11" t="s">
        <v>89</v>
      </c>
    </row>
    <row r="12" spans="1:6" x14ac:dyDescent="0.25">
      <c r="A12" s="3">
        <v>32.5</v>
      </c>
      <c r="B12" t="s">
        <v>30</v>
      </c>
      <c r="C12" t="s">
        <v>90</v>
      </c>
      <c r="D12" s="11">
        <f>'FEASIBLE_INPUT-OUTPUT_BAK'!$C$42/'FEASIBLE_INPUT-OUTPUT_BAK'!$D$43</f>
        <v>1.6666666666666667</v>
      </c>
      <c r="E12" s="11">
        <f>('FEASIBLE_INPUT-OUTPUT_BAK'!C42-'FEASIBLE_INPUT-OUTPUT_BAK'!C43)/('FEASIBLE_INPUT-OUTPUT_BAK'!D42-'FEASIBLE_INPUT-OUTPUT_BAK'!D43)</f>
        <v>-0.2</v>
      </c>
      <c r="F12" s="12">
        <f>'FEASIBLE_INPUT-OUTPUT_BAK'!$C$42/('FEASIBLE_INPUT-OUTPUT_BAK'!C43+'FEASIBLE_INPUT-OUTPUT_BAK'!$D$43)</f>
        <v>0.67567567567567566</v>
      </c>
    </row>
    <row r="13" spans="1:6" x14ac:dyDescent="0.25">
      <c r="A13" s="3">
        <v>33</v>
      </c>
      <c r="B13" t="s">
        <v>31</v>
      </c>
      <c r="C13" t="s">
        <v>91</v>
      </c>
    </row>
    <row r="14" spans="1:6" x14ac:dyDescent="0.25">
      <c r="A14" s="3">
        <v>40</v>
      </c>
      <c r="B14" t="s">
        <v>32</v>
      </c>
      <c r="C14" t="s">
        <v>92</v>
      </c>
    </row>
    <row r="15" spans="1:6" x14ac:dyDescent="0.25">
      <c r="A15" s="3">
        <v>40.5</v>
      </c>
      <c r="B15" t="s">
        <v>33</v>
      </c>
      <c r="C15" t="s">
        <v>93</v>
      </c>
      <c r="D15" s="11">
        <f>'FEASIBLE_INPUT-OUTPUT_BAK'!$C$54/'FEASIBLE_INPUT-OUTPUT_BAK'!$D$55</f>
        <v>0.83333333333333337</v>
      </c>
      <c r="E15" s="11">
        <f>('FEASIBLE_INPUT-OUTPUT_BAK'!C54-'FEASIBLE_INPUT-OUTPUT_BAK'!C55)/('FEASIBLE_INPUT-OUTPUT_BAK'!D54-'FEASIBLE_INPUT-OUTPUT_BAK'!D55)</f>
        <v>-0.375</v>
      </c>
      <c r="F15" s="12">
        <f>'FEASIBLE_INPUT-OUTPUT_BAK'!$C$54/('FEASIBLE_INPUT-OUTPUT_BAK'!C55+'FEASIBLE_INPUT-OUTPUT_BAK'!$D$55)</f>
        <v>0.5714285714285714</v>
      </c>
    </row>
    <row r="16" spans="1:6" x14ac:dyDescent="0.25">
      <c r="A16" s="3">
        <v>41</v>
      </c>
      <c r="B16" t="s">
        <v>34</v>
      </c>
      <c r="C16" t="s">
        <v>94</v>
      </c>
    </row>
    <row r="17" spans="1:6" x14ac:dyDescent="0.25">
      <c r="A17" s="3">
        <v>41.5</v>
      </c>
      <c r="B17" t="s">
        <v>35</v>
      </c>
      <c r="C17" t="s">
        <v>95</v>
      </c>
      <c r="D17" s="11">
        <f>'FEASIBLE_INPUT-OUTPUT_BAK'!$C$62/'FEASIBLE_INPUT-OUTPUT_BAK'!$D$63</f>
        <v>0.8</v>
      </c>
      <c r="E17" s="11">
        <f>('FEASIBLE_INPUT-OUTPUT_BAK'!C62-'FEASIBLE_INPUT-OUTPUT_BAK'!C63)/('FEASIBLE_INPUT-OUTPUT_BAK'!D62-'FEASIBLE_INPUT-OUTPUT_BAK'!D63)</f>
        <v>-0.3</v>
      </c>
      <c r="F17" s="12">
        <f>'FEASIBLE_INPUT-OUTPUT_BAK'!$C$62/('FEASIBLE_INPUT-OUTPUT_BAK'!C63+'FEASIBLE_INPUT-OUTPUT_BAK'!$D$63)</f>
        <v>0.53333333333333333</v>
      </c>
    </row>
    <row r="18" spans="1:6" x14ac:dyDescent="0.25">
      <c r="A18" s="3">
        <v>42</v>
      </c>
      <c r="B18" t="s">
        <v>36</v>
      </c>
      <c r="C18" t="s">
        <v>96</v>
      </c>
    </row>
    <row r="19" spans="1:6" x14ac:dyDescent="0.25">
      <c r="A19" s="3">
        <v>42.5</v>
      </c>
      <c r="B19" t="s">
        <v>37</v>
      </c>
      <c r="C19" t="s">
        <v>97</v>
      </c>
      <c r="D19" s="11">
        <f>'FEASIBLE_INPUT-OUTPUT_BAK'!$C$70/'FEASIBLE_INPUT-OUTPUT_BAK'!$D$71</f>
        <v>0.86956521739130443</v>
      </c>
      <c r="E19" s="11">
        <f>('FEASIBLE_INPUT-OUTPUT_BAK'!C70-'FEASIBLE_INPUT-OUTPUT_BAK'!C71)/('FEASIBLE_INPUT-OUTPUT_BAK'!D70-'FEASIBLE_INPUT-OUTPUT_BAK'!D71)</f>
        <v>-0.28695652173913044</v>
      </c>
      <c r="F19" s="12">
        <f>'FEASIBLE_INPUT-OUTPUT_BAK'!$C$70/('FEASIBLE_INPUT-OUTPUT_BAK'!C71+'FEASIBLE_INPUT-OUTPUT_BAK'!$D$71)</f>
        <v>0.5494505494505495</v>
      </c>
    </row>
    <row r="20" spans="1:6" x14ac:dyDescent="0.25">
      <c r="A20" s="3">
        <v>43</v>
      </c>
      <c r="B20" t="s">
        <v>38</v>
      </c>
      <c r="C20" t="s">
        <v>98</v>
      </c>
    </row>
    <row r="21" spans="1:6" x14ac:dyDescent="0.25">
      <c r="A21" s="3">
        <v>43.5</v>
      </c>
      <c r="B21" t="s">
        <v>39</v>
      </c>
      <c r="C21" t="s">
        <v>99</v>
      </c>
      <c r="D21" s="11">
        <f>'FEASIBLE_INPUT-OUTPUT_BAK'!$C$78/'FEASIBLE_INPUT-OUTPUT_BAK'!$D$79</f>
        <v>2</v>
      </c>
      <c r="E21" s="11">
        <f>('FEASIBLE_INPUT-OUTPUT_BAK'!C78-'FEASIBLE_INPUT-OUTPUT_BAK'!C79)/('FEASIBLE_INPUT-OUTPUT_BAK'!D78-'FEASIBLE_INPUT-OUTPUT_BAK'!D79)</f>
        <v>-0.35000000000000009</v>
      </c>
      <c r="F21" s="12">
        <f>'FEASIBLE_INPUT-OUTPUT_BAK'!$C$78/('FEASIBLE_INPUT-OUTPUT_BAK'!C79+'FEASIBLE_INPUT-OUTPUT_BAK'!$D$79)</f>
        <v>0.75471698113207553</v>
      </c>
    </row>
    <row r="22" spans="1:6" x14ac:dyDescent="0.25">
      <c r="A22" s="3">
        <v>44</v>
      </c>
      <c r="B22" t="s">
        <v>40</v>
      </c>
      <c r="C22" t="s">
        <v>100</v>
      </c>
    </row>
    <row r="23" spans="1:6" x14ac:dyDescent="0.25">
      <c r="A23" s="3">
        <v>44.5</v>
      </c>
      <c r="B23" t="s">
        <v>41</v>
      </c>
      <c r="C23" t="s">
        <v>101</v>
      </c>
      <c r="D23" s="11">
        <f>'FEASIBLE_INPUT-OUTPUT_BAK'!$C$86/'FEASIBLE_INPUT-OUTPUT_BAK'!$D$87</f>
        <v>1.3333333333333333</v>
      </c>
      <c r="E23" s="11">
        <f>('FEASIBLE_INPUT-OUTPUT_BAK'!C86-'FEASIBLE_INPUT-OUTPUT_BAK'!C87)/('FEASIBLE_INPUT-OUTPUT_BAK'!D86-'FEASIBLE_INPUT-OUTPUT_BAK'!D87)</f>
        <v>-0.23333333333333339</v>
      </c>
      <c r="F23" s="12">
        <f>'FEASIBLE_INPUT-OUTPUT_BAK'!$C$86/('FEASIBLE_INPUT-OUTPUT_BAK'!C87+'FEASIBLE_INPUT-OUTPUT_BAK'!$D$87)</f>
        <v>0.63492063492063489</v>
      </c>
    </row>
    <row r="24" spans="1:6" x14ac:dyDescent="0.25">
      <c r="A24" s="3">
        <v>45</v>
      </c>
      <c r="B24" t="s">
        <v>42</v>
      </c>
      <c r="C24" t="s">
        <v>102</v>
      </c>
    </row>
    <row r="25" spans="1:6" x14ac:dyDescent="0.25">
      <c r="A25" s="3">
        <v>45.5</v>
      </c>
      <c r="B25" t="s">
        <v>43</v>
      </c>
      <c r="C25" t="s">
        <v>103</v>
      </c>
      <c r="D25" s="11">
        <f>'FEASIBLE_INPUT-OUTPUT_BAK'!$C$94/'FEASIBLE_INPUT-OUTPUT_BAK'!$D$95</f>
        <v>1.3333333333333333</v>
      </c>
      <c r="E25" s="11">
        <f>('FEASIBLE_INPUT-OUTPUT_BAK'!C94-'FEASIBLE_INPUT-OUTPUT_BAK'!C95)/('FEASIBLE_INPUT-OUTPUT_BAK'!D94-'FEASIBLE_INPUT-OUTPUT_BAK'!D95)</f>
        <v>-0.79999999999999993</v>
      </c>
      <c r="F25" s="12">
        <f>'FEASIBLE_INPUT-OUTPUT_BAK'!$C$94/('FEASIBLE_INPUT-OUTPUT_BAK'!C95+'FEASIBLE_INPUT-OUTPUT_BAK'!$D$95)</f>
        <v>0.86956521739130443</v>
      </c>
    </row>
    <row r="26" spans="1:6" x14ac:dyDescent="0.25">
      <c r="A26" s="3">
        <v>49.5</v>
      </c>
      <c r="B26" t="s">
        <v>44</v>
      </c>
      <c r="C26" t="s">
        <v>104</v>
      </c>
    </row>
    <row r="27" spans="1:6" x14ac:dyDescent="0.25">
      <c r="A27" s="3">
        <v>50</v>
      </c>
      <c r="B27" t="s">
        <v>45</v>
      </c>
      <c r="C27" t="s">
        <v>105</v>
      </c>
    </row>
    <row r="28" spans="1:6" x14ac:dyDescent="0.25">
      <c r="A28" s="3">
        <v>50.5</v>
      </c>
      <c r="B28" t="s">
        <v>46</v>
      </c>
      <c r="C28" t="s">
        <v>106</v>
      </c>
      <c r="D28" s="11">
        <f>'FEASIBLE_INPUT-OUTPUT_BAK'!$C$106/'FEASIBLE_INPUT-OUTPUT_BAK'!$D$107</f>
        <v>1.25</v>
      </c>
      <c r="E28" s="11">
        <f>('FEASIBLE_INPUT-OUTPUT_BAK'!C106-'FEASIBLE_INPUT-OUTPUT_BAK'!C107)/('FEASIBLE_INPUT-OUTPUT_BAK'!D106-'FEASIBLE_INPUT-OUTPUT_BAK'!D107)</f>
        <v>-0.43749999999999994</v>
      </c>
      <c r="F28" s="12">
        <f>'FEASIBLE_INPUT-OUTPUT_BAK'!$C$106/('FEASIBLE_INPUT-OUTPUT_BAK'!C107+'FEASIBLE_INPUT-OUTPUT_BAK'!$D$107)</f>
        <v>0.68965517241379304</v>
      </c>
    </row>
    <row r="29" spans="1:6" x14ac:dyDescent="0.25">
      <c r="A29" s="3">
        <v>51</v>
      </c>
      <c r="B29" t="s">
        <v>47</v>
      </c>
      <c r="C29" t="s">
        <v>107</v>
      </c>
    </row>
    <row r="30" spans="1:6" x14ac:dyDescent="0.25">
      <c r="A30" s="3">
        <v>51.5</v>
      </c>
      <c r="B30" t="s">
        <v>48</v>
      </c>
      <c r="C30" t="s">
        <v>108</v>
      </c>
      <c r="D30" s="11">
        <f>'FEASIBLE_INPUT-OUTPUT_BAK'!$C$114/'FEASIBLE_INPUT-OUTPUT_BAK'!$D$115</f>
        <v>1</v>
      </c>
      <c r="E30" s="11">
        <f>('FEASIBLE_INPUT-OUTPUT_BAK'!C114-'FEASIBLE_INPUT-OUTPUT_BAK'!C115)/('FEASIBLE_INPUT-OUTPUT_BAK'!D114-'FEASIBLE_INPUT-OUTPUT_BAK'!D115)</f>
        <v>-0.4</v>
      </c>
      <c r="F30" s="12">
        <f>'FEASIBLE_INPUT-OUTPUT_BAK'!$C$114/('FEASIBLE_INPUT-OUTPUT_BAK'!C115+'FEASIBLE_INPUT-OUTPUT_BAK'!$D$115)</f>
        <v>0.625</v>
      </c>
    </row>
    <row r="31" spans="1:6" x14ac:dyDescent="0.25">
      <c r="A31" s="3">
        <v>52</v>
      </c>
      <c r="B31" t="s">
        <v>49</v>
      </c>
      <c r="C31" t="s">
        <v>109</v>
      </c>
    </row>
    <row r="32" spans="1:6" x14ac:dyDescent="0.25">
      <c r="A32" s="3">
        <v>52.5</v>
      </c>
      <c r="B32" t="s">
        <v>140</v>
      </c>
      <c r="C32" t="s">
        <v>110</v>
      </c>
      <c r="D32" s="11">
        <f>'FEASIBLE_INPUT-OUTPUT_BAK'!$C$122/'FEASIBLE_INPUT-OUTPUT_BAK'!$D$123</f>
        <v>1.7391304347826089</v>
      </c>
      <c r="E32" s="11">
        <f>('FEASIBLE_INPUT-OUTPUT_BAK'!C122-'FEASIBLE_INPUT-OUTPUT_BAK'!C123)/('FEASIBLE_INPUT-OUTPUT_BAK'!D122-'FEASIBLE_INPUT-OUTPUT_BAK'!D123)</f>
        <v>-0.26086956521739135</v>
      </c>
      <c r="F32" s="12">
        <f>'FEASIBLE_INPUT-OUTPUT_BAK'!$C$122/('FEASIBLE_INPUT-OUTPUT_BAK'!C123+'FEASIBLE_INPUT-OUTPUT_BAK'!$D$123)</f>
        <v>0.70175438596491235</v>
      </c>
    </row>
    <row r="33" spans="1:6" x14ac:dyDescent="0.25">
      <c r="A33" s="3">
        <v>60</v>
      </c>
      <c r="B33" t="s">
        <v>50</v>
      </c>
      <c r="C33" t="s">
        <v>111</v>
      </c>
    </row>
    <row r="34" spans="1:6" x14ac:dyDescent="0.25">
      <c r="A34" s="3">
        <v>61</v>
      </c>
      <c r="B34" t="s">
        <v>51</v>
      </c>
      <c r="C34" t="s">
        <v>112</v>
      </c>
    </row>
    <row r="35" spans="1:6" x14ac:dyDescent="0.25">
      <c r="A35" s="3">
        <v>62</v>
      </c>
      <c r="B35" t="s">
        <v>52</v>
      </c>
    </row>
    <row r="36" spans="1:6" x14ac:dyDescent="0.25">
      <c r="A36" s="3">
        <v>63</v>
      </c>
      <c r="B36" t="s">
        <v>53</v>
      </c>
      <c r="C36" t="s">
        <v>113</v>
      </c>
    </row>
    <row r="37" spans="1:6" x14ac:dyDescent="0.25">
      <c r="A37" s="3">
        <v>70</v>
      </c>
      <c r="B37" t="s">
        <v>54</v>
      </c>
      <c r="C37" t="s">
        <v>114</v>
      </c>
    </row>
    <row r="38" spans="1:6" x14ac:dyDescent="0.25">
      <c r="A38" s="3">
        <v>70.5</v>
      </c>
      <c r="B38" t="s">
        <v>55</v>
      </c>
      <c r="C38" t="s">
        <v>115</v>
      </c>
      <c r="D38" s="11">
        <f>'FEASIBLE_INPUT-OUTPUT_BAK'!$C$130/'FEASIBLE_INPUT-OUTPUT_BAK'!$D$131</f>
        <v>1.5384615384615383</v>
      </c>
      <c r="E38" s="11">
        <f>('FEASIBLE_INPUT-OUTPUT_BAK'!C130-'FEASIBLE_INPUT-OUTPUT_BAK'!C131)/('FEASIBLE_INPUT-OUTPUT_BAK'!D130-'FEASIBLE_INPUT-OUTPUT_BAK'!D131)</f>
        <v>-0.34615384615384609</v>
      </c>
      <c r="F38" s="12">
        <f>'FEASIBLE_INPUT-OUTPUT_BAK'!$C$130/('FEASIBLE_INPUT-OUTPUT_BAK'!C131+'FEASIBLE_INPUT-OUTPUT_BAK'!$D$131)</f>
        <v>0.70175438596491224</v>
      </c>
    </row>
    <row r="39" spans="1:6" x14ac:dyDescent="0.25">
      <c r="A39" s="3">
        <v>100</v>
      </c>
      <c r="B39" t="s">
        <v>56</v>
      </c>
      <c r="C39" t="s">
        <v>116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D813E-78BA-D24A-A7D9-6241E48D080F}">
  <dimension ref="A1:AY58"/>
  <sheetViews>
    <sheetView workbookViewId="0">
      <pane xSplit="3" ySplit="4" topLeftCell="AN42" activePane="bottomRight" state="frozen"/>
      <selection pane="topRight" activeCell="D1" sqref="D1"/>
      <selection pane="bottomLeft" activeCell="A7" sqref="A7"/>
      <selection pane="bottomRight" activeCell="AO45" sqref="AO45"/>
    </sheetView>
  </sheetViews>
  <sheetFormatPr baseColWidth="10" defaultRowHeight="15" x14ac:dyDescent="0.25"/>
  <cols>
    <col min="1" max="1" width="22.85546875" customWidth="1"/>
    <col min="2" max="2" width="9.42578125" customWidth="1"/>
  </cols>
  <sheetData>
    <row r="1" spans="1:51" x14ac:dyDescent="0.25">
      <c r="A1" s="15" t="s">
        <v>259</v>
      </c>
      <c r="B1" s="15"/>
    </row>
    <row r="2" spans="1:51" s="15" customFormat="1" ht="75" x14ac:dyDescent="0.25">
      <c r="A2" s="15" t="s">
        <v>260</v>
      </c>
      <c r="D2" s="36" t="s">
        <v>270</v>
      </c>
      <c r="E2" s="36" t="s">
        <v>271</v>
      </c>
      <c r="F2" s="36" t="s">
        <v>272</v>
      </c>
      <c r="G2" s="36" t="s">
        <v>273</v>
      </c>
      <c r="H2" s="36" t="s">
        <v>54</v>
      </c>
      <c r="I2" s="36" t="s">
        <v>55</v>
      </c>
      <c r="J2" s="37" t="s">
        <v>20</v>
      </c>
      <c r="K2" s="37" t="s">
        <v>21</v>
      </c>
      <c r="L2" s="37" t="s">
        <v>22</v>
      </c>
      <c r="M2" s="37" t="s">
        <v>23</v>
      </c>
      <c r="N2" s="37" t="s">
        <v>24</v>
      </c>
      <c r="O2" s="37" t="s">
        <v>25</v>
      </c>
      <c r="P2" s="37" t="s">
        <v>26</v>
      </c>
      <c r="Q2" s="37" t="s">
        <v>27</v>
      </c>
      <c r="R2" s="37" t="s">
        <v>28</v>
      </c>
      <c r="S2" s="37" t="s">
        <v>29</v>
      </c>
      <c r="T2" s="37" t="s">
        <v>30</v>
      </c>
      <c r="U2" s="37" t="s">
        <v>31</v>
      </c>
      <c r="V2" s="37" t="s">
        <v>32</v>
      </c>
      <c r="W2" s="37" t="s">
        <v>33</v>
      </c>
      <c r="X2" s="37" t="s">
        <v>205</v>
      </c>
      <c r="Y2" s="37" t="s">
        <v>343</v>
      </c>
      <c r="Z2" s="37" t="s">
        <v>206</v>
      </c>
      <c r="AA2" s="37" t="s">
        <v>206</v>
      </c>
      <c r="AB2" s="37" t="s">
        <v>38</v>
      </c>
      <c r="AC2" s="37" t="s">
        <v>39</v>
      </c>
      <c r="AD2" s="37" t="s">
        <v>40</v>
      </c>
      <c r="AE2" s="37" t="s">
        <v>41</v>
      </c>
      <c r="AF2" s="37" t="s">
        <v>42</v>
      </c>
      <c r="AG2" s="37" t="s">
        <v>43</v>
      </c>
      <c r="AH2" s="37" t="s">
        <v>207</v>
      </c>
      <c r="AI2" s="37" t="s">
        <v>45</v>
      </c>
      <c r="AJ2" s="37" t="s">
        <v>46</v>
      </c>
      <c r="AK2" s="37" t="s">
        <v>208</v>
      </c>
      <c r="AL2" s="37" t="s">
        <v>208</v>
      </c>
      <c r="AM2" s="37" t="s">
        <v>49</v>
      </c>
      <c r="AN2" s="37" t="s">
        <v>140</v>
      </c>
      <c r="AO2" s="38" t="s">
        <v>210</v>
      </c>
      <c r="AP2" s="38" t="s">
        <v>211</v>
      </c>
      <c r="AQ2" s="38" t="s">
        <v>213</v>
      </c>
      <c r="AR2" s="39" t="s">
        <v>279</v>
      </c>
      <c r="AS2" s="39" t="s">
        <v>346</v>
      </c>
      <c r="AT2" s="39" t="s">
        <v>347</v>
      </c>
      <c r="AU2" s="39" t="s">
        <v>348</v>
      </c>
      <c r="AV2" s="39" t="s">
        <v>349</v>
      </c>
      <c r="AW2" s="39" t="s">
        <v>350</v>
      </c>
      <c r="AX2" s="39" t="s">
        <v>351</v>
      </c>
      <c r="AY2" s="39" t="s">
        <v>280</v>
      </c>
    </row>
    <row r="3" spans="1:51" s="15" customFormat="1" x14ac:dyDescent="0.25">
      <c r="A3" s="15" t="s">
        <v>267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</row>
    <row r="4" spans="1:51" x14ac:dyDescent="0.25">
      <c r="A4" s="15" t="s">
        <v>318</v>
      </c>
      <c r="B4" s="15"/>
      <c r="D4" t="s">
        <v>3</v>
      </c>
      <c r="E4" t="s">
        <v>4</v>
      </c>
      <c r="F4" t="s">
        <v>5</v>
      </c>
      <c r="G4" t="s">
        <v>6</v>
      </c>
      <c r="H4" t="s">
        <v>114</v>
      </c>
      <c r="I4" t="s">
        <v>115</v>
      </c>
      <c r="J4" t="s">
        <v>80</v>
      </c>
      <c r="K4" t="s">
        <v>81</v>
      </c>
      <c r="L4" t="s">
        <v>82</v>
      </c>
      <c r="M4" t="s">
        <v>83</v>
      </c>
      <c r="N4" t="s">
        <v>84</v>
      </c>
      <c r="O4" t="s">
        <v>85</v>
      </c>
      <c r="P4" t="s">
        <v>86</v>
      </c>
      <c r="Q4" t="s">
        <v>87</v>
      </c>
      <c r="R4" t="s">
        <v>88</v>
      </c>
      <c r="S4" t="s">
        <v>89</v>
      </c>
      <c r="T4" t="s">
        <v>90</v>
      </c>
      <c r="U4" t="s">
        <v>91</v>
      </c>
      <c r="V4" t="s">
        <v>92</v>
      </c>
      <c r="W4" t="s">
        <v>93</v>
      </c>
      <c r="X4" t="s">
        <v>94</v>
      </c>
      <c r="Y4" t="s">
        <v>95</v>
      </c>
      <c r="Z4" t="s">
        <v>96</v>
      </c>
      <c r="AA4" t="s">
        <v>97</v>
      </c>
      <c r="AB4" t="s">
        <v>98</v>
      </c>
      <c r="AC4" t="s">
        <v>99</v>
      </c>
      <c r="AD4" t="s">
        <v>100</v>
      </c>
      <c r="AE4" t="s">
        <v>101</v>
      </c>
      <c r="AF4" t="s">
        <v>102</v>
      </c>
      <c r="AG4" t="s">
        <v>103</v>
      </c>
      <c r="AH4" t="s">
        <v>104</v>
      </c>
      <c r="AI4" t="s">
        <v>105</v>
      </c>
      <c r="AJ4" t="s">
        <v>106</v>
      </c>
      <c r="AK4" t="s">
        <v>107</v>
      </c>
      <c r="AL4" t="s">
        <v>108</v>
      </c>
      <c r="AM4" t="s">
        <v>109</v>
      </c>
      <c r="AN4" t="s">
        <v>110</v>
      </c>
      <c r="AO4" t="s">
        <v>116</v>
      </c>
      <c r="AP4" t="s">
        <v>212</v>
      </c>
      <c r="AQ4" t="s">
        <v>214</v>
      </c>
      <c r="AR4" t="s">
        <v>117</v>
      </c>
      <c r="AS4" t="s">
        <v>305</v>
      </c>
      <c r="AT4" t="s">
        <v>306</v>
      </c>
      <c r="AU4" t="s">
        <v>307</v>
      </c>
      <c r="AV4" t="s">
        <v>308</v>
      </c>
      <c r="AW4" t="s">
        <v>309</v>
      </c>
      <c r="AX4" t="s">
        <v>310</v>
      </c>
      <c r="AY4" t="s">
        <v>258</v>
      </c>
    </row>
    <row r="5" spans="1:51" x14ac:dyDescent="0.25">
      <c r="A5" s="15" t="s">
        <v>287</v>
      </c>
      <c r="B5" t="s">
        <v>1</v>
      </c>
      <c r="C5">
        <v>2012</v>
      </c>
      <c r="D5">
        <v>0.36288500000000001</v>
      </c>
      <c r="E5">
        <v>5.5190000000000001</v>
      </c>
      <c r="F5">
        <v>1.373</v>
      </c>
      <c r="G5">
        <v>0</v>
      </c>
    </row>
    <row r="6" spans="1:51" x14ac:dyDescent="0.25">
      <c r="A6" s="15" t="s">
        <v>289</v>
      </c>
      <c r="B6" t="s">
        <v>1</v>
      </c>
      <c r="C6">
        <v>2012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51" x14ac:dyDescent="0.25">
      <c r="A7" s="15" t="s">
        <v>288</v>
      </c>
      <c r="B7" t="s">
        <v>1</v>
      </c>
      <c r="C7">
        <v>2012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51" x14ac:dyDescent="0.25">
      <c r="A8" s="15" t="s">
        <v>287</v>
      </c>
      <c r="B8" t="s">
        <v>1</v>
      </c>
      <c r="C8">
        <v>2013</v>
      </c>
      <c r="D8">
        <v>0.62597400000000003</v>
      </c>
      <c r="E8">
        <v>5.5730000000000004</v>
      </c>
      <c r="F8">
        <v>1.6879999999999999</v>
      </c>
      <c r="G8">
        <v>0</v>
      </c>
    </row>
    <row r="9" spans="1:51" x14ac:dyDescent="0.25">
      <c r="A9" s="15" t="s">
        <v>289</v>
      </c>
      <c r="B9" t="s">
        <v>1</v>
      </c>
      <c r="C9">
        <v>2013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51" x14ac:dyDescent="0.25">
      <c r="A10" s="15" t="s">
        <v>288</v>
      </c>
      <c r="B10" t="s">
        <v>1</v>
      </c>
      <c r="C10">
        <v>2013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51" x14ac:dyDescent="0.25">
      <c r="A11" s="15" t="s">
        <v>287</v>
      </c>
      <c r="B11" t="s">
        <v>1</v>
      </c>
      <c r="C11">
        <v>2014</v>
      </c>
      <c r="D11">
        <v>0.785246</v>
      </c>
      <c r="E11">
        <v>5.6150000000000002</v>
      </c>
      <c r="F11">
        <v>2.0960000000000001</v>
      </c>
      <c r="G11">
        <v>0</v>
      </c>
    </row>
    <row r="12" spans="1:51" x14ac:dyDescent="0.25">
      <c r="A12" s="15" t="s">
        <v>289</v>
      </c>
      <c r="B12" t="s">
        <v>1</v>
      </c>
      <c r="C12">
        <v>2014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</row>
    <row r="13" spans="1:51" x14ac:dyDescent="0.25">
      <c r="A13" s="15" t="s">
        <v>288</v>
      </c>
      <c r="B13" t="s">
        <v>1</v>
      </c>
      <c r="C13">
        <v>2014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</row>
    <row r="14" spans="1:51" x14ac:dyDescent="0.25">
      <c r="A14" s="15" t="s">
        <v>287</v>
      </c>
      <c r="B14" t="s">
        <v>1</v>
      </c>
      <c r="C14">
        <v>2015</v>
      </c>
      <c r="D14">
        <v>0.93709799999999999</v>
      </c>
      <c r="E14">
        <v>5.6559999999999997</v>
      </c>
      <c r="F14">
        <v>2.4209999999999998</v>
      </c>
      <c r="G14">
        <v>0</v>
      </c>
    </row>
    <row r="15" spans="1:51" x14ac:dyDescent="0.25">
      <c r="A15" s="15" t="s">
        <v>289</v>
      </c>
      <c r="B15" t="s">
        <v>1</v>
      </c>
      <c r="C15">
        <v>2015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</row>
    <row r="16" spans="1:51" x14ac:dyDescent="0.25">
      <c r="A16" s="15" t="s">
        <v>288</v>
      </c>
      <c r="B16" t="s">
        <v>1</v>
      </c>
      <c r="C16">
        <v>2015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</row>
    <row r="17" spans="1:51" x14ac:dyDescent="0.25">
      <c r="A17" s="15" t="s">
        <v>287</v>
      </c>
      <c r="B17" t="s">
        <v>1</v>
      </c>
      <c r="C17">
        <v>2016</v>
      </c>
      <c r="D17">
        <v>1.0960160000000001</v>
      </c>
      <c r="E17">
        <v>5.7</v>
      </c>
      <c r="F17">
        <v>2.649</v>
      </c>
      <c r="G17">
        <v>0</v>
      </c>
      <c r="H17">
        <v>0.35499999999999998</v>
      </c>
      <c r="I17">
        <v>0.37</v>
      </c>
      <c r="J17">
        <v>0</v>
      </c>
      <c r="K17">
        <v>0</v>
      </c>
      <c r="L17">
        <v>0</v>
      </c>
      <c r="M17">
        <v>0</v>
      </c>
      <c r="N17">
        <v>0</v>
      </c>
      <c r="O17">
        <v>0.78500000000000003</v>
      </c>
      <c r="P17">
        <v>0.41599999999999998</v>
      </c>
      <c r="Q17">
        <v>0</v>
      </c>
      <c r="R17">
        <v>0</v>
      </c>
      <c r="S17">
        <v>0</v>
      </c>
      <c r="T17">
        <v>0</v>
      </c>
      <c r="U17">
        <v>0</v>
      </c>
      <c r="V17">
        <v>0.16200000000000001</v>
      </c>
      <c r="W17">
        <v>0.70499999999999996</v>
      </c>
      <c r="X17">
        <v>0.14899999999999999</v>
      </c>
      <c r="Y17">
        <v>0.32200000000000001</v>
      </c>
      <c r="Z17">
        <v>0</v>
      </c>
      <c r="AA17">
        <v>0</v>
      </c>
      <c r="AB17">
        <v>0.17599999999999999</v>
      </c>
      <c r="AC17">
        <v>0.38300000000000001</v>
      </c>
      <c r="AD17">
        <v>0</v>
      </c>
      <c r="AE17">
        <v>2.6579999999999999</v>
      </c>
      <c r="AF17">
        <v>0</v>
      </c>
      <c r="AG17">
        <v>0</v>
      </c>
      <c r="AH17">
        <v>4.5</v>
      </c>
      <c r="AI17">
        <v>0.29599999999999999</v>
      </c>
      <c r="AJ17">
        <v>0</v>
      </c>
      <c r="AK17">
        <v>1.4E-2</v>
      </c>
      <c r="AL17">
        <v>0</v>
      </c>
      <c r="AM17">
        <v>0.12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1.9890000000000001</v>
      </c>
      <c r="AT17">
        <v>0.32800000000000001</v>
      </c>
      <c r="AU17">
        <v>1.2070000000000001</v>
      </c>
      <c r="AV17">
        <v>2.464</v>
      </c>
      <c r="AW17">
        <v>1.17</v>
      </c>
      <c r="AX17">
        <v>1.6060000000000001</v>
      </c>
      <c r="AY17">
        <v>0</v>
      </c>
    </row>
    <row r="18" spans="1:51" x14ac:dyDescent="0.25">
      <c r="A18" s="15" t="s">
        <v>289</v>
      </c>
      <c r="B18" t="s">
        <v>1</v>
      </c>
      <c r="C18">
        <v>2016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0.89</v>
      </c>
      <c r="AW18">
        <v>1.01</v>
      </c>
      <c r="AX18">
        <v>1.393</v>
      </c>
      <c r="AY18">
        <v>0</v>
      </c>
    </row>
    <row r="19" spans="1:51" x14ac:dyDescent="0.25">
      <c r="A19" s="15" t="s">
        <v>288</v>
      </c>
      <c r="B19" t="s">
        <v>1</v>
      </c>
      <c r="C19">
        <v>2016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34.6</v>
      </c>
      <c r="AT19">
        <v>36.700000000000003</v>
      </c>
      <c r="AU19">
        <v>1342.3</v>
      </c>
      <c r="AV19">
        <v>75.400000000000006</v>
      </c>
      <c r="AW19">
        <v>308.5</v>
      </c>
      <c r="AX19">
        <v>1481.5</v>
      </c>
      <c r="AY19">
        <v>0</v>
      </c>
    </row>
    <row r="20" spans="1:51" x14ac:dyDescent="0.25">
      <c r="A20" s="15" t="s">
        <v>287</v>
      </c>
      <c r="B20" t="s">
        <v>1</v>
      </c>
      <c r="C20">
        <v>2017</v>
      </c>
      <c r="D20">
        <v>1.2689710000000001</v>
      </c>
      <c r="E20">
        <v>5.7140000000000004</v>
      </c>
      <c r="F20">
        <v>2.8439999999999999</v>
      </c>
      <c r="G20">
        <v>0</v>
      </c>
    </row>
    <row r="21" spans="1:51" x14ac:dyDescent="0.25">
      <c r="A21" s="15" t="s">
        <v>289</v>
      </c>
      <c r="B21" t="s">
        <v>1</v>
      </c>
      <c r="C21">
        <v>2017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</row>
    <row r="22" spans="1:51" x14ac:dyDescent="0.25">
      <c r="A22" s="15" t="s">
        <v>288</v>
      </c>
      <c r="B22" t="s">
        <v>1</v>
      </c>
      <c r="C22">
        <v>2017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</row>
    <row r="23" spans="1:51" x14ac:dyDescent="0.25">
      <c r="A23" s="15" t="s">
        <v>287</v>
      </c>
      <c r="B23" t="s">
        <v>1</v>
      </c>
      <c r="C23">
        <v>2018</v>
      </c>
      <c r="D23">
        <v>1.4376409999999999</v>
      </c>
      <c r="E23">
        <v>5.7220000000000004</v>
      </c>
      <c r="F23">
        <v>3.0449999999999999</v>
      </c>
      <c r="G23">
        <v>0</v>
      </c>
    </row>
    <row r="24" spans="1:51" x14ac:dyDescent="0.25">
      <c r="A24" s="15" t="s">
        <v>289</v>
      </c>
      <c r="B24" t="s">
        <v>1</v>
      </c>
      <c r="C24">
        <v>2018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</row>
    <row r="25" spans="1:51" x14ac:dyDescent="0.25">
      <c r="A25" s="15" t="s">
        <v>288</v>
      </c>
      <c r="B25" t="s">
        <v>1</v>
      </c>
      <c r="C25">
        <v>2018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</row>
    <row r="26" spans="1:51" x14ac:dyDescent="0.25">
      <c r="A26" s="15" t="s">
        <v>287</v>
      </c>
      <c r="B26" t="s">
        <v>1</v>
      </c>
      <c r="C26">
        <v>2019</v>
      </c>
      <c r="G26">
        <v>0</v>
      </c>
    </row>
    <row r="27" spans="1:51" x14ac:dyDescent="0.25">
      <c r="A27" s="15" t="s">
        <v>289</v>
      </c>
      <c r="B27" t="s">
        <v>1</v>
      </c>
      <c r="C27">
        <v>2019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</row>
    <row r="28" spans="1:51" x14ac:dyDescent="0.25">
      <c r="A28" s="15" t="s">
        <v>288</v>
      </c>
      <c r="B28" t="s">
        <v>1</v>
      </c>
      <c r="C28">
        <v>2019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</row>
    <row r="29" spans="1:51" x14ac:dyDescent="0.25">
      <c r="A29" s="15" t="s">
        <v>287</v>
      </c>
      <c r="B29" t="s">
        <v>1</v>
      </c>
      <c r="C29">
        <v>2020</v>
      </c>
      <c r="G29">
        <v>0</v>
      </c>
    </row>
    <row r="30" spans="1:51" x14ac:dyDescent="0.25">
      <c r="A30" s="15" t="s">
        <v>289</v>
      </c>
      <c r="B30" t="s">
        <v>1</v>
      </c>
      <c r="C30">
        <v>2020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</row>
    <row r="31" spans="1:51" x14ac:dyDescent="0.25">
      <c r="A31" s="15" t="s">
        <v>288</v>
      </c>
      <c r="B31" t="s">
        <v>1</v>
      </c>
      <c r="C31">
        <v>2020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</row>
    <row r="32" spans="1:51" x14ac:dyDescent="0.25">
      <c r="A32" s="15" t="s">
        <v>287</v>
      </c>
      <c r="B32" t="s">
        <v>2</v>
      </c>
      <c r="C32">
        <v>2012</v>
      </c>
      <c r="D32">
        <v>34.076999999999998</v>
      </c>
      <c r="E32">
        <v>4.5179999999999998</v>
      </c>
      <c r="F32">
        <v>30.710999999999999</v>
      </c>
      <c r="G32">
        <v>0.26800000000000002</v>
      </c>
    </row>
    <row r="33" spans="1:51" x14ac:dyDescent="0.25">
      <c r="A33" s="15" t="s">
        <v>289</v>
      </c>
      <c r="B33" t="s">
        <v>2</v>
      </c>
      <c r="C33">
        <v>2012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</row>
    <row r="34" spans="1:51" x14ac:dyDescent="0.25">
      <c r="A34" s="15" t="s">
        <v>288</v>
      </c>
      <c r="B34" t="s">
        <v>2</v>
      </c>
      <c r="C34">
        <v>2012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</row>
    <row r="35" spans="1:51" x14ac:dyDescent="0.25">
      <c r="A35" s="15" t="s">
        <v>287</v>
      </c>
      <c r="B35" t="s">
        <v>2</v>
      </c>
      <c r="C35">
        <v>2013</v>
      </c>
      <c r="D35">
        <v>36.71</v>
      </c>
      <c r="E35">
        <v>4.5009999999999994</v>
      </c>
      <c r="F35">
        <v>32.969000000000001</v>
      </c>
      <c r="G35">
        <v>0.50800000000000001</v>
      </c>
    </row>
    <row r="36" spans="1:51" x14ac:dyDescent="0.25">
      <c r="A36" s="15" t="s">
        <v>289</v>
      </c>
      <c r="B36" t="s">
        <v>2</v>
      </c>
      <c r="C36">
        <v>2013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</row>
    <row r="37" spans="1:51" x14ac:dyDescent="0.25">
      <c r="A37" s="15" t="s">
        <v>288</v>
      </c>
      <c r="B37" t="s">
        <v>2</v>
      </c>
      <c r="C37">
        <v>2013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</row>
    <row r="38" spans="1:51" x14ac:dyDescent="0.25">
      <c r="A38" s="15" t="s">
        <v>287</v>
      </c>
      <c r="B38" t="s">
        <v>2</v>
      </c>
      <c r="C38">
        <v>2014</v>
      </c>
      <c r="D38">
        <v>37.9</v>
      </c>
      <c r="E38">
        <v>4.4909999999999997</v>
      </c>
      <c r="F38">
        <v>37.619999999999997</v>
      </c>
      <c r="G38">
        <v>0.99399999999999999</v>
      </c>
    </row>
    <row r="39" spans="1:51" x14ac:dyDescent="0.25">
      <c r="A39" s="15" t="s">
        <v>289</v>
      </c>
      <c r="B39" t="s">
        <v>2</v>
      </c>
      <c r="C39">
        <v>2014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</row>
    <row r="40" spans="1:51" x14ac:dyDescent="0.25">
      <c r="A40" s="15" t="s">
        <v>288</v>
      </c>
      <c r="B40" t="s">
        <v>2</v>
      </c>
      <c r="C40">
        <v>2014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</row>
    <row r="41" spans="1:51" x14ac:dyDescent="0.25">
      <c r="A41" s="15" t="s">
        <v>287</v>
      </c>
      <c r="B41" t="s">
        <v>2</v>
      </c>
      <c r="C41">
        <v>2015</v>
      </c>
      <c r="D41">
        <v>39.223999999999997</v>
      </c>
      <c r="E41">
        <v>4.5</v>
      </c>
      <c r="F41">
        <v>41.296999999999997</v>
      </c>
      <c r="G41">
        <v>3.2829999999999999</v>
      </c>
    </row>
    <row r="42" spans="1:51" x14ac:dyDescent="0.25">
      <c r="A42" s="15" t="s">
        <v>289</v>
      </c>
      <c r="B42" t="s">
        <v>2</v>
      </c>
      <c r="C42">
        <v>2015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</row>
    <row r="43" spans="1:51" x14ac:dyDescent="0.25">
      <c r="A43" s="15" t="s">
        <v>288</v>
      </c>
      <c r="B43" t="s">
        <v>2</v>
      </c>
      <c r="C43">
        <v>2015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</row>
    <row r="44" spans="1:51" x14ac:dyDescent="0.25">
      <c r="A44" s="15" t="s">
        <v>287</v>
      </c>
      <c r="B44" t="s">
        <v>2</v>
      </c>
      <c r="C44">
        <v>2016</v>
      </c>
      <c r="D44">
        <v>40.679000000000002</v>
      </c>
      <c r="E44">
        <v>4.5</v>
      </c>
      <c r="F44">
        <v>45.283000000000001</v>
      </c>
      <c r="G44">
        <v>4.1520000000000001</v>
      </c>
      <c r="H44">
        <v>2.504</v>
      </c>
      <c r="I44">
        <v>0</v>
      </c>
      <c r="J44" s="29">
        <v>12.02</v>
      </c>
      <c r="K44" s="29">
        <v>5.923</v>
      </c>
      <c r="L44" s="29">
        <v>12.425000000000001</v>
      </c>
      <c r="M44" s="29">
        <v>1.012</v>
      </c>
      <c r="N44" s="29">
        <v>0.93300000000000005</v>
      </c>
      <c r="O44" s="29">
        <v>8.06</v>
      </c>
      <c r="P44" s="29">
        <v>11.634</v>
      </c>
      <c r="Q44" s="29">
        <v>1.135</v>
      </c>
      <c r="R44" s="29">
        <v>4.1459999999999999</v>
      </c>
      <c r="S44" s="29">
        <v>0</v>
      </c>
      <c r="T44" s="29">
        <v>0</v>
      </c>
      <c r="U44" s="29">
        <v>0</v>
      </c>
      <c r="V44" s="29">
        <v>1.502</v>
      </c>
      <c r="W44" s="29">
        <v>2.9089999999999998</v>
      </c>
      <c r="X44" s="29">
        <v>2.4620000000000002</v>
      </c>
      <c r="Y44" s="29">
        <v>1.0820000000000001</v>
      </c>
      <c r="Z44" s="29">
        <v>9.4E-2</v>
      </c>
      <c r="AA44" s="29">
        <v>0.42799999999999999</v>
      </c>
      <c r="AB44" s="29">
        <v>1.835</v>
      </c>
      <c r="AC44" s="29">
        <v>4.9950000000000001</v>
      </c>
      <c r="AD44" s="29">
        <v>3.472</v>
      </c>
      <c r="AE44" s="29">
        <v>5.2359999999999998</v>
      </c>
      <c r="AF44" s="29">
        <v>2.1000000000000001E-2</v>
      </c>
      <c r="AG44" s="29">
        <v>0.14899999999999999</v>
      </c>
      <c r="AH44" s="29">
        <v>20</v>
      </c>
      <c r="AI44" s="29">
        <v>0.19400000000000001</v>
      </c>
      <c r="AJ44" s="29">
        <v>1.5469999999999999</v>
      </c>
      <c r="AK44" s="29">
        <v>1.478</v>
      </c>
      <c r="AL44" s="29">
        <v>0.29699999999999999</v>
      </c>
      <c r="AM44" s="29">
        <v>0</v>
      </c>
      <c r="AN44" s="29">
        <v>0</v>
      </c>
      <c r="AO44" s="29">
        <v>0.1</v>
      </c>
      <c r="AP44" s="29">
        <v>0</v>
      </c>
      <c r="AQ44" s="29">
        <v>0</v>
      </c>
      <c r="AR44" s="29">
        <v>0</v>
      </c>
      <c r="AS44" s="29">
        <v>0</v>
      </c>
      <c r="AT44" s="29">
        <v>0</v>
      </c>
      <c r="AU44" s="29">
        <v>0.185</v>
      </c>
      <c r="AV44" s="29">
        <v>6.1550000000000002</v>
      </c>
      <c r="AW44" s="29">
        <v>0</v>
      </c>
      <c r="AX44" s="29">
        <v>0.28899999999999998</v>
      </c>
      <c r="AY44" s="29">
        <v>0</v>
      </c>
    </row>
    <row r="45" spans="1:51" x14ac:dyDescent="0.25">
      <c r="A45" s="15" t="s">
        <v>289</v>
      </c>
      <c r="B45" t="s">
        <v>2</v>
      </c>
      <c r="C45">
        <v>2016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5.835</v>
      </c>
      <c r="AW45">
        <v>0</v>
      </c>
      <c r="AX45">
        <v>0.17299999999999999</v>
      </c>
      <c r="AY45">
        <v>0</v>
      </c>
    </row>
    <row r="46" spans="1:51" x14ac:dyDescent="0.25">
      <c r="A46" s="15" t="s">
        <v>288</v>
      </c>
      <c r="B46" t="s">
        <v>2</v>
      </c>
      <c r="C46">
        <v>2016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101.44</v>
      </c>
      <c r="AV46">
        <v>38.450000000000003</v>
      </c>
      <c r="AW46">
        <v>0</v>
      </c>
      <c r="AX46">
        <v>98.55</v>
      </c>
      <c r="AY46">
        <v>0</v>
      </c>
    </row>
    <row r="47" spans="1:51" x14ac:dyDescent="0.25">
      <c r="A47" s="15" t="s">
        <v>287</v>
      </c>
      <c r="B47" t="s">
        <v>2</v>
      </c>
      <c r="C47">
        <v>2017</v>
      </c>
      <c r="D47">
        <v>42.338999999999999</v>
      </c>
      <c r="E47">
        <v>4.5</v>
      </c>
      <c r="F47">
        <v>50.290999999999997</v>
      </c>
      <c r="G47">
        <v>5.4269999999999996</v>
      </c>
    </row>
    <row r="48" spans="1:51" x14ac:dyDescent="0.25">
      <c r="A48" s="15" t="s">
        <v>289</v>
      </c>
      <c r="B48" t="s">
        <v>2</v>
      </c>
      <c r="C48">
        <v>2017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</row>
    <row r="49" spans="1:43" x14ac:dyDescent="0.25">
      <c r="A49" s="15" t="s">
        <v>288</v>
      </c>
      <c r="B49" t="s">
        <v>2</v>
      </c>
      <c r="C49">
        <v>2017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</row>
    <row r="50" spans="1:43" x14ac:dyDescent="0.25">
      <c r="A50" s="15" t="s">
        <v>287</v>
      </c>
      <c r="B50" t="s">
        <v>2</v>
      </c>
      <c r="C50">
        <v>2018</v>
      </c>
      <c r="D50">
        <v>45.277000000000001</v>
      </c>
      <c r="E50">
        <v>4.5069999999999997</v>
      </c>
      <c r="F50">
        <v>52.564999999999998</v>
      </c>
      <c r="G50">
        <v>6.4169999999999998</v>
      </c>
    </row>
    <row r="51" spans="1:43" x14ac:dyDescent="0.25">
      <c r="A51" s="15" t="s">
        <v>289</v>
      </c>
      <c r="B51" t="s">
        <v>2</v>
      </c>
      <c r="C51">
        <v>2018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</row>
    <row r="52" spans="1:43" x14ac:dyDescent="0.25">
      <c r="A52" s="15" t="s">
        <v>288</v>
      </c>
      <c r="B52" t="s">
        <v>2</v>
      </c>
      <c r="C52">
        <v>2018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</row>
    <row r="53" spans="1:43" x14ac:dyDescent="0.25">
      <c r="A53" s="15" t="s">
        <v>287</v>
      </c>
      <c r="B53" t="s">
        <v>2</v>
      </c>
      <c r="C53">
        <v>2019</v>
      </c>
    </row>
    <row r="54" spans="1:43" x14ac:dyDescent="0.25">
      <c r="A54" s="15" t="s">
        <v>289</v>
      </c>
      <c r="B54" t="s">
        <v>2</v>
      </c>
      <c r="C54">
        <v>2019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</row>
    <row r="55" spans="1:43" x14ac:dyDescent="0.25">
      <c r="A55" s="15" t="s">
        <v>288</v>
      </c>
      <c r="B55" t="s">
        <v>2</v>
      </c>
      <c r="C55">
        <v>2019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</row>
    <row r="56" spans="1:43" x14ac:dyDescent="0.25">
      <c r="A56" s="15" t="s">
        <v>287</v>
      </c>
      <c r="B56" t="s">
        <v>2</v>
      </c>
      <c r="C56">
        <v>2020</v>
      </c>
    </row>
    <row r="57" spans="1:43" x14ac:dyDescent="0.25">
      <c r="A57" s="15" t="s">
        <v>289</v>
      </c>
      <c r="B57" t="s">
        <v>2</v>
      </c>
      <c r="C57">
        <v>2020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</row>
    <row r="58" spans="1:43" x14ac:dyDescent="0.25">
      <c r="A58" s="15" t="s">
        <v>288</v>
      </c>
      <c r="B58" t="s">
        <v>2</v>
      </c>
      <c r="C58">
        <v>2020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D7635-111A-D442-BE0C-35A2D3A6DC99}">
  <dimension ref="A1:AD53"/>
  <sheetViews>
    <sheetView workbookViewId="0">
      <pane ySplit="3" topLeftCell="A34" activePane="bottomLeft" state="frozen"/>
      <selection pane="bottomLeft" activeCell="M41" sqref="M41"/>
    </sheetView>
  </sheetViews>
  <sheetFormatPr baseColWidth="10" defaultRowHeight="15" x14ac:dyDescent="0.25"/>
  <cols>
    <col min="2" max="2" width="29.7109375" bestFit="1" customWidth="1"/>
    <col min="3" max="3" width="13.28515625" bestFit="1" customWidth="1"/>
  </cols>
  <sheetData>
    <row r="1" spans="1:30" s="15" customFormat="1" ht="90" x14ac:dyDescent="0.25">
      <c r="A1" s="15" t="s">
        <v>259</v>
      </c>
      <c r="B1" s="15" t="s">
        <v>260</v>
      </c>
      <c r="C1" s="15" t="s">
        <v>261</v>
      </c>
      <c r="D1" s="15" t="s">
        <v>283</v>
      </c>
      <c r="E1" s="15" t="s">
        <v>344</v>
      </c>
      <c r="F1" s="15" t="s">
        <v>262</v>
      </c>
      <c r="G1" s="15" t="s">
        <v>263</v>
      </c>
      <c r="H1" s="15" t="s">
        <v>274</v>
      </c>
      <c r="I1" s="15" t="s">
        <v>275</v>
      </c>
      <c r="J1" s="15" t="s">
        <v>264</v>
      </c>
      <c r="K1" s="15" t="s">
        <v>265</v>
      </c>
      <c r="L1" s="15" t="s">
        <v>266</v>
      </c>
      <c r="M1" s="15" t="s">
        <v>268</v>
      </c>
      <c r="N1" s="15" t="s">
        <v>267</v>
      </c>
      <c r="O1" s="15" t="s">
        <v>284</v>
      </c>
      <c r="P1" s="15" t="s">
        <v>269</v>
      </c>
      <c r="Q1" s="15" t="s">
        <v>286</v>
      </c>
      <c r="R1" s="15" t="s">
        <v>337</v>
      </c>
      <c r="S1" s="15" t="s">
        <v>338</v>
      </c>
      <c r="T1" s="15" t="s">
        <v>176</v>
      </c>
      <c r="U1" s="15" t="s">
        <v>178</v>
      </c>
      <c r="V1" s="15" t="s">
        <v>179</v>
      </c>
      <c r="W1" s="15" t="s">
        <v>180</v>
      </c>
      <c r="X1" s="15" t="s">
        <v>181</v>
      </c>
      <c r="Y1" s="15" t="s">
        <v>182</v>
      </c>
      <c r="Z1" s="15" t="s">
        <v>183</v>
      </c>
      <c r="AA1" s="15" t="s">
        <v>184</v>
      </c>
      <c r="AB1" s="15" t="s">
        <v>185</v>
      </c>
      <c r="AC1" s="15" t="s">
        <v>186</v>
      </c>
      <c r="AD1" s="15" t="s">
        <v>267</v>
      </c>
    </row>
    <row r="2" spans="1:30" s="15" customFormat="1" x14ac:dyDescent="0.25">
      <c r="F2" s="15" t="s">
        <v>276</v>
      </c>
      <c r="G2" s="15" t="s">
        <v>320</v>
      </c>
      <c r="H2" s="15" t="s">
        <v>276</v>
      </c>
      <c r="I2" s="15" t="s">
        <v>320</v>
      </c>
      <c r="J2" s="15" t="s">
        <v>278</v>
      </c>
      <c r="K2" s="15" t="s">
        <v>277</v>
      </c>
      <c r="L2" s="15" t="s">
        <v>321</v>
      </c>
      <c r="M2" s="41" t="s">
        <v>322</v>
      </c>
      <c r="O2" s="15" t="s">
        <v>323</v>
      </c>
      <c r="P2" s="15" t="s">
        <v>323</v>
      </c>
      <c r="Q2" s="15" t="s">
        <v>323</v>
      </c>
      <c r="R2" s="15" t="s">
        <v>323</v>
      </c>
      <c r="S2" s="15" t="s">
        <v>323</v>
      </c>
    </row>
    <row r="3" spans="1:30" x14ac:dyDescent="0.25">
      <c r="A3" t="s">
        <v>290</v>
      </c>
      <c r="B3" t="s">
        <v>291</v>
      </c>
      <c r="C3" t="s">
        <v>318</v>
      </c>
      <c r="D3" t="s">
        <v>58</v>
      </c>
      <c r="E3" t="s">
        <v>345</v>
      </c>
      <c r="F3" t="s">
        <v>292</v>
      </c>
      <c r="G3" t="s">
        <v>293</v>
      </c>
      <c r="H3" t="s">
        <v>295</v>
      </c>
      <c r="I3" t="s">
        <v>294</v>
      </c>
      <c r="J3" t="s">
        <v>296</v>
      </c>
      <c r="K3" t="s">
        <v>297</v>
      </c>
      <c r="L3" t="s">
        <v>64</v>
      </c>
      <c r="M3" t="s">
        <v>317</v>
      </c>
      <c r="N3" t="s">
        <v>244</v>
      </c>
      <c r="O3" t="s">
        <v>298</v>
      </c>
      <c r="P3" t="s">
        <v>299</v>
      </c>
      <c r="Q3" t="s">
        <v>304</v>
      </c>
      <c r="R3" t="s">
        <v>329</v>
      </c>
      <c r="S3" t="s">
        <v>339</v>
      </c>
      <c r="T3" t="s">
        <v>193</v>
      </c>
      <c r="U3" t="s">
        <v>195</v>
      </c>
      <c r="V3" t="s">
        <v>196</v>
      </c>
      <c r="W3" t="s">
        <v>197</v>
      </c>
      <c r="X3" t="s">
        <v>198</v>
      </c>
      <c r="Y3" t="s">
        <v>199</v>
      </c>
      <c r="Z3" t="s">
        <v>200</v>
      </c>
      <c r="AA3" t="s">
        <v>301</v>
      </c>
      <c r="AB3" t="s">
        <v>302</v>
      </c>
      <c r="AC3" t="s">
        <v>303</v>
      </c>
      <c r="AD3" t="s">
        <v>300</v>
      </c>
    </row>
    <row r="4" spans="1:30" x14ac:dyDescent="0.25">
      <c r="A4">
        <v>0</v>
      </c>
      <c r="B4" s="32" t="s">
        <v>270</v>
      </c>
      <c r="C4" t="s">
        <v>3</v>
      </c>
      <c r="D4" t="s">
        <v>133</v>
      </c>
      <c r="E4" t="s">
        <v>138</v>
      </c>
      <c r="F4">
        <v>625</v>
      </c>
      <c r="H4" s="1">
        <f>ROUND((WACC!$B$2*(1+WACC!$B$2)^$L4)/((1+WACC!$B$2)^$L4-1)*$F4,0)</f>
        <v>36</v>
      </c>
      <c r="I4" t="s">
        <v>154</v>
      </c>
      <c r="J4">
        <v>9032</v>
      </c>
      <c r="K4">
        <v>0</v>
      </c>
      <c r="L4">
        <v>40</v>
      </c>
      <c r="M4" t="s">
        <v>154</v>
      </c>
      <c r="N4" s="35"/>
      <c r="O4">
        <v>0</v>
      </c>
      <c r="P4">
        <v>1</v>
      </c>
      <c r="Q4">
        <v>0</v>
      </c>
      <c r="R4">
        <v>0</v>
      </c>
      <c r="S4">
        <f>1-SUM(P4:R4)</f>
        <v>0</v>
      </c>
      <c r="T4">
        <v>1</v>
      </c>
      <c r="U4" s="7" t="s">
        <v>154</v>
      </c>
      <c r="V4" s="7" t="s">
        <v>154</v>
      </c>
      <c r="W4" s="7" t="s">
        <v>154</v>
      </c>
      <c r="X4" s="7" t="s">
        <v>154</v>
      </c>
      <c r="Y4" s="7" t="s">
        <v>154</v>
      </c>
      <c r="Z4" s="7" t="s">
        <v>154</v>
      </c>
      <c r="AA4" s="7" t="s">
        <v>154</v>
      </c>
      <c r="AB4" s="7" t="s">
        <v>154</v>
      </c>
      <c r="AC4" s="7" t="s">
        <v>154</v>
      </c>
      <c r="AD4" s="7" t="s">
        <v>154</v>
      </c>
    </row>
    <row r="5" spans="1:30" x14ac:dyDescent="0.25">
      <c r="A5">
        <v>1</v>
      </c>
      <c r="B5" s="32" t="s">
        <v>271</v>
      </c>
      <c r="C5" t="s">
        <v>4</v>
      </c>
      <c r="D5" t="s">
        <v>285</v>
      </c>
      <c r="E5" t="s">
        <v>138</v>
      </c>
      <c r="F5">
        <v>2800</v>
      </c>
      <c r="H5" s="1">
        <f>ROUND((WACC!$B$2*(1+WACC!$B$2)^$L5)/((1+WACC!$B$2)^$L5-1)*$F5,0)</f>
        <v>148</v>
      </c>
      <c r="I5" t="s">
        <v>154</v>
      </c>
      <c r="J5">
        <v>60000</v>
      </c>
      <c r="K5">
        <v>0</v>
      </c>
      <c r="L5">
        <v>60</v>
      </c>
      <c r="M5" t="s">
        <v>154</v>
      </c>
      <c r="N5" s="35"/>
      <c r="O5">
        <v>0</v>
      </c>
      <c r="P5">
        <v>1</v>
      </c>
      <c r="Q5">
        <v>0</v>
      </c>
      <c r="R5">
        <v>0</v>
      </c>
      <c r="S5">
        <f t="shared" ref="S5:S52" si="0">1-SUM(P5:R5)</f>
        <v>0</v>
      </c>
      <c r="T5">
        <v>1</v>
      </c>
      <c r="U5" s="7" t="s">
        <v>154</v>
      </c>
      <c r="V5" s="7" t="s">
        <v>154</v>
      </c>
      <c r="W5" s="7" t="s">
        <v>154</v>
      </c>
      <c r="X5" s="7" t="s">
        <v>154</v>
      </c>
      <c r="Y5" s="7" t="s">
        <v>154</v>
      </c>
      <c r="Z5" s="7" t="s">
        <v>154</v>
      </c>
      <c r="AA5" s="7" t="s">
        <v>154</v>
      </c>
      <c r="AB5" s="7" t="s">
        <v>154</v>
      </c>
      <c r="AC5" s="7" t="s">
        <v>154</v>
      </c>
      <c r="AD5" s="7" t="s">
        <v>154</v>
      </c>
    </row>
    <row r="6" spans="1:30" x14ac:dyDescent="0.25">
      <c r="A6">
        <v>2</v>
      </c>
      <c r="B6" s="32" t="s">
        <v>272</v>
      </c>
      <c r="C6" t="s">
        <v>5</v>
      </c>
      <c r="D6" t="s">
        <v>134</v>
      </c>
      <c r="E6" t="s">
        <v>138</v>
      </c>
      <c r="F6">
        <v>1040</v>
      </c>
      <c r="H6" s="1">
        <f>ROUND((WACC!$B$2*(1+WACC!$B$2)^$L6)/((1+WACC!$B$2)^$L6-1)*$F6,0)</f>
        <v>68</v>
      </c>
      <c r="I6" t="s">
        <v>154</v>
      </c>
      <c r="J6">
        <v>12600</v>
      </c>
      <c r="K6">
        <v>1.35</v>
      </c>
      <c r="L6">
        <v>30</v>
      </c>
      <c r="M6" t="s">
        <v>154</v>
      </c>
      <c r="N6" s="35"/>
      <c r="O6">
        <v>0</v>
      </c>
      <c r="P6">
        <v>1</v>
      </c>
      <c r="Q6">
        <v>0</v>
      </c>
      <c r="R6">
        <v>0</v>
      </c>
      <c r="S6">
        <f t="shared" si="0"/>
        <v>0</v>
      </c>
      <c r="T6">
        <v>1</v>
      </c>
      <c r="U6" s="7" t="s">
        <v>154</v>
      </c>
      <c r="V6" s="7" t="s">
        <v>154</v>
      </c>
      <c r="W6" s="7" t="s">
        <v>154</v>
      </c>
      <c r="X6" s="7" t="s">
        <v>154</v>
      </c>
      <c r="Y6" s="7" t="s">
        <v>154</v>
      </c>
      <c r="Z6" s="7" t="s">
        <v>154</v>
      </c>
      <c r="AA6" s="7" t="s">
        <v>154</v>
      </c>
      <c r="AB6" s="7" t="s">
        <v>154</v>
      </c>
      <c r="AC6" s="7" t="s">
        <v>154</v>
      </c>
      <c r="AD6" s="7" t="s">
        <v>154</v>
      </c>
    </row>
    <row r="7" spans="1:30" x14ac:dyDescent="0.25">
      <c r="A7">
        <v>3</v>
      </c>
      <c r="B7" s="32" t="s">
        <v>273</v>
      </c>
      <c r="C7" t="s">
        <v>6</v>
      </c>
      <c r="D7" t="s">
        <v>134</v>
      </c>
      <c r="E7" t="s">
        <v>138</v>
      </c>
      <c r="F7">
        <v>1930</v>
      </c>
      <c r="H7" s="1">
        <f>ROUND((WACC!$B$2*(1+WACC!$B$2)^$L7)/((1+WACC!$B$2)^$L7-1)*$F7,0)</f>
        <v>126</v>
      </c>
      <c r="I7" t="s">
        <v>154</v>
      </c>
      <c r="J7">
        <v>36053</v>
      </c>
      <c r="K7">
        <v>2.7</v>
      </c>
      <c r="L7">
        <v>30</v>
      </c>
      <c r="M7" t="s">
        <v>154</v>
      </c>
      <c r="N7" s="35"/>
      <c r="O7">
        <v>0</v>
      </c>
      <c r="P7">
        <v>1</v>
      </c>
      <c r="Q7">
        <v>0</v>
      </c>
      <c r="R7">
        <v>0</v>
      </c>
      <c r="S7">
        <f t="shared" si="0"/>
        <v>0</v>
      </c>
      <c r="T7">
        <v>1</v>
      </c>
      <c r="U7" s="7" t="s">
        <v>154</v>
      </c>
      <c r="V7" s="7" t="s">
        <v>154</v>
      </c>
      <c r="W7" s="7" t="s">
        <v>154</v>
      </c>
      <c r="X7" s="7" t="s">
        <v>154</v>
      </c>
      <c r="Y7" s="7" t="s">
        <v>154</v>
      </c>
      <c r="Z7" s="7" t="s">
        <v>154</v>
      </c>
      <c r="AA7" s="7" t="s">
        <v>154</v>
      </c>
      <c r="AB7" s="7" t="s">
        <v>154</v>
      </c>
      <c r="AC7" s="7" t="s">
        <v>154</v>
      </c>
      <c r="AD7" s="7" t="s">
        <v>154</v>
      </c>
    </row>
    <row r="8" spans="1:30" x14ac:dyDescent="0.25">
      <c r="A8">
        <v>4</v>
      </c>
      <c r="B8" s="32" t="s">
        <v>54</v>
      </c>
      <c r="C8" t="s">
        <v>114</v>
      </c>
      <c r="D8" t="s">
        <v>132</v>
      </c>
      <c r="E8" t="s">
        <v>138</v>
      </c>
      <c r="F8">
        <v>3230</v>
      </c>
      <c r="H8" s="1">
        <f>ROUND((WACC!$B$2*(1+WACC!$B$2)^$L8)/((1+WACC!$B$2)^$L8-1)*$F8,0)</f>
        <v>229</v>
      </c>
      <c r="I8" t="s">
        <v>154</v>
      </c>
      <c r="J8">
        <v>92720</v>
      </c>
      <c r="K8">
        <v>3.8</v>
      </c>
      <c r="L8">
        <v>25</v>
      </c>
      <c r="M8">
        <v>0.29599999999999999</v>
      </c>
      <c r="N8">
        <v>1</v>
      </c>
      <c r="O8">
        <v>0</v>
      </c>
      <c r="P8">
        <v>0</v>
      </c>
      <c r="Q8">
        <v>0</v>
      </c>
      <c r="R8">
        <v>0</v>
      </c>
      <c r="S8">
        <f t="shared" si="0"/>
        <v>1</v>
      </c>
      <c r="T8">
        <v>1</v>
      </c>
      <c r="U8" s="7" t="s">
        <v>154</v>
      </c>
      <c r="V8" s="7" t="s">
        <v>154</v>
      </c>
      <c r="W8" s="7" t="s">
        <v>154</v>
      </c>
      <c r="X8" s="7" t="s">
        <v>154</v>
      </c>
      <c r="Y8" s="7" t="s">
        <v>154</v>
      </c>
      <c r="Z8" s="7" t="s">
        <v>154</v>
      </c>
      <c r="AA8" s="7" t="s">
        <v>154</v>
      </c>
      <c r="AB8" s="7" t="s">
        <v>154</v>
      </c>
      <c r="AC8" s="7" t="s">
        <v>154</v>
      </c>
      <c r="AD8" t="s">
        <v>154</v>
      </c>
    </row>
    <row r="9" spans="1:30" x14ac:dyDescent="0.25">
      <c r="A9">
        <v>5</v>
      </c>
      <c r="B9" s="32" t="s">
        <v>55</v>
      </c>
      <c r="C9" t="s">
        <v>115</v>
      </c>
      <c r="D9" t="s">
        <v>132</v>
      </c>
      <c r="E9" t="s">
        <v>138</v>
      </c>
      <c r="F9">
        <v>3400</v>
      </c>
      <c r="H9" s="1">
        <f>ROUND((WACC!$B$2*(1+WACC!$B$2)^$L9)/((1+WACC!$B$2)^$L9-1)*$F9,0)</f>
        <v>241</v>
      </c>
      <c r="I9" t="s">
        <v>154</v>
      </c>
      <c r="J9">
        <v>97600</v>
      </c>
      <c r="K9">
        <v>3.8</v>
      </c>
      <c r="L9">
        <v>25</v>
      </c>
      <c r="M9">
        <v>0.29599999999999999</v>
      </c>
      <c r="N9">
        <v>1</v>
      </c>
      <c r="O9">
        <v>1</v>
      </c>
      <c r="P9">
        <v>0</v>
      </c>
      <c r="Q9">
        <v>0</v>
      </c>
      <c r="R9">
        <v>0</v>
      </c>
      <c r="S9">
        <f t="shared" si="0"/>
        <v>1</v>
      </c>
      <c r="T9">
        <v>1</v>
      </c>
      <c r="U9" s="7">
        <v>1</v>
      </c>
      <c r="V9" s="7">
        <v>0.36</v>
      </c>
      <c r="W9" s="7">
        <v>0.58823529411764708</v>
      </c>
      <c r="X9" s="7">
        <v>0.73529411764705888</v>
      </c>
      <c r="Y9" s="7">
        <v>0.41176470588235292</v>
      </c>
      <c r="Z9" s="7">
        <v>0.26470588235294112</v>
      </c>
      <c r="AA9" s="7">
        <v>5.3656597774244839</v>
      </c>
      <c r="AB9" s="7">
        <v>0.29599999999999999</v>
      </c>
      <c r="AC9" s="7">
        <v>0.8</v>
      </c>
      <c r="AD9">
        <v>1</v>
      </c>
    </row>
    <row r="10" spans="1:30" x14ac:dyDescent="0.25">
      <c r="A10">
        <v>6</v>
      </c>
      <c r="B10" s="33" t="s">
        <v>20</v>
      </c>
      <c r="C10" t="s">
        <v>80</v>
      </c>
      <c r="D10" t="s">
        <v>20</v>
      </c>
      <c r="E10" t="s">
        <v>138</v>
      </c>
      <c r="F10">
        <v>5800</v>
      </c>
      <c r="H10" s="1">
        <f>ROUND((WACC!$B$2*(1+WACC!$B$2)^$L10)/((1+WACC!$B$2)^$L10-1)*$F10,0)</f>
        <v>338</v>
      </c>
      <c r="I10" t="s">
        <v>154</v>
      </c>
      <c r="J10">
        <v>121800.00000000001</v>
      </c>
      <c r="K10">
        <v>2.5</v>
      </c>
      <c r="L10">
        <v>40</v>
      </c>
      <c r="M10">
        <v>0.34</v>
      </c>
      <c r="N10">
        <v>6</v>
      </c>
      <c r="O10">
        <v>0</v>
      </c>
      <c r="P10">
        <v>0</v>
      </c>
      <c r="Q10">
        <v>0</v>
      </c>
      <c r="R10">
        <v>0</v>
      </c>
      <c r="S10">
        <f t="shared" si="0"/>
        <v>1</v>
      </c>
      <c r="T10">
        <v>1</v>
      </c>
      <c r="U10" s="7" t="s">
        <v>154</v>
      </c>
      <c r="V10" s="7" t="s">
        <v>154</v>
      </c>
      <c r="W10" s="7" t="s">
        <v>154</v>
      </c>
      <c r="X10" s="7" t="s">
        <v>154</v>
      </c>
      <c r="Y10" s="7" t="s">
        <v>154</v>
      </c>
      <c r="Z10" s="7" t="s">
        <v>154</v>
      </c>
      <c r="AA10" s="7" t="s">
        <v>154</v>
      </c>
      <c r="AB10" s="7" t="s">
        <v>154</v>
      </c>
      <c r="AC10" s="7" t="s">
        <v>154</v>
      </c>
      <c r="AD10" t="s">
        <v>154</v>
      </c>
    </row>
    <row r="11" spans="1:30" x14ac:dyDescent="0.25">
      <c r="A11">
        <v>7</v>
      </c>
      <c r="B11" s="33" t="s">
        <v>21</v>
      </c>
      <c r="C11" t="s">
        <v>81</v>
      </c>
      <c r="D11" t="s">
        <v>128</v>
      </c>
      <c r="E11" t="s">
        <v>138</v>
      </c>
      <c r="F11">
        <v>1700</v>
      </c>
      <c r="H11" s="1">
        <f>ROUND((WACC!$B$2*(1+WACC!$B$2)^$L11)/((1+WACC!$B$2)^$L11-1)*$F11,0)</f>
        <v>99</v>
      </c>
      <c r="I11" t="s">
        <v>154</v>
      </c>
      <c r="J11">
        <v>60000</v>
      </c>
      <c r="K11">
        <v>2</v>
      </c>
      <c r="L11">
        <v>40</v>
      </c>
      <c r="M11">
        <v>0.35199999999999998</v>
      </c>
      <c r="N11">
        <v>9</v>
      </c>
      <c r="O11">
        <v>0</v>
      </c>
      <c r="P11">
        <v>0</v>
      </c>
      <c r="Q11">
        <v>0</v>
      </c>
      <c r="R11">
        <v>0</v>
      </c>
      <c r="S11">
        <f t="shared" si="0"/>
        <v>1</v>
      </c>
      <c r="T11">
        <v>1</v>
      </c>
      <c r="U11" s="7" t="s">
        <v>154</v>
      </c>
      <c r="V11" s="7" t="s">
        <v>154</v>
      </c>
      <c r="W11" s="7" t="s">
        <v>154</v>
      </c>
      <c r="X11" s="7" t="s">
        <v>154</v>
      </c>
      <c r="Y11" s="7" t="s">
        <v>154</v>
      </c>
      <c r="Z11" s="7" t="s">
        <v>154</v>
      </c>
      <c r="AA11" s="7" t="s">
        <v>154</v>
      </c>
      <c r="AB11" s="7" t="s">
        <v>154</v>
      </c>
      <c r="AC11" s="7" t="s">
        <v>154</v>
      </c>
      <c r="AD11" t="s">
        <v>154</v>
      </c>
    </row>
    <row r="12" spans="1:30" x14ac:dyDescent="0.25">
      <c r="A12">
        <v>8</v>
      </c>
      <c r="B12" s="33" t="s">
        <v>22</v>
      </c>
      <c r="C12" t="s">
        <v>82</v>
      </c>
      <c r="D12" t="s">
        <v>128</v>
      </c>
      <c r="E12" t="s">
        <v>138</v>
      </c>
      <c r="F12">
        <v>1700</v>
      </c>
      <c r="H12" s="1">
        <f>ROUND((WACC!$B$2*(1+WACC!$B$2)^$L12)/((1+WACC!$B$2)^$L12-1)*$F12,0)</f>
        <v>99</v>
      </c>
      <c r="I12" t="s">
        <v>154</v>
      </c>
      <c r="J12">
        <v>60000</v>
      </c>
      <c r="K12">
        <v>2</v>
      </c>
      <c r="L12">
        <v>40</v>
      </c>
      <c r="M12">
        <v>0.35199999999999998</v>
      </c>
      <c r="N12">
        <v>9</v>
      </c>
      <c r="O12">
        <v>1</v>
      </c>
      <c r="P12">
        <v>0</v>
      </c>
      <c r="Q12">
        <v>0</v>
      </c>
      <c r="R12">
        <v>0</v>
      </c>
      <c r="S12">
        <f t="shared" si="0"/>
        <v>1</v>
      </c>
      <c r="T12">
        <v>1</v>
      </c>
      <c r="U12" s="7">
        <v>0.15</v>
      </c>
      <c r="V12" s="7">
        <v>0.52500000000000002</v>
      </c>
      <c r="W12" s="7">
        <v>1.1851851851851851</v>
      </c>
      <c r="X12" s="7">
        <v>1.4814814814814814</v>
      </c>
      <c r="Y12" s="7">
        <v>0.82222222222222219</v>
      </c>
      <c r="Z12" s="7">
        <v>0.77777777777777779</v>
      </c>
      <c r="AA12" s="7">
        <v>3.3459595959595965</v>
      </c>
      <c r="AB12" s="7">
        <v>0.70660740740740724</v>
      </c>
      <c r="AC12" s="7">
        <v>0.8</v>
      </c>
      <c r="AD12" t="s">
        <v>201</v>
      </c>
    </row>
    <row r="13" spans="1:30" x14ac:dyDescent="0.25">
      <c r="A13">
        <v>9</v>
      </c>
      <c r="B13" s="33" t="s">
        <v>23</v>
      </c>
      <c r="C13" t="s">
        <v>83</v>
      </c>
      <c r="D13" t="s">
        <v>128</v>
      </c>
      <c r="E13" t="s">
        <v>138</v>
      </c>
      <c r="F13">
        <v>2000</v>
      </c>
      <c r="H13" s="1">
        <f>ROUND((WACC!$B$2*(1+WACC!$B$2)^$L13)/((1+WACC!$B$2)^$L13-1)*$F13,0)</f>
        <v>117</v>
      </c>
      <c r="I13" t="s">
        <v>154</v>
      </c>
      <c r="J13">
        <v>50000</v>
      </c>
      <c r="K13">
        <v>4.5</v>
      </c>
      <c r="L13">
        <v>40</v>
      </c>
      <c r="M13">
        <v>0.439</v>
      </c>
      <c r="N13">
        <v>6</v>
      </c>
      <c r="O13">
        <v>0</v>
      </c>
      <c r="P13">
        <v>0</v>
      </c>
      <c r="Q13">
        <v>0</v>
      </c>
      <c r="R13">
        <v>0</v>
      </c>
      <c r="S13">
        <f t="shared" si="0"/>
        <v>1</v>
      </c>
      <c r="T13">
        <v>1</v>
      </c>
      <c r="U13" s="7" t="s">
        <v>154</v>
      </c>
      <c r="V13" s="7" t="s">
        <v>154</v>
      </c>
      <c r="W13" s="7" t="s">
        <v>154</v>
      </c>
      <c r="X13" s="7" t="s">
        <v>154</v>
      </c>
      <c r="Y13" s="7" t="s">
        <v>154</v>
      </c>
      <c r="Z13" s="7" t="s">
        <v>154</v>
      </c>
      <c r="AA13" s="7" t="s">
        <v>154</v>
      </c>
      <c r="AB13" s="7" t="s">
        <v>154</v>
      </c>
      <c r="AC13" s="7" t="s">
        <v>154</v>
      </c>
      <c r="AD13" t="s">
        <v>154</v>
      </c>
    </row>
    <row r="14" spans="1:30" x14ac:dyDescent="0.25">
      <c r="A14">
        <v>10</v>
      </c>
      <c r="B14" s="33" t="s">
        <v>24</v>
      </c>
      <c r="C14" t="s">
        <v>84</v>
      </c>
      <c r="D14" t="s">
        <v>128</v>
      </c>
      <c r="E14" t="s">
        <v>138</v>
      </c>
      <c r="F14">
        <v>2105</v>
      </c>
      <c r="H14" s="1">
        <f>ROUND((WACC!$B$2*(1+WACC!$B$2)^$L14)/((1+WACC!$B$2)^$L14-1)*$F14,0)</f>
        <v>123</v>
      </c>
      <c r="I14" t="s">
        <v>154</v>
      </c>
      <c r="J14">
        <v>52625</v>
      </c>
      <c r="K14">
        <v>4.5</v>
      </c>
      <c r="L14">
        <v>40</v>
      </c>
      <c r="M14">
        <v>0.439</v>
      </c>
      <c r="N14" t="s">
        <v>203</v>
      </c>
      <c r="O14">
        <v>1</v>
      </c>
      <c r="P14">
        <v>0</v>
      </c>
      <c r="Q14">
        <v>0</v>
      </c>
      <c r="R14">
        <v>0</v>
      </c>
      <c r="S14">
        <f t="shared" si="0"/>
        <v>1</v>
      </c>
      <c r="T14">
        <v>1</v>
      </c>
      <c r="U14" s="7">
        <v>0.15</v>
      </c>
      <c r="V14" s="7">
        <v>0.66</v>
      </c>
      <c r="W14" s="7">
        <v>0.98765432098765427</v>
      </c>
      <c r="X14" s="7">
        <v>1.2345679012345678</v>
      </c>
      <c r="Y14" s="7">
        <v>0.85185185185185186</v>
      </c>
      <c r="Z14" s="7">
        <v>0.81481481481481488</v>
      </c>
      <c r="AA14" s="7">
        <v>2.615371635872775</v>
      </c>
      <c r="AB14" s="7">
        <v>0.80754320987654327</v>
      </c>
      <c r="AC14" s="7">
        <v>0.8</v>
      </c>
      <c r="AD14" t="s">
        <v>202</v>
      </c>
    </row>
    <row r="15" spans="1:30" x14ac:dyDescent="0.25">
      <c r="A15">
        <v>11</v>
      </c>
      <c r="B15" s="33" t="s">
        <v>25</v>
      </c>
      <c r="C15" t="s">
        <v>85</v>
      </c>
      <c r="D15" t="s">
        <v>129</v>
      </c>
      <c r="E15" t="s">
        <v>138</v>
      </c>
      <c r="F15">
        <v>1200</v>
      </c>
      <c r="H15" s="1">
        <f>ROUND((WACC!$B$2*(1+WACC!$B$2)^$L15)/((1+WACC!$B$2)^$L15-1)*$F15,0)</f>
        <v>70</v>
      </c>
      <c r="I15" t="s">
        <v>154</v>
      </c>
      <c r="J15">
        <v>30000</v>
      </c>
      <c r="K15">
        <v>6</v>
      </c>
      <c r="L15">
        <v>40</v>
      </c>
      <c r="M15">
        <v>0.375</v>
      </c>
      <c r="N15" t="s">
        <v>219</v>
      </c>
      <c r="O15">
        <v>0</v>
      </c>
      <c r="P15">
        <v>0</v>
      </c>
      <c r="Q15">
        <v>0</v>
      </c>
      <c r="R15">
        <v>0</v>
      </c>
      <c r="S15">
        <f t="shared" si="0"/>
        <v>1</v>
      </c>
      <c r="T15">
        <v>1</v>
      </c>
      <c r="U15" s="7" t="s">
        <v>154</v>
      </c>
      <c r="V15" s="7" t="s">
        <v>154</v>
      </c>
      <c r="W15" s="7" t="s">
        <v>154</v>
      </c>
      <c r="X15" s="7" t="s">
        <v>154</v>
      </c>
      <c r="Y15" s="7" t="s">
        <v>154</v>
      </c>
      <c r="Z15" s="7" t="s">
        <v>154</v>
      </c>
      <c r="AA15" s="7" t="s">
        <v>154</v>
      </c>
      <c r="AB15" s="7" t="s">
        <v>154</v>
      </c>
      <c r="AC15" s="7" t="s">
        <v>154</v>
      </c>
      <c r="AD15" t="s">
        <v>154</v>
      </c>
    </row>
    <row r="16" spans="1:30" x14ac:dyDescent="0.25">
      <c r="A16">
        <v>12</v>
      </c>
      <c r="B16" s="33" t="s">
        <v>26</v>
      </c>
      <c r="C16" t="s">
        <v>86</v>
      </c>
      <c r="D16" t="s">
        <v>129</v>
      </c>
      <c r="E16" t="s">
        <v>138</v>
      </c>
      <c r="F16">
        <v>1263</v>
      </c>
      <c r="H16" s="1">
        <f>ROUND((WACC!$B$2*(1+WACC!$B$2)^$L16)/((1+WACC!$B$2)^$L16-1)*$F16,0)</f>
        <v>74</v>
      </c>
      <c r="I16" t="s">
        <v>154</v>
      </c>
      <c r="J16">
        <v>30000</v>
      </c>
      <c r="K16">
        <v>6</v>
      </c>
      <c r="L16">
        <v>40</v>
      </c>
      <c r="M16">
        <v>0.375</v>
      </c>
      <c r="N16" t="s">
        <v>219</v>
      </c>
      <c r="O16">
        <v>1</v>
      </c>
      <c r="P16">
        <v>0</v>
      </c>
      <c r="Q16">
        <v>0</v>
      </c>
      <c r="R16">
        <v>0</v>
      </c>
      <c r="S16">
        <f t="shared" si="0"/>
        <v>1</v>
      </c>
      <c r="T16">
        <v>1</v>
      </c>
      <c r="U16" s="7">
        <v>0.15</v>
      </c>
      <c r="V16" s="7">
        <v>0.55000000000000004</v>
      </c>
      <c r="W16" s="7">
        <v>1.1428571428571428</v>
      </c>
      <c r="X16" s="7">
        <v>1.4285714285714284</v>
      </c>
      <c r="Y16" s="7">
        <v>0.82857142857142863</v>
      </c>
      <c r="Z16" s="7">
        <v>0.78571428571428581</v>
      </c>
      <c r="AA16" s="7">
        <v>3.1238095238095238</v>
      </c>
      <c r="AB16" s="7">
        <v>0.73928571428571432</v>
      </c>
      <c r="AC16" s="7">
        <v>0.8</v>
      </c>
      <c r="AD16" t="s">
        <v>201</v>
      </c>
    </row>
    <row r="17" spans="1:30" x14ac:dyDescent="0.25">
      <c r="A17">
        <v>13</v>
      </c>
      <c r="B17" s="33" t="s">
        <v>27</v>
      </c>
      <c r="C17" t="s">
        <v>87</v>
      </c>
      <c r="D17" t="s">
        <v>129</v>
      </c>
      <c r="E17" t="s">
        <v>138</v>
      </c>
      <c r="F17">
        <v>1300</v>
      </c>
      <c r="H17" s="1">
        <f>ROUND((WACC!$B$2*(1+WACC!$B$2)^$L17)/((1+WACC!$B$2)^$L17-1)*$F17,0)</f>
        <v>76</v>
      </c>
      <c r="I17" t="s">
        <v>154</v>
      </c>
      <c r="J17">
        <v>25000</v>
      </c>
      <c r="K17">
        <v>6</v>
      </c>
      <c r="L17">
        <v>40</v>
      </c>
      <c r="M17">
        <v>0.42499999999999999</v>
      </c>
      <c r="N17" t="s">
        <v>219</v>
      </c>
      <c r="O17">
        <v>0</v>
      </c>
      <c r="P17">
        <v>0</v>
      </c>
      <c r="Q17">
        <v>0</v>
      </c>
      <c r="R17">
        <v>0</v>
      </c>
      <c r="S17">
        <f t="shared" si="0"/>
        <v>1</v>
      </c>
      <c r="T17">
        <v>1</v>
      </c>
      <c r="U17" s="7" t="s">
        <v>154</v>
      </c>
      <c r="V17" s="7" t="s">
        <v>154</v>
      </c>
      <c r="W17" s="7" t="s">
        <v>154</v>
      </c>
      <c r="X17" s="7" t="s">
        <v>154</v>
      </c>
      <c r="Y17" s="7" t="s">
        <v>154</v>
      </c>
      <c r="Z17" s="7" t="s">
        <v>154</v>
      </c>
      <c r="AA17" s="7" t="s">
        <v>154</v>
      </c>
      <c r="AB17" s="7" t="s">
        <v>154</v>
      </c>
      <c r="AC17" s="7" t="s">
        <v>154</v>
      </c>
      <c r="AD17" t="s">
        <v>154</v>
      </c>
    </row>
    <row r="18" spans="1:30" x14ac:dyDescent="0.25">
      <c r="A18">
        <v>14</v>
      </c>
      <c r="B18" s="33" t="s">
        <v>28</v>
      </c>
      <c r="C18" t="s">
        <v>88</v>
      </c>
      <c r="D18" t="s">
        <v>129</v>
      </c>
      <c r="E18" t="s">
        <v>138</v>
      </c>
      <c r="F18">
        <v>1368</v>
      </c>
      <c r="H18" s="1">
        <f>ROUND((WACC!$B$2*(1+WACC!$B$2)^$L18)/((1+WACC!$B$2)^$L18-1)*$F18,0)</f>
        <v>80</v>
      </c>
      <c r="I18" t="s">
        <v>154</v>
      </c>
      <c r="J18">
        <v>25000</v>
      </c>
      <c r="K18">
        <v>6</v>
      </c>
      <c r="L18">
        <v>40</v>
      </c>
      <c r="M18">
        <v>0.42499999999999999</v>
      </c>
      <c r="N18" t="s">
        <v>219</v>
      </c>
      <c r="O18">
        <v>1</v>
      </c>
      <c r="P18">
        <v>0</v>
      </c>
      <c r="Q18">
        <v>0</v>
      </c>
      <c r="R18">
        <v>0</v>
      </c>
      <c r="S18">
        <f t="shared" si="0"/>
        <v>1</v>
      </c>
      <c r="T18">
        <v>1</v>
      </c>
      <c r="U18" s="7">
        <v>0.15</v>
      </c>
      <c r="V18" s="7">
        <v>0.6</v>
      </c>
      <c r="W18" s="7">
        <v>1.0666666666666667</v>
      </c>
      <c r="X18" s="7">
        <v>1.3333333333333333</v>
      </c>
      <c r="Y18" s="7">
        <v>0.84</v>
      </c>
      <c r="Z18" s="7">
        <v>0.8</v>
      </c>
      <c r="AA18" s="7">
        <v>2.7294117647058824</v>
      </c>
      <c r="AB18" s="7">
        <v>0.81033333333333335</v>
      </c>
      <c r="AC18" s="7">
        <v>0.8</v>
      </c>
      <c r="AD18" t="s">
        <v>201</v>
      </c>
    </row>
    <row r="19" spans="1:30" x14ac:dyDescent="0.25">
      <c r="A19">
        <v>15</v>
      </c>
      <c r="B19" s="33" t="s">
        <v>29</v>
      </c>
      <c r="C19" t="s">
        <v>89</v>
      </c>
      <c r="D19" t="s">
        <v>129</v>
      </c>
      <c r="E19" t="s">
        <v>138</v>
      </c>
      <c r="F19">
        <v>1900</v>
      </c>
      <c r="H19" s="1">
        <f>ROUND((WACC!$B$2*(1+WACC!$B$2)^$L19)/((1+WACC!$B$2)^$L19-1)*$F19,0)</f>
        <v>111</v>
      </c>
      <c r="I19" t="s">
        <v>154</v>
      </c>
      <c r="J19">
        <v>31000</v>
      </c>
      <c r="K19">
        <v>2.9</v>
      </c>
      <c r="L19">
        <v>40</v>
      </c>
      <c r="M19">
        <v>0.48499999999999999</v>
      </c>
      <c r="N19" t="s">
        <v>219</v>
      </c>
      <c r="O19">
        <v>0</v>
      </c>
      <c r="P19">
        <v>0</v>
      </c>
      <c r="Q19">
        <v>0</v>
      </c>
      <c r="R19">
        <v>0</v>
      </c>
      <c r="S19">
        <f t="shared" si="0"/>
        <v>1</v>
      </c>
      <c r="T19">
        <v>1</v>
      </c>
      <c r="U19" s="7" t="s">
        <v>154</v>
      </c>
      <c r="V19" s="7" t="s">
        <v>154</v>
      </c>
      <c r="W19" s="7" t="s">
        <v>154</v>
      </c>
      <c r="X19" s="7" t="s">
        <v>154</v>
      </c>
      <c r="Y19" s="7" t="s">
        <v>154</v>
      </c>
      <c r="Z19" s="7" t="s">
        <v>154</v>
      </c>
      <c r="AA19" s="7" t="s">
        <v>154</v>
      </c>
      <c r="AB19" s="7" t="s">
        <v>154</v>
      </c>
      <c r="AC19" s="7" t="s">
        <v>154</v>
      </c>
      <c r="AD19" t="s">
        <v>154</v>
      </c>
    </row>
    <row r="20" spans="1:30" x14ac:dyDescent="0.25">
      <c r="A20">
        <v>16</v>
      </c>
      <c r="B20" s="33" t="s">
        <v>30</v>
      </c>
      <c r="C20" t="s">
        <v>90</v>
      </c>
      <c r="D20" t="s">
        <v>129</v>
      </c>
      <c r="E20" t="s">
        <v>138</v>
      </c>
      <c r="F20">
        <v>2000</v>
      </c>
      <c r="H20" s="1">
        <f>ROUND((WACC!$B$2*(1+WACC!$B$2)^$L20)/((1+WACC!$B$2)^$L20-1)*$F20,0)</f>
        <v>117</v>
      </c>
      <c r="I20" t="s">
        <v>154</v>
      </c>
      <c r="J20">
        <v>31000</v>
      </c>
      <c r="K20">
        <v>2.9</v>
      </c>
      <c r="L20">
        <v>40</v>
      </c>
      <c r="M20">
        <v>0.48499999999999999</v>
      </c>
      <c r="N20">
        <v>1</v>
      </c>
      <c r="O20">
        <v>1</v>
      </c>
      <c r="P20">
        <v>0</v>
      </c>
      <c r="Q20">
        <v>0</v>
      </c>
      <c r="R20">
        <v>0</v>
      </c>
      <c r="S20">
        <f t="shared" si="0"/>
        <v>1</v>
      </c>
      <c r="T20">
        <v>1</v>
      </c>
      <c r="U20" s="7">
        <v>0.15</v>
      </c>
      <c r="V20" s="7">
        <v>0.84</v>
      </c>
      <c r="W20" s="7">
        <v>0.80808080808080818</v>
      </c>
      <c r="X20" s="7">
        <v>1.0101010101010102</v>
      </c>
      <c r="Y20" s="7">
        <v>0.87878787878787878</v>
      </c>
      <c r="Z20" s="7">
        <v>0.84848484848484851</v>
      </c>
      <c r="AA20" s="7">
        <v>2.3117775695095282</v>
      </c>
      <c r="AB20" s="7">
        <v>0.81813131313131315</v>
      </c>
      <c r="AC20" s="7">
        <v>0.8</v>
      </c>
      <c r="AD20">
        <v>1</v>
      </c>
    </row>
    <row r="21" spans="1:30" x14ac:dyDescent="0.25">
      <c r="A21">
        <v>17</v>
      </c>
      <c r="B21" s="33" t="s">
        <v>31</v>
      </c>
      <c r="C21" t="s">
        <v>91</v>
      </c>
      <c r="D21" t="s">
        <v>129</v>
      </c>
      <c r="E21" t="s">
        <v>138</v>
      </c>
      <c r="F21">
        <v>2300</v>
      </c>
      <c r="H21" s="1">
        <f>ROUND((WACC!$B$2*(1+WACC!$B$2)^$L21)/((1+WACC!$B$2)^$L21-1)*$F21,0)</f>
        <v>140</v>
      </c>
      <c r="I21" t="s">
        <v>154</v>
      </c>
      <c r="J21">
        <v>57500</v>
      </c>
      <c r="K21">
        <v>5</v>
      </c>
      <c r="L21">
        <v>35</v>
      </c>
      <c r="M21">
        <v>0.46</v>
      </c>
      <c r="N21">
        <v>6</v>
      </c>
      <c r="O21">
        <v>0</v>
      </c>
      <c r="P21">
        <v>0</v>
      </c>
      <c r="Q21">
        <v>0</v>
      </c>
      <c r="R21">
        <v>0</v>
      </c>
      <c r="S21">
        <f t="shared" si="0"/>
        <v>1</v>
      </c>
      <c r="T21">
        <v>1</v>
      </c>
      <c r="U21" s="7" t="s">
        <v>154</v>
      </c>
      <c r="V21" s="7" t="s">
        <v>154</v>
      </c>
      <c r="W21" s="7" t="s">
        <v>154</v>
      </c>
      <c r="X21" s="7" t="s">
        <v>154</v>
      </c>
      <c r="Y21" s="7" t="s">
        <v>154</v>
      </c>
      <c r="Z21" s="7" t="s">
        <v>154</v>
      </c>
      <c r="AA21" s="7" t="s">
        <v>154</v>
      </c>
      <c r="AB21" s="7" t="s">
        <v>154</v>
      </c>
      <c r="AC21" s="7" t="s">
        <v>154</v>
      </c>
      <c r="AD21" t="s">
        <v>154</v>
      </c>
    </row>
    <row r="22" spans="1:30" x14ac:dyDescent="0.25">
      <c r="A22">
        <v>18</v>
      </c>
      <c r="B22" s="33" t="s">
        <v>32</v>
      </c>
      <c r="C22" t="s">
        <v>92</v>
      </c>
      <c r="D22" t="s">
        <v>130</v>
      </c>
      <c r="E22" t="s">
        <v>138</v>
      </c>
      <c r="F22">
        <v>400</v>
      </c>
      <c r="H22" s="1">
        <f>ROUND((WACC!$B$2*(1+WACC!$B$2)^$L22)/((1+WACC!$B$2)^$L22-1)*$F22,0)</f>
        <v>26</v>
      </c>
      <c r="I22" t="s">
        <v>154</v>
      </c>
      <c r="J22">
        <v>15000</v>
      </c>
      <c r="K22">
        <v>3</v>
      </c>
      <c r="L22">
        <v>30</v>
      </c>
      <c r="M22">
        <v>0.40699999999999997</v>
      </c>
      <c r="N22">
        <v>3</v>
      </c>
      <c r="O22">
        <v>0</v>
      </c>
      <c r="P22">
        <v>0</v>
      </c>
      <c r="Q22">
        <v>0</v>
      </c>
      <c r="R22">
        <v>0</v>
      </c>
      <c r="S22">
        <f t="shared" si="0"/>
        <v>1</v>
      </c>
      <c r="T22">
        <v>1</v>
      </c>
      <c r="U22" s="7" t="s">
        <v>154</v>
      </c>
      <c r="V22" s="7" t="s">
        <v>154</v>
      </c>
      <c r="W22" s="7" t="s">
        <v>154</v>
      </c>
      <c r="X22" s="7" t="s">
        <v>154</v>
      </c>
      <c r="Y22" s="7" t="s">
        <v>154</v>
      </c>
      <c r="Z22" s="7" t="s">
        <v>154</v>
      </c>
      <c r="AA22" s="7" t="s">
        <v>154</v>
      </c>
      <c r="AB22" s="7" t="s">
        <v>154</v>
      </c>
      <c r="AC22" s="7" t="s">
        <v>154</v>
      </c>
      <c r="AD22" t="s">
        <v>154</v>
      </c>
    </row>
    <row r="23" spans="1:30" x14ac:dyDescent="0.25">
      <c r="A23">
        <v>19</v>
      </c>
      <c r="B23" s="33" t="s">
        <v>33</v>
      </c>
      <c r="C23" t="s">
        <v>93</v>
      </c>
      <c r="D23" t="s">
        <v>130</v>
      </c>
      <c r="E23" t="s">
        <v>138</v>
      </c>
      <c r="F23">
        <v>400</v>
      </c>
      <c r="H23" s="1">
        <f>ROUND((WACC!$B$2*(1+WACC!$B$2)^$L23)/((1+WACC!$B$2)^$L23-1)*$F23,0)</f>
        <v>26</v>
      </c>
      <c r="I23" t="s">
        <v>154</v>
      </c>
      <c r="J23">
        <v>15000</v>
      </c>
      <c r="K23">
        <v>3</v>
      </c>
      <c r="L23">
        <v>30</v>
      </c>
      <c r="M23">
        <v>0.40699999999999997</v>
      </c>
      <c r="N23">
        <v>3</v>
      </c>
      <c r="O23">
        <v>1</v>
      </c>
      <c r="P23">
        <v>0</v>
      </c>
      <c r="Q23">
        <v>0</v>
      </c>
      <c r="R23">
        <v>0</v>
      </c>
      <c r="S23">
        <f t="shared" si="0"/>
        <v>1</v>
      </c>
      <c r="T23">
        <v>1</v>
      </c>
      <c r="U23" s="7">
        <v>0.15</v>
      </c>
      <c r="V23" s="7">
        <v>0.55000000000000004</v>
      </c>
      <c r="W23" s="7">
        <v>1.1428571428571428</v>
      </c>
      <c r="X23" s="7">
        <v>1.4285714285714284</v>
      </c>
      <c r="Y23" s="7">
        <v>0.82857142857142863</v>
      </c>
      <c r="Z23" s="7">
        <v>0.78571428571428581</v>
      </c>
      <c r="AA23" s="7">
        <v>2.8782028782028783</v>
      </c>
      <c r="AB23" s="7">
        <v>0.80237142857142851</v>
      </c>
      <c r="AC23" s="7">
        <v>0.8</v>
      </c>
      <c r="AD23" t="s">
        <v>204</v>
      </c>
    </row>
    <row r="24" spans="1:30" x14ac:dyDescent="0.25">
      <c r="A24">
        <v>20</v>
      </c>
      <c r="B24" s="33" t="s">
        <v>205</v>
      </c>
      <c r="C24" t="s">
        <v>94</v>
      </c>
      <c r="D24" t="s">
        <v>130</v>
      </c>
      <c r="E24" t="s">
        <v>138</v>
      </c>
      <c r="F24">
        <v>454</v>
      </c>
      <c r="H24" s="1">
        <f>ROUND((WACC!$B$2*(1+WACC!$B$2)^$L24)/((1+WACC!$B$2)^$L24-1)*$F24,0)</f>
        <v>32</v>
      </c>
      <c r="I24" t="s">
        <v>154</v>
      </c>
      <c r="J24">
        <v>8068</v>
      </c>
      <c r="K24">
        <v>4.5</v>
      </c>
      <c r="L24">
        <v>25</v>
      </c>
      <c r="M24">
        <v>0.32800000000000001</v>
      </c>
      <c r="N24">
        <v>1</v>
      </c>
      <c r="O24">
        <v>0</v>
      </c>
      <c r="P24">
        <v>0</v>
      </c>
      <c r="Q24">
        <v>0</v>
      </c>
      <c r="R24">
        <v>0</v>
      </c>
      <c r="S24">
        <f t="shared" si="0"/>
        <v>1</v>
      </c>
      <c r="T24">
        <v>1</v>
      </c>
      <c r="U24" s="7" t="s">
        <v>154</v>
      </c>
      <c r="V24" s="7" t="s">
        <v>154</v>
      </c>
      <c r="W24" s="7" t="s">
        <v>154</v>
      </c>
      <c r="X24" s="7" t="s">
        <v>154</v>
      </c>
      <c r="Y24" s="7" t="s">
        <v>154</v>
      </c>
      <c r="Z24" s="7" t="s">
        <v>154</v>
      </c>
      <c r="AA24" s="7" t="s">
        <v>154</v>
      </c>
      <c r="AB24" s="7" t="s">
        <v>154</v>
      </c>
      <c r="AC24" s="7" t="s">
        <v>154</v>
      </c>
      <c r="AD24" t="s">
        <v>154</v>
      </c>
    </row>
    <row r="25" spans="1:30" x14ac:dyDescent="0.25">
      <c r="A25">
        <v>21</v>
      </c>
      <c r="B25" s="33" t="s">
        <v>340</v>
      </c>
      <c r="C25" t="s">
        <v>95</v>
      </c>
      <c r="D25" t="s">
        <v>130</v>
      </c>
      <c r="E25" t="s">
        <v>138</v>
      </c>
      <c r="F25">
        <f>F24*1.1</f>
        <v>499.40000000000003</v>
      </c>
      <c r="H25" s="1"/>
      <c r="J25">
        <v>8068</v>
      </c>
      <c r="K25">
        <v>4.5</v>
      </c>
      <c r="L25">
        <v>25</v>
      </c>
      <c r="M25">
        <v>0.32800000000000001</v>
      </c>
      <c r="O25">
        <v>1</v>
      </c>
      <c r="P25">
        <v>0</v>
      </c>
      <c r="Q25">
        <v>0</v>
      </c>
      <c r="R25">
        <v>0</v>
      </c>
      <c r="S25">
        <f t="shared" si="0"/>
        <v>1</v>
      </c>
      <c r="U25" s="7"/>
      <c r="V25" s="7"/>
      <c r="W25" s="7"/>
      <c r="X25" s="7"/>
      <c r="Y25" s="7"/>
      <c r="Z25" s="7"/>
      <c r="AA25" s="7"/>
      <c r="AB25" s="7"/>
      <c r="AC25" s="7"/>
    </row>
    <row r="26" spans="1:30" x14ac:dyDescent="0.25">
      <c r="A26">
        <v>22</v>
      </c>
      <c r="B26" s="33" t="s">
        <v>206</v>
      </c>
      <c r="C26" t="s">
        <v>96</v>
      </c>
      <c r="D26" t="s">
        <v>130</v>
      </c>
      <c r="E26" t="s">
        <v>138</v>
      </c>
      <c r="F26">
        <v>590</v>
      </c>
      <c r="H26" s="1">
        <f>ROUND((WACC!$B$2*(1+WACC!$B$2)^$L26)/((1+WACC!$B$2)^$L26-1)*$F26,0)</f>
        <v>42</v>
      </c>
      <c r="I26" t="s">
        <v>154</v>
      </c>
      <c r="J26">
        <v>19500</v>
      </c>
      <c r="K26">
        <v>4.4000000000000004</v>
      </c>
      <c r="L26">
        <v>25</v>
      </c>
      <c r="M26">
        <v>0.42</v>
      </c>
      <c r="N26">
        <v>1</v>
      </c>
      <c r="O26">
        <v>0</v>
      </c>
      <c r="P26">
        <v>0</v>
      </c>
      <c r="Q26">
        <v>0</v>
      </c>
      <c r="R26">
        <v>0</v>
      </c>
      <c r="S26">
        <f t="shared" si="0"/>
        <v>1</v>
      </c>
      <c r="T26">
        <v>1</v>
      </c>
      <c r="U26" s="7">
        <v>0</v>
      </c>
      <c r="V26" s="7">
        <v>0.96</v>
      </c>
      <c r="W26" s="7">
        <v>0.83333333333333348</v>
      </c>
      <c r="X26" s="7">
        <v>1.0416666666666667</v>
      </c>
      <c r="Y26" s="7">
        <v>1</v>
      </c>
      <c r="Z26" s="7">
        <v>1</v>
      </c>
      <c r="AA26" s="7">
        <v>2.3809523809523809</v>
      </c>
      <c r="AB26" s="7">
        <v>0.77</v>
      </c>
      <c r="AC26" s="7">
        <v>0.8</v>
      </c>
      <c r="AD26">
        <v>1</v>
      </c>
    </row>
    <row r="27" spans="1:30" x14ac:dyDescent="0.25">
      <c r="A27">
        <v>23</v>
      </c>
      <c r="B27" s="33" t="s">
        <v>341</v>
      </c>
      <c r="C27" t="s">
        <v>97</v>
      </c>
      <c r="D27" t="s">
        <v>130</v>
      </c>
      <c r="E27" t="s">
        <v>138</v>
      </c>
      <c r="F27">
        <f>F26*1.1</f>
        <v>649</v>
      </c>
      <c r="H27" s="1"/>
      <c r="J27">
        <v>19500</v>
      </c>
      <c r="K27">
        <v>4.4000000000000004</v>
      </c>
      <c r="L27">
        <v>25</v>
      </c>
      <c r="M27">
        <v>0.42</v>
      </c>
      <c r="O27">
        <v>1</v>
      </c>
      <c r="P27">
        <v>0</v>
      </c>
      <c r="Q27">
        <v>0</v>
      </c>
      <c r="R27">
        <v>0</v>
      </c>
      <c r="S27">
        <f t="shared" si="0"/>
        <v>1</v>
      </c>
      <c r="U27" s="7"/>
      <c r="V27" s="7"/>
      <c r="W27" s="7"/>
      <c r="X27" s="7"/>
      <c r="Y27" s="7"/>
      <c r="Z27" s="7"/>
      <c r="AA27" s="7"/>
      <c r="AB27" s="7"/>
      <c r="AC27" s="7"/>
    </row>
    <row r="28" spans="1:30" x14ac:dyDescent="0.25">
      <c r="A28">
        <v>24</v>
      </c>
      <c r="B28" s="33" t="s">
        <v>38</v>
      </c>
      <c r="C28" t="s">
        <v>98</v>
      </c>
      <c r="D28" t="s">
        <v>130</v>
      </c>
      <c r="E28" t="s">
        <v>138</v>
      </c>
      <c r="F28">
        <v>800</v>
      </c>
      <c r="H28" s="1">
        <f>ROUND((WACC!$B$2*(1+WACC!$B$2)^$L28)/((1+WACC!$B$2)^$L28-1)*$F28,0)</f>
        <v>52</v>
      </c>
      <c r="I28" t="s">
        <v>154</v>
      </c>
      <c r="J28">
        <v>20000</v>
      </c>
      <c r="K28">
        <v>4</v>
      </c>
      <c r="L28">
        <v>30</v>
      </c>
      <c r="M28">
        <v>0.56000000000000005</v>
      </c>
      <c r="N28" t="s">
        <v>221</v>
      </c>
      <c r="O28">
        <v>0</v>
      </c>
      <c r="P28">
        <v>0</v>
      </c>
      <c r="Q28">
        <v>0</v>
      </c>
      <c r="R28">
        <v>0</v>
      </c>
      <c r="S28">
        <f t="shared" si="0"/>
        <v>1</v>
      </c>
      <c r="T28">
        <v>1</v>
      </c>
      <c r="U28" s="7" t="s">
        <v>154</v>
      </c>
      <c r="V28" s="7" t="s">
        <v>154</v>
      </c>
      <c r="W28" s="7" t="s">
        <v>154</v>
      </c>
      <c r="X28" s="7" t="s">
        <v>154</v>
      </c>
      <c r="Y28" s="7" t="s">
        <v>154</v>
      </c>
      <c r="Z28" s="7" t="s">
        <v>154</v>
      </c>
      <c r="AA28" s="7" t="s">
        <v>154</v>
      </c>
      <c r="AB28" s="7" t="s">
        <v>154</v>
      </c>
      <c r="AC28" s="7" t="s">
        <v>154</v>
      </c>
      <c r="AD28" t="s">
        <v>154</v>
      </c>
    </row>
    <row r="29" spans="1:30" x14ac:dyDescent="0.25">
      <c r="A29">
        <v>25</v>
      </c>
      <c r="B29" s="33" t="s">
        <v>39</v>
      </c>
      <c r="C29" t="s">
        <v>99</v>
      </c>
      <c r="D29" t="s">
        <v>130</v>
      </c>
      <c r="E29" t="s">
        <v>138</v>
      </c>
      <c r="F29">
        <v>842</v>
      </c>
      <c r="H29" s="1">
        <f>ROUND((WACC!$B$2*(1+WACC!$B$2)^$L29)/((1+WACC!$B$2)^$L29-1)*$F29,0)</f>
        <v>55</v>
      </c>
      <c r="I29" t="s">
        <v>154</v>
      </c>
      <c r="J29">
        <v>20000</v>
      </c>
      <c r="K29">
        <v>4</v>
      </c>
      <c r="L29">
        <v>30</v>
      </c>
      <c r="M29">
        <v>0.56000000000000005</v>
      </c>
      <c r="N29" t="s">
        <v>220</v>
      </c>
      <c r="O29">
        <v>1</v>
      </c>
      <c r="P29">
        <v>0</v>
      </c>
      <c r="Q29">
        <v>0</v>
      </c>
      <c r="R29">
        <v>0</v>
      </c>
      <c r="S29">
        <f t="shared" si="0"/>
        <v>1</v>
      </c>
      <c r="T29">
        <v>1</v>
      </c>
      <c r="U29" s="7">
        <v>0.15</v>
      </c>
      <c r="V29" s="7">
        <v>1.8</v>
      </c>
      <c r="W29" s="7">
        <v>0.41025641025641035</v>
      </c>
      <c r="X29" s="7">
        <v>0.51282051282051289</v>
      </c>
      <c r="Y29" s="7">
        <v>0.93846153846153846</v>
      </c>
      <c r="Z29" s="7">
        <v>0.92307692307692313</v>
      </c>
      <c r="AA29" s="7">
        <v>1.8956043956043955</v>
      </c>
      <c r="AB29" s="7">
        <v>0.75528205128205139</v>
      </c>
      <c r="AC29" s="7">
        <v>0.8</v>
      </c>
      <c r="AD29">
        <v>1</v>
      </c>
    </row>
    <row r="30" spans="1:30" x14ac:dyDescent="0.25">
      <c r="A30">
        <v>26</v>
      </c>
      <c r="B30" s="33" t="s">
        <v>40</v>
      </c>
      <c r="C30" t="s">
        <v>100</v>
      </c>
      <c r="D30" t="s">
        <v>130</v>
      </c>
      <c r="E30" t="s">
        <v>138</v>
      </c>
      <c r="F30">
        <v>836</v>
      </c>
      <c r="H30" s="1">
        <f>ROUND((WACC!$B$2*(1+WACC!$B$2)^$L30)/((1+WACC!$B$2)^$L30-1)*$F30,0)</f>
        <v>59</v>
      </c>
      <c r="I30" t="s">
        <v>154</v>
      </c>
      <c r="J30">
        <v>27835</v>
      </c>
      <c r="K30">
        <v>4.4000000000000004</v>
      </c>
      <c r="L30">
        <v>25</v>
      </c>
      <c r="M30">
        <v>0.61</v>
      </c>
      <c r="N30">
        <v>1</v>
      </c>
      <c r="O30">
        <v>0</v>
      </c>
      <c r="P30">
        <v>0</v>
      </c>
      <c r="Q30">
        <v>0</v>
      </c>
      <c r="R30">
        <v>0</v>
      </c>
      <c r="S30">
        <f t="shared" si="0"/>
        <v>1</v>
      </c>
      <c r="T30">
        <v>1</v>
      </c>
      <c r="U30" s="7" t="s">
        <v>154</v>
      </c>
      <c r="V30" s="7" t="s">
        <v>154</v>
      </c>
      <c r="W30" s="7" t="s">
        <v>154</v>
      </c>
      <c r="X30" s="7" t="s">
        <v>154</v>
      </c>
      <c r="Y30" s="7" t="s">
        <v>154</v>
      </c>
      <c r="Z30" s="7" t="s">
        <v>154</v>
      </c>
      <c r="AA30" s="7" t="s">
        <v>154</v>
      </c>
      <c r="AB30" s="7" t="s">
        <v>154</v>
      </c>
      <c r="AC30" s="7" t="s">
        <v>154</v>
      </c>
      <c r="AD30" t="s">
        <v>154</v>
      </c>
    </row>
    <row r="31" spans="1:30" x14ac:dyDescent="0.25">
      <c r="A31">
        <v>27</v>
      </c>
      <c r="B31" s="33" t="s">
        <v>41</v>
      </c>
      <c r="C31" t="s">
        <v>101</v>
      </c>
      <c r="D31" t="s">
        <v>130</v>
      </c>
      <c r="E31" t="s">
        <v>138</v>
      </c>
      <c r="F31">
        <v>880</v>
      </c>
      <c r="H31" s="1">
        <f>ROUND((WACC!$B$2*(1+WACC!$B$2)^$L31)/((1+WACC!$B$2)^$L31-1)*$F31,0)</f>
        <v>62</v>
      </c>
      <c r="I31" t="s">
        <v>154</v>
      </c>
      <c r="J31">
        <v>29300</v>
      </c>
      <c r="K31">
        <v>4.4000000000000004</v>
      </c>
      <c r="L31">
        <v>25</v>
      </c>
      <c r="M31">
        <v>0.61</v>
      </c>
      <c r="N31">
        <v>1</v>
      </c>
      <c r="O31">
        <v>1</v>
      </c>
      <c r="P31">
        <v>0</v>
      </c>
      <c r="Q31">
        <v>0</v>
      </c>
      <c r="R31">
        <v>0</v>
      </c>
      <c r="S31">
        <f t="shared" si="0"/>
        <v>1</v>
      </c>
      <c r="T31">
        <v>1</v>
      </c>
      <c r="U31" s="7">
        <v>0.15</v>
      </c>
      <c r="V31" s="7">
        <v>2</v>
      </c>
      <c r="W31" s="7">
        <v>0.37209302325581395</v>
      </c>
      <c r="X31" s="7">
        <v>0.46511627906976744</v>
      </c>
      <c r="Y31" s="7">
        <v>0.94418604651162785</v>
      </c>
      <c r="Z31" s="7">
        <v>0.93023255813953487</v>
      </c>
      <c r="AA31" s="7">
        <v>1.7308425467022495</v>
      </c>
      <c r="AB31" s="7">
        <v>0.80293023255813945</v>
      </c>
      <c r="AC31" s="7">
        <v>0.8</v>
      </c>
      <c r="AD31">
        <v>1</v>
      </c>
    </row>
    <row r="32" spans="1:30" x14ac:dyDescent="0.25">
      <c r="A32">
        <v>28</v>
      </c>
      <c r="B32" s="33" t="s">
        <v>42</v>
      </c>
      <c r="C32" t="s">
        <v>102</v>
      </c>
      <c r="D32" t="s">
        <v>130</v>
      </c>
      <c r="E32" t="s">
        <v>138</v>
      </c>
      <c r="F32">
        <v>902.5</v>
      </c>
      <c r="H32" s="1">
        <f>ROUND((WACC!$B$2*(1+WACC!$B$2)^$L32)/((1+WACC!$B$2)^$L32-1)*$F32,0)</f>
        <v>64</v>
      </c>
      <c r="I32" t="s">
        <v>154</v>
      </c>
      <c r="J32">
        <v>9262.5</v>
      </c>
      <c r="K32">
        <v>5.4</v>
      </c>
      <c r="L32">
        <v>25</v>
      </c>
      <c r="M32">
        <v>0.47</v>
      </c>
      <c r="N32">
        <v>1</v>
      </c>
      <c r="O32">
        <v>0</v>
      </c>
      <c r="P32">
        <v>0</v>
      </c>
      <c r="Q32">
        <v>0</v>
      </c>
      <c r="R32">
        <v>0</v>
      </c>
      <c r="S32">
        <f t="shared" si="0"/>
        <v>1</v>
      </c>
      <c r="T32">
        <v>1</v>
      </c>
      <c r="U32" s="7" t="s">
        <v>154</v>
      </c>
      <c r="V32" s="7" t="s">
        <v>154</v>
      </c>
      <c r="W32" s="7" t="s">
        <v>154</v>
      </c>
      <c r="X32" s="7" t="s">
        <v>154</v>
      </c>
      <c r="Y32" s="7" t="s">
        <v>154</v>
      </c>
      <c r="Z32" s="7" t="s">
        <v>154</v>
      </c>
      <c r="AA32" s="7" t="s">
        <v>154</v>
      </c>
      <c r="AB32" s="7" t="s">
        <v>154</v>
      </c>
      <c r="AC32" s="7" t="s">
        <v>154</v>
      </c>
      <c r="AD32" t="s">
        <v>154</v>
      </c>
    </row>
    <row r="33" spans="1:30" x14ac:dyDescent="0.25">
      <c r="A33">
        <v>29</v>
      </c>
      <c r="B33" s="33" t="s">
        <v>43</v>
      </c>
      <c r="C33" t="s">
        <v>103</v>
      </c>
      <c r="D33" t="s">
        <v>130</v>
      </c>
      <c r="E33" t="s">
        <v>138</v>
      </c>
      <c r="F33">
        <v>950</v>
      </c>
      <c r="H33" s="1">
        <f>ROUND((WACC!$B$2*(1+WACC!$B$2)^$L33)/((1+WACC!$B$2)^$L33-1)*$F33,0)</f>
        <v>67</v>
      </c>
      <c r="I33" t="s">
        <v>154</v>
      </c>
      <c r="J33">
        <v>9750</v>
      </c>
      <c r="K33">
        <v>5.4</v>
      </c>
      <c r="L33">
        <v>25</v>
      </c>
      <c r="M33">
        <v>0.47</v>
      </c>
      <c r="N33">
        <v>1</v>
      </c>
      <c r="O33">
        <v>1</v>
      </c>
      <c r="P33">
        <v>0</v>
      </c>
      <c r="Q33">
        <v>0</v>
      </c>
      <c r="R33">
        <v>0</v>
      </c>
      <c r="S33">
        <f t="shared" si="0"/>
        <v>1</v>
      </c>
      <c r="T33">
        <v>1</v>
      </c>
      <c r="U33" s="7">
        <v>0</v>
      </c>
      <c r="V33" s="7">
        <v>0.95</v>
      </c>
      <c r="W33" s="7">
        <v>0.84210526315789469</v>
      </c>
      <c r="X33" s="7">
        <v>1.0526315789473684</v>
      </c>
      <c r="Y33" s="7">
        <v>1</v>
      </c>
      <c r="Z33" s="7">
        <v>1</v>
      </c>
      <c r="AA33" s="7">
        <v>2.1276595744680851</v>
      </c>
      <c r="AB33" s="7">
        <v>0.86578947368421044</v>
      </c>
      <c r="AC33" s="7">
        <v>0.8</v>
      </c>
      <c r="AD33">
        <v>1</v>
      </c>
    </row>
    <row r="34" spans="1:30" x14ac:dyDescent="0.25">
      <c r="A34">
        <v>30</v>
      </c>
      <c r="B34" s="33" t="s">
        <v>207</v>
      </c>
      <c r="C34" t="s">
        <v>104</v>
      </c>
      <c r="D34" t="s">
        <v>130</v>
      </c>
      <c r="E34" t="s">
        <v>138</v>
      </c>
      <c r="F34">
        <v>60</v>
      </c>
      <c r="H34" s="1">
        <f>ROUND((WACC!$B$2*(1+WACC!$B$2)^$L34)/((1+WACC!$B$2)^$L34-1)*$F34,0)</f>
        <v>4</v>
      </c>
      <c r="I34" t="s">
        <v>154</v>
      </c>
      <c r="J34">
        <v>1950</v>
      </c>
      <c r="K34">
        <v>1</v>
      </c>
      <c r="L34">
        <v>25</v>
      </c>
      <c r="M34">
        <v>0.95</v>
      </c>
      <c r="N34">
        <v>1</v>
      </c>
      <c r="O34">
        <v>1</v>
      </c>
      <c r="P34">
        <v>0</v>
      </c>
      <c r="Q34">
        <v>0</v>
      </c>
      <c r="R34">
        <v>0</v>
      </c>
      <c r="S34">
        <f t="shared" si="0"/>
        <v>1</v>
      </c>
      <c r="T34">
        <v>1</v>
      </c>
      <c r="U34" s="7" t="s">
        <v>154</v>
      </c>
      <c r="V34" s="7" t="s">
        <v>154</v>
      </c>
      <c r="W34" s="7" t="s">
        <v>154</v>
      </c>
      <c r="X34" s="7" t="s">
        <v>154</v>
      </c>
      <c r="Y34" s="7" t="s">
        <v>154</v>
      </c>
      <c r="Z34" s="7" t="s">
        <v>154</v>
      </c>
      <c r="AA34" s="7" t="s">
        <v>154</v>
      </c>
      <c r="AB34" s="7" t="s">
        <v>154</v>
      </c>
      <c r="AC34" s="7" t="s">
        <v>154</v>
      </c>
      <c r="AD34" s="7" t="s">
        <v>154</v>
      </c>
    </row>
    <row r="35" spans="1:30" x14ac:dyDescent="0.25">
      <c r="A35">
        <v>31</v>
      </c>
      <c r="B35" s="33" t="s">
        <v>45</v>
      </c>
      <c r="C35" t="s">
        <v>105</v>
      </c>
      <c r="D35" t="s">
        <v>131</v>
      </c>
      <c r="E35" t="s">
        <v>138</v>
      </c>
      <c r="F35">
        <v>400</v>
      </c>
      <c r="H35" s="1">
        <f>ROUND((WACC!$B$2*(1+WACC!$B$2)^$L35)/((1+WACC!$B$2)^$L35-1)*$F35,0)</f>
        <v>26</v>
      </c>
      <c r="I35" t="s">
        <v>154</v>
      </c>
      <c r="J35">
        <v>6000</v>
      </c>
      <c r="K35">
        <v>3</v>
      </c>
      <c r="L35">
        <v>30</v>
      </c>
      <c r="M35">
        <v>0.39600000000000002</v>
      </c>
      <c r="N35">
        <v>3</v>
      </c>
      <c r="O35">
        <v>0</v>
      </c>
      <c r="P35">
        <v>0</v>
      </c>
      <c r="Q35">
        <v>0</v>
      </c>
      <c r="R35">
        <v>0</v>
      </c>
      <c r="S35">
        <f t="shared" si="0"/>
        <v>1</v>
      </c>
      <c r="T35">
        <v>1</v>
      </c>
      <c r="U35" s="7" t="s">
        <v>154</v>
      </c>
      <c r="V35" s="7" t="s">
        <v>154</v>
      </c>
      <c r="W35" s="7" t="s">
        <v>154</v>
      </c>
      <c r="X35" s="7" t="s">
        <v>154</v>
      </c>
      <c r="Y35" s="7" t="s">
        <v>154</v>
      </c>
      <c r="Z35" s="7" t="s">
        <v>154</v>
      </c>
      <c r="AA35" s="7" t="s">
        <v>154</v>
      </c>
      <c r="AB35" s="7" t="s">
        <v>154</v>
      </c>
      <c r="AC35" s="7" t="s">
        <v>154</v>
      </c>
      <c r="AD35" s="7" t="s">
        <v>154</v>
      </c>
    </row>
    <row r="36" spans="1:30" x14ac:dyDescent="0.25">
      <c r="A36">
        <v>32</v>
      </c>
      <c r="B36" s="33" t="s">
        <v>46</v>
      </c>
      <c r="C36" t="s">
        <v>106</v>
      </c>
      <c r="D36" t="s">
        <v>131</v>
      </c>
      <c r="E36" t="s">
        <v>138</v>
      </c>
      <c r="F36">
        <v>400</v>
      </c>
      <c r="H36" s="1">
        <f>ROUND((WACC!$B$2*(1+WACC!$B$2)^$L36)/((1+WACC!$B$2)^$L36-1)*$F36,0)</f>
        <v>26</v>
      </c>
      <c r="I36" t="s">
        <v>154</v>
      </c>
      <c r="J36">
        <v>6000</v>
      </c>
      <c r="K36">
        <v>3</v>
      </c>
      <c r="L36">
        <v>30</v>
      </c>
      <c r="M36">
        <v>0.39600000000000002</v>
      </c>
      <c r="N36">
        <v>3</v>
      </c>
      <c r="O36">
        <v>1</v>
      </c>
      <c r="P36">
        <v>0</v>
      </c>
      <c r="Q36">
        <v>0</v>
      </c>
      <c r="R36">
        <v>0</v>
      </c>
      <c r="S36">
        <f t="shared" si="0"/>
        <v>1</v>
      </c>
      <c r="T36">
        <v>1</v>
      </c>
      <c r="U36" s="7">
        <v>0.17499999999999999</v>
      </c>
      <c r="V36" s="7">
        <v>0.55000000000000004</v>
      </c>
      <c r="W36" s="7">
        <v>1.103448275862069</v>
      </c>
      <c r="X36" s="7">
        <v>1.3793103448275861</v>
      </c>
      <c r="Y36" s="7">
        <v>0.80689655172413799</v>
      </c>
      <c r="Z36" s="7">
        <v>0.75862068965517249</v>
      </c>
      <c r="AA36" s="7">
        <v>3.0128874956461162</v>
      </c>
      <c r="AB36" s="7">
        <v>0.75649655172413799</v>
      </c>
      <c r="AC36" s="7">
        <v>0.8</v>
      </c>
      <c r="AD36" t="s">
        <v>204</v>
      </c>
    </row>
    <row r="37" spans="1:30" x14ac:dyDescent="0.25">
      <c r="A37">
        <v>33</v>
      </c>
      <c r="B37" s="33" t="s">
        <v>208</v>
      </c>
      <c r="C37" t="s">
        <v>107</v>
      </c>
      <c r="D37" t="s">
        <v>131</v>
      </c>
      <c r="E37" t="s">
        <v>138</v>
      </c>
      <c r="F37">
        <v>378</v>
      </c>
      <c r="H37" s="1">
        <f>ROUND((WACC!$B$2*(1+WACC!$B$2)^$L37)/((1+WACC!$B$2)^$L37-1)*$F37,0)</f>
        <v>27</v>
      </c>
      <c r="I37" t="s">
        <v>154</v>
      </c>
      <c r="J37">
        <v>8068</v>
      </c>
      <c r="K37">
        <v>4.5</v>
      </c>
      <c r="L37">
        <v>25</v>
      </c>
      <c r="M37">
        <v>0.41</v>
      </c>
      <c r="N37">
        <v>1</v>
      </c>
      <c r="O37">
        <v>0</v>
      </c>
      <c r="P37">
        <v>0</v>
      </c>
      <c r="Q37">
        <v>0</v>
      </c>
      <c r="R37">
        <v>0</v>
      </c>
      <c r="S37">
        <f t="shared" si="0"/>
        <v>1</v>
      </c>
      <c r="T37">
        <v>1</v>
      </c>
      <c r="U37" s="7" t="s">
        <v>154</v>
      </c>
      <c r="V37" s="7" t="s">
        <v>154</v>
      </c>
      <c r="W37" s="7" t="s">
        <v>154</v>
      </c>
      <c r="X37" s="7" t="s">
        <v>154</v>
      </c>
      <c r="Y37" s="7" t="s">
        <v>154</v>
      </c>
      <c r="Z37" s="7" t="s">
        <v>154</v>
      </c>
      <c r="AA37" s="7" t="s">
        <v>154</v>
      </c>
      <c r="AB37" s="7" t="s">
        <v>154</v>
      </c>
      <c r="AC37" s="7" t="s">
        <v>154</v>
      </c>
      <c r="AD37" s="7" t="s">
        <v>154</v>
      </c>
    </row>
    <row r="38" spans="1:30" x14ac:dyDescent="0.25">
      <c r="A38">
        <v>34</v>
      </c>
      <c r="B38" s="33" t="s">
        <v>342</v>
      </c>
      <c r="C38" t="s">
        <v>108</v>
      </c>
      <c r="D38" t="s">
        <v>131</v>
      </c>
      <c r="E38" t="s">
        <v>138</v>
      </c>
      <c r="F38">
        <f>F37*1.1</f>
        <v>415.8</v>
      </c>
      <c r="H38" s="1"/>
      <c r="J38">
        <v>8068</v>
      </c>
      <c r="K38">
        <v>4.5</v>
      </c>
      <c r="L38">
        <v>25</v>
      </c>
      <c r="M38">
        <v>0.41</v>
      </c>
      <c r="O38">
        <v>1</v>
      </c>
      <c r="P38">
        <v>0</v>
      </c>
      <c r="Q38">
        <v>0</v>
      </c>
      <c r="R38">
        <v>0</v>
      </c>
      <c r="S38">
        <f t="shared" si="0"/>
        <v>1</v>
      </c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1:30" x14ac:dyDescent="0.25">
      <c r="A39">
        <v>35</v>
      </c>
      <c r="B39" s="33" t="s">
        <v>49</v>
      </c>
      <c r="C39" t="s">
        <v>109</v>
      </c>
      <c r="D39" t="s">
        <v>131</v>
      </c>
      <c r="E39" t="s">
        <v>138</v>
      </c>
      <c r="F39">
        <v>800</v>
      </c>
      <c r="H39" s="1">
        <f>ROUND((WACC!$B$2*(1+WACC!$B$2)^$L39)/((1+WACC!$B$2)^$L39-1)*$F39,0)</f>
        <v>57</v>
      </c>
      <c r="I39" t="s">
        <v>154</v>
      </c>
      <c r="J39">
        <v>25000</v>
      </c>
      <c r="K39">
        <v>4</v>
      </c>
      <c r="L39">
        <v>25</v>
      </c>
      <c r="M39">
        <v>0.47</v>
      </c>
      <c r="N39">
        <v>8</v>
      </c>
      <c r="O39">
        <v>0</v>
      </c>
      <c r="P39">
        <v>0</v>
      </c>
      <c r="Q39">
        <v>0</v>
      </c>
      <c r="R39">
        <v>0</v>
      </c>
      <c r="S39">
        <f t="shared" si="0"/>
        <v>1</v>
      </c>
      <c r="T39">
        <v>1</v>
      </c>
      <c r="U39" s="7" t="s">
        <v>154</v>
      </c>
      <c r="V39" s="7" t="s">
        <v>154</v>
      </c>
      <c r="W39" s="7" t="s">
        <v>154</v>
      </c>
      <c r="X39" s="7" t="s">
        <v>154</v>
      </c>
      <c r="Y39" s="7" t="s">
        <v>154</v>
      </c>
      <c r="Z39" s="7" t="s">
        <v>154</v>
      </c>
      <c r="AA39" s="7" t="s">
        <v>154</v>
      </c>
      <c r="AB39" s="7" t="s">
        <v>154</v>
      </c>
      <c r="AC39" s="7" t="s">
        <v>154</v>
      </c>
      <c r="AD39" s="7" t="s">
        <v>154</v>
      </c>
    </row>
    <row r="40" spans="1:30" x14ac:dyDescent="0.25">
      <c r="A40">
        <v>36</v>
      </c>
      <c r="B40" s="33" t="s">
        <v>140</v>
      </c>
      <c r="C40" t="s">
        <v>110</v>
      </c>
      <c r="D40" t="s">
        <v>131</v>
      </c>
      <c r="E40" t="s">
        <v>138</v>
      </c>
      <c r="F40">
        <v>842</v>
      </c>
      <c r="H40" s="1">
        <f>ROUND((WACC!$B$2*(1+WACC!$B$2)^$L40)/((1+WACC!$B$2)^$L40-1)*$F40,0)</f>
        <v>60</v>
      </c>
      <c r="I40" t="s">
        <v>154</v>
      </c>
      <c r="J40">
        <v>25000</v>
      </c>
      <c r="K40">
        <v>4</v>
      </c>
      <c r="L40">
        <v>25</v>
      </c>
      <c r="M40">
        <v>0.47</v>
      </c>
      <c r="N40" t="s">
        <v>222</v>
      </c>
      <c r="O40">
        <v>1</v>
      </c>
      <c r="P40">
        <v>0</v>
      </c>
      <c r="Q40">
        <v>0</v>
      </c>
      <c r="R40">
        <v>0</v>
      </c>
      <c r="S40">
        <f t="shared" si="0"/>
        <v>1</v>
      </c>
      <c r="T40">
        <v>1</v>
      </c>
      <c r="U40" s="7">
        <v>0.187</v>
      </c>
      <c r="V40" s="7">
        <v>0.65</v>
      </c>
      <c r="W40" s="7">
        <v>0.95579450418160106</v>
      </c>
      <c r="X40" s="7">
        <v>1.1947431302270013</v>
      </c>
      <c r="Y40" s="7">
        <v>0.82126642771804059</v>
      </c>
      <c r="Z40" s="7">
        <v>0.77658303464755074</v>
      </c>
      <c r="AA40" s="7">
        <v>2.5079437708126799</v>
      </c>
      <c r="AB40" s="7">
        <v>0.83521863799283147</v>
      </c>
      <c r="AC40" s="7">
        <v>0.8</v>
      </c>
      <c r="AD40" t="s">
        <v>204</v>
      </c>
    </row>
    <row r="41" spans="1:30" x14ac:dyDescent="0.25">
      <c r="A41">
        <v>37</v>
      </c>
      <c r="B41" s="35" t="s">
        <v>210</v>
      </c>
      <c r="C41" t="s">
        <v>116</v>
      </c>
      <c r="D41" t="s">
        <v>135</v>
      </c>
      <c r="E41" t="s">
        <v>139</v>
      </c>
      <c r="F41">
        <v>660</v>
      </c>
      <c r="H41" s="1">
        <f>ROUND((WACC!$B$2*(1+WACC!$B$2)^$L41)/((1+WACC!$B$2)^$L41-1)*$F41,0)</f>
        <v>47</v>
      </c>
      <c r="I41" t="s">
        <v>154</v>
      </c>
      <c r="J41">
        <v>2000</v>
      </c>
      <c r="K41">
        <v>1.8</v>
      </c>
      <c r="L41">
        <v>25</v>
      </c>
      <c r="M41">
        <v>3.6</v>
      </c>
      <c r="N41">
        <v>1</v>
      </c>
      <c r="O41">
        <v>1</v>
      </c>
      <c r="P41">
        <v>0</v>
      </c>
      <c r="Q41">
        <v>0</v>
      </c>
      <c r="R41">
        <v>0</v>
      </c>
      <c r="S41">
        <f t="shared" si="0"/>
        <v>1</v>
      </c>
      <c r="T41">
        <v>1</v>
      </c>
      <c r="U41" s="7" t="s">
        <v>154</v>
      </c>
      <c r="V41" s="7" t="s">
        <v>154</v>
      </c>
      <c r="W41" s="7" t="s">
        <v>154</v>
      </c>
      <c r="X41" s="7" t="s">
        <v>154</v>
      </c>
      <c r="Y41" s="7" t="s">
        <v>154</v>
      </c>
      <c r="Z41" s="7" t="s">
        <v>154</v>
      </c>
      <c r="AA41" s="7" t="s">
        <v>154</v>
      </c>
      <c r="AB41" s="7" t="s">
        <v>154</v>
      </c>
      <c r="AC41" s="7" t="s">
        <v>154</v>
      </c>
      <c r="AD41" s="7" t="s">
        <v>154</v>
      </c>
    </row>
    <row r="42" spans="1:30" x14ac:dyDescent="0.25">
      <c r="A42">
        <v>38</v>
      </c>
      <c r="B42" s="35" t="s">
        <v>211</v>
      </c>
      <c r="C42" t="s">
        <v>212</v>
      </c>
      <c r="D42" t="s">
        <v>135</v>
      </c>
      <c r="E42" t="s">
        <v>139</v>
      </c>
      <c r="F42">
        <v>560</v>
      </c>
      <c r="H42" s="1">
        <f>ROUND((WACC!$B$2*(1+WACC!$B$2)^$L42)/((1+WACC!$B$2)^$L42-1)*$F42,0)</f>
        <v>40</v>
      </c>
      <c r="I42" t="s">
        <v>154</v>
      </c>
      <c r="J42">
        <v>2000</v>
      </c>
      <c r="K42">
        <v>0.28000000000000003</v>
      </c>
      <c r="L42">
        <v>25</v>
      </c>
      <c r="M42">
        <v>1.71</v>
      </c>
      <c r="N42">
        <v>1</v>
      </c>
      <c r="O42">
        <v>1</v>
      </c>
      <c r="P42">
        <v>0</v>
      </c>
      <c r="Q42">
        <v>0</v>
      </c>
      <c r="R42">
        <v>0</v>
      </c>
      <c r="S42">
        <f t="shared" si="0"/>
        <v>1</v>
      </c>
      <c r="T42">
        <v>1</v>
      </c>
      <c r="U42" s="7" t="s">
        <v>154</v>
      </c>
      <c r="V42" s="7" t="s">
        <v>154</v>
      </c>
      <c r="W42" s="7" t="s">
        <v>154</v>
      </c>
      <c r="X42" s="7" t="s">
        <v>154</v>
      </c>
      <c r="Y42" s="7" t="s">
        <v>154</v>
      </c>
      <c r="Z42" s="7" t="s">
        <v>154</v>
      </c>
      <c r="AA42" s="7" t="s">
        <v>154</v>
      </c>
      <c r="AB42" s="7" t="s">
        <v>154</v>
      </c>
      <c r="AC42" s="7" t="s">
        <v>154</v>
      </c>
      <c r="AD42" s="7" t="s">
        <v>154</v>
      </c>
    </row>
    <row r="43" spans="1:30" x14ac:dyDescent="0.25">
      <c r="A43">
        <v>39</v>
      </c>
      <c r="B43" s="35" t="s">
        <v>213</v>
      </c>
      <c r="C43" t="s">
        <v>214</v>
      </c>
      <c r="D43" t="s">
        <v>135</v>
      </c>
      <c r="E43" t="s">
        <v>139</v>
      </c>
      <c r="F43">
        <v>150</v>
      </c>
      <c r="H43" s="1">
        <f>ROUND((WACC!$B$2*(1+WACC!$B$2)^$L43)/((1+WACC!$B$2)^$L43-1)*$F43,0)</f>
        <v>12</v>
      </c>
      <c r="I43" t="s">
        <v>154</v>
      </c>
      <c r="J43">
        <v>1070</v>
      </c>
      <c r="K43">
        <v>0.5</v>
      </c>
      <c r="L43">
        <v>20</v>
      </c>
      <c r="M43">
        <v>0.99</v>
      </c>
      <c r="N43">
        <v>1</v>
      </c>
      <c r="O43">
        <v>1</v>
      </c>
      <c r="P43">
        <v>0</v>
      </c>
      <c r="Q43">
        <v>0</v>
      </c>
      <c r="R43">
        <v>0</v>
      </c>
      <c r="S43">
        <f t="shared" si="0"/>
        <v>1</v>
      </c>
      <c r="T43">
        <v>1</v>
      </c>
      <c r="U43" s="7" t="s">
        <v>154</v>
      </c>
      <c r="V43" s="7" t="s">
        <v>154</v>
      </c>
      <c r="W43" s="7" t="s">
        <v>154</v>
      </c>
      <c r="X43" s="7" t="s">
        <v>154</v>
      </c>
      <c r="Y43" s="7" t="s">
        <v>154</v>
      </c>
      <c r="Z43" s="7" t="s">
        <v>154</v>
      </c>
      <c r="AA43" s="7" t="s">
        <v>154</v>
      </c>
      <c r="AB43" s="7" t="s">
        <v>154</v>
      </c>
      <c r="AC43" s="7" t="s">
        <v>154</v>
      </c>
      <c r="AD43" s="7" t="s">
        <v>154</v>
      </c>
    </row>
    <row r="44" spans="1:30" x14ac:dyDescent="0.25">
      <c r="A44">
        <v>40</v>
      </c>
      <c r="B44" s="34" t="s">
        <v>279</v>
      </c>
      <c r="C44" t="s">
        <v>117</v>
      </c>
      <c r="D44" t="s">
        <v>135</v>
      </c>
      <c r="E44" t="s">
        <v>138</v>
      </c>
      <c r="F44">
        <v>320</v>
      </c>
      <c r="G44" s="1">
        <v>302</v>
      </c>
      <c r="H44" s="1">
        <f>ROUND((WACC!$B$2*(1+WACC!$B$2)^$L44)/((1+WACC!$B$2)^$L44-1)*$F44,0)</f>
        <v>23</v>
      </c>
      <c r="I44" s="1">
        <f>ROUND((WACC!$B$2*(1+WACC!$B$2)^$L44)/((1+WACC!$B$2)^$L44-1)*$G44,0)</f>
        <v>21</v>
      </c>
      <c r="J44" s="1">
        <v>540</v>
      </c>
      <c r="K44" s="8">
        <v>1.8</v>
      </c>
      <c r="L44" s="1">
        <v>25</v>
      </c>
      <c r="M44" s="1">
        <v>1</v>
      </c>
      <c r="N44" s="35"/>
      <c r="O44" s="29">
        <v>0</v>
      </c>
      <c r="P44" s="1">
        <v>0</v>
      </c>
      <c r="Q44">
        <v>1</v>
      </c>
      <c r="R44">
        <v>0</v>
      </c>
      <c r="S44">
        <f t="shared" si="0"/>
        <v>0</v>
      </c>
      <c r="T44" s="1">
        <v>1</v>
      </c>
      <c r="U44" s="7" t="s">
        <v>154</v>
      </c>
      <c r="V44" s="7" t="s">
        <v>154</v>
      </c>
      <c r="W44" s="7" t="s">
        <v>154</v>
      </c>
      <c r="X44" s="7" t="s">
        <v>154</v>
      </c>
      <c r="Y44" s="7" t="s">
        <v>154</v>
      </c>
      <c r="Z44" s="7" t="s">
        <v>154</v>
      </c>
      <c r="AA44" s="7" t="s">
        <v>154</v>
      </c>
      <c r="AB44" s="7" t="s">
        <v>154</v>
      </c>
      <c r="AC44" s="7" t="s">
        <v>154</v>
      </c>
      <c r="AD44" s="7" t="s">
        <v>154</v>
      </c>
    </row>
    <row r="45" spans="1:30" x14ac:dyDescent="0.25">
      <c r="A45">
        <v>41</v>
      </c>
      <c r="B45" s="34" t="s">
        <v>314</v>
      </c>
      <c r="C45" t="s">
        <v>305</v>
      </c>
      <c r="D45" t="s">
        <v>285</v>
      </c>
      <c r="E45" t="s">
        <v>138</v>
      </c>
      <c r="F45">
        <v>2400</v>
      </c>
      <c r="G45">
        <v>6.5</v>
      </c>
      <c r="H45" s="1">
        <f>ROUND((WACC!$B$2*(1+WACC!$B$2)^$L45)/((1+WACC!$B$2)^$L45-1)*$F45,0)</f>
        <v>131</v>
      </c>
      <c r="I45" t="s">
        <v>154</v>
      </c>
      <c r="J45">
        <v>20000</v>
      </c>
      <c r="K45">
        <v>0</v>
      </c>
      <c r="L45">
        <v>50</v>
      </c>
      <c r="M45">
        <v>0.9</v>
      </c>
      <c r="N45" t="s">
        <v>281</v>
      </c>
      <c r="O45">
        <v>0</v>
      </c>
      <c r="P45">
        <v>0</v>
      </c>
      <c r="Q45">
        <v>1</v>
      </c>
      <c r="R45">
        <v>0</v>
      </c>
      <c r="S45">
        <f t="shared" si="0"/>
        <v>0</v>
      </c>
      <c r="T45">
        <v>1</v>
      </c>
      <c r="U45" s="7" t="s">
        <v>154</v>
      </c>
      <c r="V45" s="7" t="s">
        <v>154</v>
      </c>
      <c r="W45" s="7" t="s">
        <v>154</v>
      </c>
      <c r="X45" s="7" t="s">
        <v>154</v>
      </c>
      <c r="Y45" s="7" t="s">
        <v>154</v>
      </c>
      <c r="Z45" s="7" t="s">
        <v>154</v>
      </c>
      <c r="AA45" s="7" t="s">
        <v>154</v>
      </c>
      <c r="AB45" s="7" t="s">
        <v>154</v>
      </c>
      <c r="AC45" s="7" t="s">
        <v>154</v>
      </c>
      <c r="AD45" s="7" t="s">
        <v>154</v>
      </c>
    </row>
    <row r="46" spans="1:30" x14ac:dyDescent="0.25">
      <c r="A46">
        <v>42</v>
      </c>
      <c r="B46" s="34" t="s">
        <v>315</v>
      </c>
      <c r="C46" t="s">
        <v>306</v>
      </c>
      <c r="D46" t="s">
        <v>285</v>
      </c>
      <c r="E46" t="s">
        <v>138</v>
      </c>
      <c r="F46">
        <v>2400</v>
      </c>
      <c r="G46">
        <v>6.5</v>
      </c>
      <c r="H46" s="1">
        <f>ROUND((WACC!$B$2*(1+WACC!$B$2)^$L46)/((1+WACC!$B$2)^$L46-1)*$F46,0)</f>
        <v>131</v>
      </c>
      <c r="I46" t="s">
        <v>154</v>
      </c>
      <c r="J46">
        <v>20000</v>
      </c>
      <c r="K46">
        <v>0</v>
      </c>
      <c r="L46">
        <v>50</v>
      </c>
      <c r="M46">
        <v>0.9</v>
      </c>
      <c r="N46" t="s">
        <v>281</v>
      </c>
      <c r="O46">
        <v>0</v>
      </c>
      <c r="P46">
        <v>0</v>
      </c>
      <c r="Q46">
        <v>1</v>
      </c>
      <c r="R46">
        <v>0</v>
      </c>
      <c r="S46">
        <f t="shared" si="0"/>
        <v>0</v>
      </c>
      <c r="T46">
        <v>1</v>
      </c>
      <c r="U46" s="7" t="s">
        <v>154</v>
      </c>
      <c r="V46" s="7" t="s">
        <v>154</v>
      </c>
      <c r="W46" s="7" t="s">
        <v>154</v>
      </c>
      <c r="X46" s="7" t="s">
        <v>154</v>
      </c>
      <c r="Y46" s="7" t="s">
        <v>154</v>
      </c>
      <c r="Z46" s="7" t="s">
        <v>154</v>
      </c>
      <c r="AA46" s="7" t="s">
        <v>154</v>
      </c>
      <c r="AB46" s="7" t="s">
        <v>154</v>
      </c>
      <c r="AC46" s="7" t="s">
        <v>154</v>
      </c>
      <c r="AD46" s="7" t="s">
        <v>154</v>
      </c>
    </row>
    <row r="47" spans="1:30" x14ac:dyDescent="0.25">
      <c r="A47">
        <v>43</v>
      </c>
      <c r="B47" s="34" t="s">
        <v>316</v>
      </c>
      <c r="C47" t="s">
        <v>307</v>
      </c>
      <c r="D47" t="s">
        <v>285</v>
      </c>
      <c r="E47" t="s">
        <v>138</v>
      </c>
      <c r="F47">
        <v>2400</v>
      </c>
      <c r="G47">
        <v>6.5</v>
      </c>
      <c r="H47" s="1">
        <f>ROUND((WACC!$B$2*(1+WACC!$B$2)^$L47)/((1+WACC!$B$2)^$L47-1)*$F47,0)</f>
        <v>131</v>
      </c>
      <c r="I47" t="s">
        <v>154</v>
      </c>
      <c r="J47">
        <v>20000</v>
      </c>
      <c r="K47">
        <v>0</v>
      </c>
      <c r="L47">
        <v>50</v>
      </c>
      <c r="M47">
        <v>0.9</v>
      </c>
      <c r="N47" t="s">
        <v>281</v>
      </c>
      <c r="O47">
        <v>0</v>
      </c>
      <c r="P47">
        <v>0</v>
      </c>
      <c r="Q47">
        <v>1</v>
      </c>
      <c r="R47">
        <v>0</v>
      </c>
      <c r="S47">
        <f t="shared" si="0"/>
        <v>0</v>
      </c>
      <c r="T47">
        <v>1</v>
      </c>
      <c r="U47" s="7" t="s">
        <v>154</v>
      </c>
      <c r="V47" s="7" t="s">
        <v>154</v>
      </c>
      <c r="W47" s="7" t="s">
        <v>154</v>
      </c>
      <c r="X47" s="7" t="s">
        <v>154</v>
      </c>
      <c r="Y47" s="7" t="s">
        <v>154</v>
      </c>
      <c r="Z47" s="7" t="s">
        <v>154</v>
      </c>
      <c r="AA47" s="7" t="s">
        <v>154</v>
      </c>
      <c r="AB47" s="7" t="s">
        <v>154</v>
      </c>
      <c r="AC47" s="7" t="s">
        <v>154</v>
      </c>
      <c r="AD47" s="7" t="s">
        <v>154</v>
      </c>
    </row>
    <row r="48" spans="1:30" x14ac:dyDescent="0.25">
      <c r="A48">
        <v>44</v>
      </c>
      <c r="B48" s="34" t="s">
        <v>311</v>
      </c>
      <c r="C48" t="s">
        <v>308</v>
      </c>
      <c r="D48" t="s">
        <v>285</v>
      </c>
      <c r="E48" t="s">
        <v>138</v>
      </c>
      <c r="F48">
        <v>3000</v>
      </c>
      <c r="G48">
        <v>6.5</v>
      </c>
      <c r="H48" s="1">
        <f>ROUND((WACC!$B$2*(1+WACC!$B$2)^$L48)/((1+WACC!$B$2)^$L48-1)*$F48,0)</f>
        <v>164</v>
      </c>
      <c r="I48" t="s">
        <v>154</v>
      </c>
      <c r="J48">
        <v>20000</v>
      </c>
      <c r="K48">
        <v>0</v>
      </c>
      <c r="L48">
        <v>50</v>
      </c>
      <c r="M48">
        <v>0.81</v>
      </c>
      <c r="N48" t="s">
        <v>221</v>
      </c>
      <c r="O48">
        <v>0</v>
      </c>
      <c r="P48">
        <v>0</v>
      </c>
      <c r="Q48">
        <v>1</v>
      </c>
      <c r="R48">
        <v>0</v>
      </c>
      <c r="S48">
        <f t="shared" si="0"/>
        <v>0</v>
      </c>
      <c r="T48">
        <v>1</v>
      </c>
      <c r="U48" s="7" t="s">
        <v>154</v>
      </c>
      <c r="V48" s="7" t="s">
        <v>154</v>
      </c>
      <c r="W48" s="7" t="s">
        <v>154</v>
      </c>
      <c r="X48" s="7" t="s">
        <v>154</v>
      </c>
      <c r="Y48" s="7" t="s">
        <v>154</v>
      </c>
      <c r="Z48" s="7" t="s">
        <v>154</v>
      </c>
      <c r="AA48" s="7" t="s">
        <v>154</v>
      </c>
      <c r="AB48" s="7" t="s">
        <v>154</v>
      </c>
      <c r="AC48" s="7" t="s">
        <v>154</v>
      </c>
      <c r="AD48" s="7" t="s">
        <v>154</v>
      </c>
    </row>
    <row r="49" spans="1:30" x14ac:dyDescent="0.25">
      <c r="A49">
        <v>45</v>
      </c>
      <c r="B49" s="34" t="s">
        <v>312</v>
      </c>
      <c r="C49" t="s">
        <v>309</v>
      </c>
      <c r="D49" t="s">
        <v>285</v>
      </c>
      <c r="E49" t="s">
        <v>138</v>
      </c>
      <c r="F49">
        <v>3000</v>
      </c>
      <c r="G49">
        <v>6.5</v>
      </c>
      <c r="H49" s="1">
        <f>ROUND((WACC!$B$2*(1+WACC!$B$2)^$L49)/((1+WACC!$B$2)^$L49-1)*$F49,0)</f>
        <v>164</v>
      </c>
      <c r="I49" t="s">
        <v>154</v>
      </c>
      <c r="J49">
        <v>20000</v>
      </c>
      <c r="K49">
        <v>0</v>
      </c>
      <c r="L49">
        <v>50</v>
      </c>
      <c r="M49">
        <v>0.81</v>
      </c>
      <c r="N49" t="s">
        <v>221</v>
      </c>
      <c r="O49">
        <v>0</v>
      </c>
      <c r="P49">
        <v>0</v>
      </c>
      <c r="Q49">
        <v>1</v>
      </c>
      <c r="R49">
        <v>0</v>
      </c>
      <c r="S49">
        <f t="shared" si="0"/>
        <v>0</v>
      </c>
      <c r="T49">
        <v>1</v>
      </c>
      <c r="U49" s="7" t="s">
        <v>154</v>
      </c>
      <c r="V49" s="7" t="s">
        <v>154</v>
      </c>
      <c r="W49" s="7" t="s">
        <v>154</v>
      </c>
      <c r="X49" s="7" t="s">
        <v>154</v>
      </c>
      <c r="Y49" s="7" t="s">
        <v>154</v>
      </c>
      <c r="Z49" s="7" t="s">
        <v>154</v>
      </c>
      <c r="AA49" s="7" t="s">
        <v>154</v>
      </c>
      <c r="AB49" s="7" t="s">
        <v>154</v>
      </c>
      <c r="AC49" s="7" t="s">
        <v>154</v>
      </c>
      <c r="AD49" s="7" t="s">
        <v>154</v>
      </c>
    </row>
    <row r="50" spans="1:30" x14ac:dyDescent="0.25">
      <c r="A50">
        <v>46</v>
      </c>
      <c r="B50" s="34" t="s">
        <v>313</v>
      </c>
      <c r="C50" t="s">
        <v>310</v>
      </c>
      <c r="D50" t="s">
        <v>285</v>
      </c>
      <c r="E50" t="s">
        <v>138</v>
      </c>
      <c r="F50">
        <v>3000</v>
      </c>
      <c r="G50">
        <v>6.5</v>
      </c>
      <c r="H50" s="1">
        <f>ROUND((WACC!$B$2*(1+WACC!$B$2)^$L50)/((1+WACC!$B$2)^$L50-1)*$F50,0)</f>
        <v>164</v>
      </c>
      <c r="I50" t="s">
        <v>154</v>
      </c>
      <c r="J50">
        <v>20000</v>
      </c>
      <c r="K50">
        <v>0</v>
      </c>
      <c r="L50">
        <v>50</v>
      </c>
      <c r="M50">
        <v>0.81</v>
      </c>
      <c r="N50" t="s">
        <v>221</v>
      </c>
      <c r="O50">
        <v>0</v>
      </c>
      <c r="P50">
        <v>0</v>
      </c>
      <c r="Q50">
        <v>1</v>
      </c>
      <c r="R50">
        <v>0</v>
      </c>
      <c r="S50">
        <f t="shared" si="0"/>
        <v>0</v>
      </c>
      <c r="T50">
        <v>1</v>
      </c>
      <c r="U50" s="7" t="s">
        <v>154</v>
      </c>
      <c r="V50" s="7" t="s">
        <v>154</v>
      </c>
      <c r="W50" s="7" t="s">
        <v>154</v>
      </c>
      <c r="X50" s="7" t="s">
        <v>154</v>
      </c>
      <c r="Y50" s="7" t="s">
        <v>154</v>
      </c>
      <c r="Z50" s="7" t="s">
        <v>154</v>
      </c>
      <c r="AA50" s="7" t="s">
        <v>154</v>
      </c>
      <c r="AB50" s="7" t="s">
        <v>154</v>
      </c>
      <c r="AC50" s="7" t="s">
        <v>154</v>
      </c>
      <c r="AD50" s="7" t="s">
        <v>154</v>
      </c>
    </row>
    <row r="51" spans="1:30" x14ac:dyDescent="0.25">
      <c r="A51">
        <v>47</v>
      </c>
      <c r="B51" s="34" t="s">
        <v>280</v>
      </c>
      <c r="C51" t="s">
        <v>258</v>
      </c>
      <c r="D51" t="s">
        <v>135</v>
      </c>
      <c r="E51" t="s">
        <v>138</v>
      </c>
      <c r="F51">
        <v>2575</v>
      </c>
      <c r="G51" s="1">
        <v>2</v>
      </c>
      <c r="H51" s="1">
        <f>ROUND((WACC!$B$2*(1+WACC!$B$2)^$L51)/((1+WACC!$B$2)^$L51-1)*$F51,0)</f>
        <v>183</v>
      </c>
      <c r="I51" s="1">
        <f>ROUND((WACC!$B$2*(1+WACC!$B$2)^$L51)/((1+WACC!$B$2)^$L51-1)*$G51,0)</f>
        <v>0</v>
      </c>
      <c r="J51">
        <v>82500</v>
      </c>
      <c r="K51" s="1">
        <v>0</v>
      </c>
      <c r="L51" s="1">
        <v>25</v>
      </c>
      <c r="M51" s="6">
        <f>0.5*0.79</f>
        <v>0.39500000000000002</v>
      </c>
      <c r="N51" t="s">
        <v>282</v>
      </c>
      <c r="O51">
        <v>0</v>
      </c>
      <c r="P51">
        <v>0</v>
      </c>
      <c r="Q51">
        <v>1</v>
      </c>
      <c r="R51">
        <v>0</v>
      </c>
      <c r="S51">
        <f t="shared" si="0"/>
        <v>0</v>
      </c>
      <c r="T51">
        <v>1</v>
      </c>
      <c r="U51" s="7" t="s">
        <v>154</v>
      </c>
      <c r="V51" s="7" t="s">
        <v>154</v>
      </c>
      <c r="W51" s="7" t="s">
        <v>154</v>
      </c>
      <c r="X51" s="7" t="s">
        <v>154</v>
      </c>
      <c r="Y51" s="7" t="s">
        <v>154</v>
      </c>
      <c r="Z51" s="7" t="s">
        <v>154</v>
      </c>
      <c r="AA51" s="7" t="s">
        <v>154</v>
      </c>
      <c r="AB51" s="7" t="s">
        <v>154</v>
      </c>
      <c r="AC51" s="7" t="s">
        <v>154</v>
      </c>
      <c r="AD51" s="7" t="s">
        <v>154</v>
      </c>
    </row>
    <row r="52" spans="1:30" x14ac:dyDescent="0.25">
      <c r="A52">
        <v>48</v>
      </c>
      <c r="B52" s="43" t="s">
        <v>328</v>
      </c>
      <c r="C52" t="s">
        <v>329</v>
      </c>
      <c r="D52" t="s">
        <v>135</v>
      </c>
      <c r="E52" t="s">
        <v>138</v>
      </c>
      <c r="F52" s="42">
        <f>ROUND(455/0.9,0)</f>
        <v>506</v>
      </c>
      <c r="G52" s="1"/>
      <c r="H52" s="1">
        <f>ROUND((WACC!$B$2*(1+WACC!$B$2)^$L52)/((1+WACC!$B$2)^$L52-1)*$F52,0)</f>
        <v>29</v>
      </c>
      <c r="I52" s="1" t="s">
        <v>154</v>
      </c>
      <c r="J52" s="1">
        <v>9</v>
      </c>
      <c r="K52" s="1">
        <v>0</v>
      </c>
      <c r="L52" s="1">
        <v>40</v>
      </c>
      <c r="M52" s="1">
        <v>1</v>
      </c>
      <c r="N52" t="s">
        <v>336</v>
      </c>
      <c r="O52" s="1">
        <v>0</v>
      </c>
      <c r="P52" s="1">
        <v>0</v>
      </c>
      <c r="Q52" s="1">
        <v>0</v>
      </c>
      <c r="R52">
        <v>1</v>
      </c>
      <c r="S52">
        <f t="shared" si="0"/>
        <v>0</v>
      </c>
      <c r="T52" s="1">
        <v>0</v>
      </c>
      <c r="U52" s="7" t="s">
        <v>154</v>
      </c>
      <c r="V52" s="7" t="s">
        <v>154</v>
      </c>
      <c r="W52" s="7" t="s">
        <v>154</v>
      </c>
      <c r="X52" s="7" t="s">
        <v>154</v>
      </c>
      <c r="Y52" s="7" t="s">
        <v>154</v>
      </c>
      <c r="Z52" s="7" t="s">
        <v>154</v>
      </c>
      <c r="AA52" s="7" t="s">
        <v>154</v>
      </c>
      <c r="AB52" s="7" t="s">
        <v>154</v>
      </c>
      <c r="AC52" s="7" t="s">
        <v>154</v>
      </c>
      <c r="AD52" s="7" t="s">
        <v>154</v>
      </c>
    </row>
    <row r="53" spans="1:30" x14ac:dyDescent="0.25">
      <c r="G53" s="1"/>
      <c r="H53" s="1"/>
      <c r="I53" s="1"/>
      <c r="J53" s="1"/>
      <c r="K53" s="1"/>
      <c r="L53" s="1"/>
    </row>
  </sheetData>
  <phoneticPr fontId="12" type="noConversion"/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2A340-82E7-43E3-8839-0FF1CC25A011}">
  <dimension ref="A1:F49"/>
  <sheetViews>
    <sheetView topLeftCell="A29" workbookViewId="0">
      <selection activeCell="C52" sqref="C52"/>
    </sheetView>
  </sheetViews>
  <sheetFormatPr baseColWidth="10" defaultRowHeight="15" x14ac:dyDescent="0.25"/>
  <cols>
    <col min="1" max="1" width="12.42578125" style="3" customWidth="1"/>
    <col min="2" max="3" width="11.42578125" style="3" customWidth="1"/>
  </cols>
  <sheetData>
    <row r="1" spans="1:6" s="3" customFormat="1" x14ac:dyDescent="0.25">
      <c r="A1" s="13" t="s">
        <v>318</v>
      </c>
      <c r="B1" s="13" t="s">
        <v>57</v>
      </c>
      <c r="C1" s="13" t="s">
        <v>319</v>
      </c>
      <c r="D1" s="13" t="s">
        <v>138</v>
      </c>
      <c r="E1" s="13" t="s">
        <v>139</v>
      </c>
      <c r="F1" s="13" t="s">
        <v>58</v>
      </c>
    </row>
    <row r="2" spans="1:6" x14ac:dyDescent="0.25">
      <c r="A2" t="s">
        <v>82</v>
      </c>
      <c r="B2" s="3" t="s">
        <v>59</v>
      </c>
      <c r="C2" s="3" t="s">
        <v>128</v>
      </c>
      <c r="D2">
        <f>tech_full!E5</f>
        <v>1</v>
      </c>
      <c r="E2">
        <v>0</v>
      </c>
      <c r="F2">
        <f>D2+tech_full!$G5*E2</f>
        <v>1</v>
      </c>
    </row>
    <row r="3" spans="1:6" x14ac:dyDescent="0.25">
      <c r="A3" t="s">
        <v>82</v>
      </c>
      <c r="B3" s="3" t="s">
        <v>60</v>
      </c>
      <c r="C3" s="3" t="s">
        <v>128</v>
      </c>
      <c r="D3" s="26">
        <f>tech_full!K5</f>
        <v>0.82222222222222219</v>
      </c>
      <c r="E3" s="26">
        <f>tech_full!I5</f>
        <v>1.1851851851851851</v>
      </c>
      <c r="F3">
        <f>D3+tech_full!$G5*E3</f>
        <v>1</v>
      </c>
    </row>
    <row r="4" spans="1:6" x14ac:dyDescent="0.25">
      <c r="A4" t="s">
        <v>82</v>
      </c>
      <c r="B4" s="3" t="s">
        <v>61</v>
      </c>
      <c r="C4" s="3" t="s">
        <v>128</v>
      </c>
      <c r="D4">
        <f>tech_full!H5*tech_full!I5</f>
        <v>0.62222222222222223</v>
      </c>
      <c r="E4" s="26">
        <f>tech_full!I5</f>
        <v>1.1851851851851851</v>
      </c>
      <c r="F4">
        <f>D4+tech_full!$G5*E4</f>
        <v>0.8</v>
      </c>
    </row>
    <row r="5" spans="1:6" x14ac:dyDescent="0.25">
      <c r="A5" t="s">
        <v>82</v>
      </c>
      <c r="B5" s="3" t="s">
        <v>62</v>
      </c>
      <c r="C5" s="3" t="s">
        <v>128</v>
      </c>
      <c r="D5">
        <v>0</v>
      </c>
      <c r="E5">
        <v>0</v>
      </c>
      <c r="F5">
        <v>0</v>
      </c>
    </row>
    <row r="6" spans="1:6" x14ac:dyDescent="0.25">
      <c r="A6" t="s">
        <v>84</v>
      </c>
      <c r="B6" s="3" t="s">
        <v>59</v>
      </c>
      <c r="C6" s="3" t="s">
        <v>128</v>
      </c>
      <c r="D6">
        <f>tech_full!E7</f>
        <v>1</v>
      </c>
      <c r="E6">
        <v>0</v>
      </c>
      <c r="F6">
        <f>D6+tech_full!$G7*E6</f>
        <v>1</v>
      </c>
    </row>
    <row r="7" spans="1:6" x14ac:dyDescent="0.25">
      <c r="A7" t="s">
        <v>84</v>
      </c>
      <c r="B7" s="3" t="s">
        <v>60</v>
      </c>
      <c r="C7" s="3" t="s">
        <v>128</v>
      </c>
      <c r="D7" s="26">
        <f>tech_full!K7</f>
        <v>0.85185185185185186</v>
      </c>
      <c r="E7" s="26">
        <f>tech_full!I7</f>
        <v>0.98765432098765427</v>
      </c>
      <c r="F7">
        <f>D7+tech_full!$G7*E7</f>
        <v>1</v>
      </c>
    </row>
    <row r="8" spans="1:6" x14ac:dyDescent="0.25">
      <c r="A8" t="s">
        <v>84</v>
      </c>
      <c r="B8" s="3" t="s">
        <v>61</v>
      </c>
      <c r="C8" s="3" t="s">
        <v>128</v>
      </c>
      <c r="D8">
        <f>tech_full!H7*tech_full!I7</f>
        <v>0.65185185185185179</v>
      </c>
      <c r="E8" s="26">
        <f>tech_full!I7</f>
        <v>0.98765432098765427</v>
      </c>
      <c r="F8">
        <f>D8+tech_full!$G7*E8</f>
        <v>0.79999999999999993</v>
      </c>
    </row>
    <row r="9" spans="1:6" x14ac:dyDescent="0.25">
      <c r="A9" t="s">
        <v>84</v>
      </c>
      <c r="B9" s="3" t="s">
        <v>62</v>
      </c>
      <c r="C9" s="3" t="s">
        <v>128</v>
      </c>
      <c r="D9">
        <v>0</v>
      </c>
      <c r="E9">
        <v>0</v>
      </c>
      <c r="F9">
        <v>0</v>
      </c>
    </row>
    <row r="10" spans="1:6" x14ac:dyDescent="0.25">
      <c r="A10" t="s">
        <v>86</v>
      </c>
      <c r="B10" s="3" t="s">
        <v>59</v>
      </c>
      <c r="C10" s="3" t="s">
        <v>129</v>
      </c>
      <c r="D10">
        <f>tech_full!E9</f>
        <v>1</v>
      </c>
      <c r="E10">
        <v>0</v>
      </c>
      <c r="F10">
        <f>D10+tech_full!$G9*E10</f>
        <v>1</v>
      </c>
    </row>
    <row r="11" spans="1:6" x14ac:dyDescent="0.25">
      <c r="A11" t="s">
        <v>86</v>
      </c>
      <c r="B11" s="3" t="s">
        <v>60</v>
      </c>
      <c r="C11" s="3" t="s">
        <v>129</v>
      </c>
      <c r="D11" s="26">
        <f>tech_full!K9</f>
        <v>0.82857142857142863</v>
      </c>
      <c r="E11" s="26">
        <f>tech_full!I9</f>
        <v>1.1428571428571428</v>
      </c>
      <c r="F11">
        <f>D11+tech_full!$G9*E11</f>
        <v>1</v>
      </c>
    </row>
    <row r="12" spans="1:6" x14ac:dyDescent="0.25">
      <c r="A12" t="s">
        <v>86</v>
      </c>
      <c r="B12" s="3" t="s">
        <v>61</v>
      </c>
      <c r="C12" s="3" t="s">
        <v>129</v>
      </c>
      <c r="D12">
        <f>tech_full!H9*tech_full!I9</f>
        <v>0.62857142857142856</v>
      </c>
      <c r="E12" s="26">
        <f>tech_full!I9</f>
        <v>1.1428571428571428</v>
      </c>
      <c r="F12">
        <f>D12+tech_full!$G9*E12</f>
        <v>0.79999999999999993</v>
      </c>
    </row>
    <row r="13" spans="1:6" x14ac:dyDescent="0.25">
      <c r="A13" t="s">
        <v>86</v>
      </c>
      <c r="B13" s="3" t="s">
        <v>62</v>
      </c>
      <c r="C13" s="3" t="s">
        <v>129</v>
      </c>
      <c r="D13">
        <v>0</v>
      </c>
      <c r="E13">
        <v>0</v>
      </c>
      <c r="F13">
        <v>0</v>
      </c>
    </row>
    <row r="14" spans="1:6" x14ac:dyDescent="0.25">
      <c r="A14" t="s">
        <v>88</v>
      </c>
      <c r="B14" s="3" t="s">
        <v>59</v>
      </c>
      <c r="C14" s="3" t="s">
        <v>129</v>
      </c>
      <c r="D14">
        <f>tech_full!E11</f>
        <v>1</v>
      </c>
      <c r="E14">
        <v>0</v>
      </c>
      <c r="F14">
        <f>D14+tech_full!$G11*E14</f>
        <v>1</v>
      </c>
    </row>
    <row r="15" spans="1:6" x14ac:dyDescent="0.25">
      <c r="A15" t="s">
        <v>88</v>
      </c>
      <c r="B15" s="3" t="s">
        <v>60</v>
      </c>
      <c r="C15" s="3" t="s">
        <v>129</v>
      </c>
      <c r="D15" s="26">
        <f>tech_full!K11</f>
        <v>0.84</v>
      </c>
      <c r="E15" s="26">
        <f>tech_full!I11</f>
        <v>1.0666666666666667</v>
      </c>
      <c r="F15">
        <f>D15+tech_full!$G11*E15</f>
        <v>1</v>
      </c>
    </row>
    <row r="16" spans="1:6" x14ac:dyDescent="0.25">
      <c r="A16" t="s">
        <v>88</v>
      </c>
      <c r="B16" s="3" t="s">
        <v>61</v>
      </c>
      <c r="C16" s="3" t="s">
        <v>129</v>
      </c>
      <c r="D16">
        <f>tech_full!H11*tech_full!I11</f>
        <v>0.64</v>
      </c>
      <c r="E16" s="26">
        <f>tech_full!I11</f>
        <v>1.0666666666666667</v>
      </c>
      <c r="F16">
        <f>D16+tech_full!$G11*E16</f>
        <v>0.8</v>
      </c>
    </row>
    <row r="17" spans="1:6" x14ac:dyDescent="0.25">
      <c r="A17" t="s">
        <v>88</v>
      </c>
      <c r="B17" s="3" t="s">
        <v>62</v>
      </c>
      <c r="C17" s="3" t="s">
        <v>129</v>
      </c>
      <c r="D17">
        <v>0</v>
      </c>
      <c r="E17">
        <v>0</v>
      </c>
      <c r="F17">
        <v>0</v>
      </c>
    </row>
    <row r="18" spans="1:6" x14ac:dyDescent="0.25">
      <c r="A18" t="s">
        <v>90</v>
      </c>
      <c r="B18" s="3" t="s">
        <v>59</v>
      </c>
      <c r="C18" s="3" t="s">
        <v>129</v>
      </c>
      <c r="D18">
        <f>tech_full!E13</f>
        <v>1</v>
      </c>
      <c r="E18">
        <v>0</v>
      </c>
      <c r="F18">
        <f>D18+tech_full!$G13*E18</f>
        <v>1</v>
      </c>
    </row>
    <row r="19" spans="1:6" x14ac:dyDescent="0.25">
      <c r="A19" t="s">
        <v>90</v>
      </c>
      <c r="B19" s="3" t="s">
        <v>60</v>
      </c>
      <c r="C19" s="3" t="s">
        <v>129</v>
      </c>
      <c r="D19" s="26">
        <f>tech_full!K13</f>
        <v>0.87878787878787878</v>
      </c>
      <c r="E19" s="26">
        <f>tech_full!I13</f>
        <v>0.80808080808080818</v>
      </c>
      <c r="F19">
        <f>D19+tech_full!$G13*E19</f>
        <v>1</v>
      </c>
    </row>
    <row r="20" spans="1:6" x14ac:dyDescent="0.25">
      <c r="A20" t="s">
        <v>90</v>
      </c>
      <c r="B20" s="3" t="s">
        <v>61</v>
      </c>
      <c r="C20" s="3" t="s">
        <v>129</v>
      </c>
      <c r="D20">
        <f>tech_full!H13*tech_full!I13</f>
        <v>0.67878787878787883</v>
      </c>
      <c r="E20" s="26">
        <f>tech_full!I13</f>
        <v>0.80808080808080818</v>
      </c>
      <c r="F20">
        <f>D20+tech_full!$G13*E20</f>
        <v>0.8</v>
      </c>
    </row>
    <row r="21" spans="1:6" x14ac:dyDescent="0.25">
      <c r="A21" t="s">
        <v>90</v>
      </c>
      <c r="B21" s="3" t="s">
        <v>62</v>
      </c>
      <c r="C21" s="3" t="s">
        <v>129</v>
      </c>
      <c r="D21">
        <v>0</v>
      </c>
      <c r="E21">
        <v>0</v>
      </c>
      <c r="F21">
        <v>0</v>
      </c>
    </row>
    <row r="22" spans="1:6" x14ac:dyDescent="0.25">
      <c r="A22" t="s">
        <v>93</v>
      </c>
      <c r="B22" s="3" t="s">
        <v>59</v>
      </c>
      <c r="C22" s="3" t="s">
        <v>130</v>
      </c>
      <c r="D22">
        <f>tech_full!E16</f>
        <v>1</v>
      </c>
      <c r="E22">
        <v>0</v>
      </c>
      <c r="F22">
        <f>D22+tech_full!$G16*E22</f>
        <v>1</v>
      </c>
    </row>
    <row r="23" spans="1:6" x14ac:dyDescent="0.25">
      <c r="A23" t="s">
        <v>93</v>
      </c>
      <c r="B23" s="3" t="s">
        <v>60</v>
      </c>
      <c r="C23" s="3" t="s">
        <v>130</v>
      </c>
      <c r="D23" s="26">
        <f>tech_full!K16</f>
        <v>0.82857142857142863</v>
      </c>
      <c r="E23" s="26">
        <f>tech_full!I16</f>
        <v>1.1428571428571428</v>
      </c>
      <c r="F23">
        <f>D23+tech_full!$G16*E23</f>
        <v>1</v>
      </c>
    </row>
    <row r="24" spans="1:6" x14ac:dyDescent="0.25">
      <c r="A24" t="s">
        <v>93</v>
      </c>
      <c r="B24" s="3" t="s">
        <v>61</v>
      </c>
      <c r="C24" s="3" t="s">
        <v>130</v>
      </c>
      <c r="D24">
        <f>tech_full!H16*tech_full!I16</f>
        <v>0.62857142857142856</v>
      </c>
      <c r="E24" s="26">
        <f>tech_full!I16</f>
        <v>1.1428571428571428</v>
      </c>
      <c r="F24">
        <f>D24+tech_full!$G16*E24</f>
        <v>0.79999999999999993</v>
      </c>
    </row>
    <row r="25" spans="1:6" x14ac:dyDescent="0.25">
      <c r="A25" t="s">
        <v>93</v>
      </c>
      <c r="B25" s="3" t="s">
        <v>62</v>
      </c>
      <c r="C25" s="3" t="s">
        <v>130</v>
      </c>
      <c r="D25">
        <v>0</v>
      </c>
      <c r="E25">
        <v>0</v>
      </c>
      <c r="F25">
        <v>0</v>
      </c>
    </row>
    <row r="26" spans="1:6" x14ac:dyDescent="0.25">
      <c r="A26" t="s">
        <v>99</v>
      </c>
      <c r="B26" s="3" t="s">
        <v>59</v>
      </c>
      <c r="C26" s="3" t="s">
        <v>130</v>
      </c>
      <c r="D26">
        <f>tech_full!E20</f>
        <v>1</v>
      </c>
      <c r="E26">
        <v>0</v>
      </c>
      <c r="F26">
        <f>D26+tech_full!$G20*E26</f>
        <v>1</v>
      </c>
    </row>
    <row r="27" spans="1:6" x14ac:dyDescent="0.25">
      <c r="A27" t="s">
        <v>99</v>
      </c>
      <c r="B27" s="3" t="s">
        <v>60</v>
      </c>
      <c r="C27" s="3" t="s">
        <v>130</v>
      </c>
      <c r="D27" s="26">
        <f>tech_full!K20</f>
        <v>0.93846153846153846</v>
      </c>
      <c r="E27" s="26">
        <f>tech_full!I20</f>
        <v>0.41025641025641035</v>
      </c>
      <c r="F27">
        <f>D27+tech_full!$G20*E27</f>
        <v>1</v>
      </c>
    </row>
    <row r="28" spans="1:6" x14ac:dyDescent="0.25">
      <c r="A28" t="s">
        <v>99</v>
      </c>
      <c r="B28" s="3" t="s">
        <v>61</v>
      </c>
      <c r="C28" s="3" t="s">
        <v>130</v>
      </c>
      <c r="D28">
        <f>tech_full!H20*tech_full!I20</f>
        <v>0.73846153846153861</v>
      </c>
      <c r="E28" s="26">
        <f>tech_full!I20</f>
        <v>0.41025641025641035</v>
      </c>
      <c r="F28">
        <f>D28+tech_full!$G20*E28</f>
        <v>0.80000000000000016</v>
      </c>
    </row>
    <row r="29" spans="1:6" x14ac:dyDescent="0.25">
      <c r="A29" t="s">
        <v>99</v>
      </c>
      <c r="B29" s="3" t="s">
        <v>62</v>
      </c>
      <c r="C29" s="3" t="s">
        <v>130</v>
      </c>
      <c r="D29">
        <v>0</v>
      </c>
      <c r="E29">
        <v>0</v>
      </c>
      <c r="F29">
        <v>0</v>
      </c>
    </row>
    <row r="30" spans="1:6" x14ac:dyDescent="0.25">
      <c r="A30" t="s">
        <v>101</v>
      </c>
      <c r="B30" s="3" t="s">
        <v>59</v>
      </c>
      <c r="C30" s="3" t="s">
        <v>130</v>
      </c>
      <c r="D30">
        <f>tech_full!E22</f>
        <v>1</v>
      </c>
      <c r="E30">
        <v>0</v>
      </c>
      <c r="F30">
        <f>D30+tech_full!$G22*E30</f>
        <v>1</v>
      </c>
    </row>
    <row r="31" spans="1:6" x14ac:dyDescent="0.25">
      <c r="A31" t="s">
        <v>101</v>
      </c>
      <c r="B31" s="3" t="s">
        <v>60</v>
      </c>
      <c r="C31" s="3" t="s">
        <v>130</v>
      </c>
      <c r="D31" s="26">
        <f>tech_full!K22</f>
        <v>0.94418604651162785</v>
      </c>
      <c r="E31" s="26">
        <f>tech_full!I22</f>
        <v>0.37209302325581395</v>
      </c>
      <c r="F31">
        <f>D31+tech_full!$G22*E31</f>
        <v>1</v>
      </c>
    </row>
    <row r="32" spans="1:6" x14ac:dyDescent="0.25">
      <c r="A32" t="s">
        <v>101</v>
      </c>
      <c r="B32" s="3" t="s">
        <v>61</v>
      </c>
      <c r="C32" s="3" t="s">
        <v>130</v>
      </c>
      <c r="D32">
        <f>tech_full!H22*tech_full!I22</f>
        <v>0.7441860465116279</v>
      </c>
      <c r="E32" s="26">
        <f>tech_full!I22</f>
        <v>0.37209302325581395</v>
      </c>
      <c r="F32">
        <f>D32+tech_full!$G22*E32</f>
        <v>0.8</v>
      </c>
    </row>
    <row r="33" spans="1:6" x14ac:dyDescent="0.25">
      <c r="A33" t="s">
        <v>101</v>
      </c>
      <c r="B33" s="3" t="s">
        <v>62</v>
      </c>
      <c r="C33" s="3" t="s">
        <v>130</v>
      </c>
      <c r="D33">
        <v>0</v>
      </c>
      <c r="E33">
        <v>0</v>
      </c>
      <c r="F33">
        <v>0</v>
      </c>
    </row>
    <row r="34" spans="1:6" x14ac:dyDescent="0.25">
      <c r="A34" t="s">
        <v>103</v>
      </c>
      <c r="B34" s="3" t="s">
        <v>59</v>
      </c>
      <c r="C34" s="3" t="s">
        <v>130</v>
      </c>
      <c r="D34">
        <f>tech_full!E24</f>
        <v>1</v>
      </c>
      <c r="E34">
        <v>0</v>
      </c>
      <c r="F34">
        <f>D34+tech_full!$G24*E34</f>
        <v>1</v>
      </c>
    </row>
    <row r="35" spans="1:6" x14ac:dyDescent="0.25">
      <c r="A35" t="s">
        <v>103</v>
      </c>
      <c r="B35" s="3" t="s">
        <v>60</v>
      </c>
      <c r="C35" s="3" t="s">
        <v>130</v>
      </c>
      <c r="D35" s="26">
        <f>tech_full!K24</f>
        <v>1</v>
      </c>
      <c r="E35" s="26">
        <f>tech_full!I24</f>
        <v>0.84210526315789469</v>
      </c>
      <c r="F35">
        <f>D35+tech_full!$G24*E35</f>
        <v>1</v>
      </c>
    </row>
    <row r="36" spans="1:6" x14ac:dyDescent="0.25">
      <c r="A36" t="s">
        <v>103</v>
      </c>
      <c r="B36" s="3" t="s">
        <v>61</v>
      </c>
      <c r="C36" s="3" t="s">
        <v>130</v>
      </c>
      <c r="D36">
        <f>tech_full!H24*tech_full!I24</f>
        <v>0.79999999999999993</v>
      </c>
      <c r="E36" s="26">
        <f>tech_full!I24</f>
        <v>0.84210526315789469</v>
      </c>
      <c r="F36">
        <f>D36+tech_full!$G24*E36</f>
        <v>0.79999999999999993</v>
      </c>
    </row>
    <row r="37" spans="1:6" x14ac:dyDescent="0.25">
      <c r="A37" t="s">
        <v>103</v>
      </c>
      <c r="B37" s="3" t="s">
        <v>62</v>
      </c>
      <c r="C37" s="3" t="s">
        <v>130</v>
      </c>
      <c r="D37">
        <v>0</v>
      </c>
      <c r="E37">
        <v>0</v>
      </c>
      <c r="F37">
        <v>0</v>
      </c>
    </row>
    <row r="38" spans="1:6" x14ac:dyDescent="0.25">
      <c r="A38" t="s">
        <v>106</v>
      </c>
      <c r="B38" s="3" t="s">
        <v>59</v>
      </c>
      <c r="C38" s="3" t="s">
        <v>131</v>
      </c>
      <c r="D38">
        <f>tech_full!E27</f>
        <v>1</v>
      </c>
      <c r="E38">
        <v>0</v>
      </c>
      <c r="F38">
        <f>D38+tech_full!$G27*E38</f>
        <v>1</v>
      </c>
    </row>
    <row r="39" spans="1:6" x14ac:dyDescent="0.25">
      <c r="A39" t="s">
        <v>106</v>
      </c>
      <c r="B39" s="3" t="s">
        <v>60</v>
      </c>
      <c r="C39" s="3" t="s">
        <v>131</v>
      </c>
      <c r="D39" s="26">
        <f>tech_full!K27</f>
        <v>0.80689655172413799</v>
      </c>
      <c r="E39" s="26">
        <f>tech_full!I27</f>
        <v>1.103448275862069</v>
      </c>
      <c r="F39">
        <f>D39+tech_full!$G27*E39</f>
        <v>1</v>
      </c>
    </row>
    <row r="40" spans="1:6" x14ac:dyDescent="0.25">
      <c r="A40" t="s">
        <v>106</v>
      </c>
      <c r="B40" s="3" t="s">
        <v>61</v>
      </c>
      <c r="C40" s="3" t="s">
        <v>131</v>
      </c>
      <c r="D40">
        <f>tech_full!H27*tech_full!I27</f>
        <v>0.60689655172413792</v>
      </c>
      <c r="E40" s="26">
        <f>tech_full!I27</f>
        <v>1.103448275862069</v>
      </c>
      <c r="F40">
        <f>D40+tech_full!$G27*E40</f>
        <v>0.8</v>
      </c>
    </row>
    <row r="41" spans="1:6" x14ac:dyDescent="0.25">
      <c r="A41" t="s">
        <v>106</v>
      </c>
      <c r="B41" s="3" t="s">
        <v>62</v>
      </c>
      <c r="C41" s="3" t="s">
        <v>131</v>
      </c>
      <c r="D41">
        <v>0</v>
      </c>
      <c r="E41">
        <v>0</v>
      </c>
      <c r="F41">
        <v>0</v>
      </c>
    </row>
    <row r="42" spans="1:6" x14ac:dyDescent="0.25">
      <c r="A42" t="s">
        <v>110</v>
      </c>
      <c r="B42" s="3" t="s">
        <v>59</v>
      </c>
      <c r="C42" s="3" t="s">
        <v>131</v>
      </c>
      <c r="D42">
        <f>tech_full!E30</f>
        <v>1</v>
      </c>
      <c r="E42">
        <v>0</v>
      </c>
      <c r="F42">
        <f>D42+tech_full!$G30*E42</f>
        <v>1</v>
      </c>
    </row>
    <row r="43" spans="1:6" x14ac:dyDescent="0.25">
      <c r="A43" t="s">
        <v>110</v>
      </c>
      <c r="B43" s="3" t="s">
        <v>60</v>
      </c>
      <c r="C43" s="3" t="s">
        <v>131</v>
      </c>
      <c r="D43" s="26">
        <f>tech_full!K30</f>
        <v>0.82126642771804059</v>
      </c>
      <c r="E43" s="26">
        <f>tech_full!I30</f>
        <v>0.95579450418160106</v>
      </c>
      <c r="F43">
        <f>D43+tech_full!$G30*E43</f>
        <v>1</v>
      </c>
    </row>
    <row r="44" spans="1:6" x14ac:dyDescent="0.25">
      <c r="A44" t="s">
        <v>110</v>
      </c>
      <c r="B44" s="3" t="s">
        <v>61</v>
      </c>
      <c r="C44" s="3" t="s">
        <v>131</v>
      </c>
      <c r="D44">
        <f>tech_full!H30*tech_full!I30</f>
        <v>0.62126642771804075</v>
      </c>
      <c r="E44" s="26">
        <f>tech_full!I30</f>
        <v>0.95579450418160106</v>
      </c>
      <c r="F44">
        <f>D44+tech_full!$G30*E44</f>
        <v>0.80000000000000016</v>
      </c>
    </row>
    <row r="45" spans="1:6" x14ac:dyDescent="0.25">
      <c r="A45" t="s">
        <v>110</v>
      </c>
      <c r="B45" s="3" t="s">
        <v>62</v>
      </c>
      <c r="C45" s="3" t="s">
        <v>131</v>
      </c>
      <c r="D45">
        <v>0</v>
      </c>
      <c r="E45">
        <v>0</v>
      </c>
      <c r="F45">
        <v>0</v>
      </c>
    </row>
    <row r="46" spans="1:6" x14ac:dyDescent="0.25">
      <c r="A46" t="s">
        <v>115</v>
      </c>
      <c r="B46" s="3" t="s">
        <v>59</v>
      </c>
      <c r="C46" s="3" t="s">
        <v>132</v>
      </c>
      <c r="D46">
        <f>tech_full!E35</f>
        <v>1</v>
      </c>
      <c r="E46">
        <v>0</v>
      </c>
      <c r="F46">
        <f>D46+tech_full!$G35*E46</f>
        <v>1</v>
      </c>
    </row>
    <row r="47" spans="1:6" x14ac:dyDescent="0.25">
      <c r="A47" t="s">
        <v>115</v>
      </c>
      <c r="B47" s="3" t="s">
        <v>60</v>
      </c>
      <c r="C47" s="3" t="s">
        <v>132</v>
      </c>
      <c r="D47" s="26">
        <f>tech_full!K35</f>
        <v>0.41176470588235292</v>
      </c>
      <c r="E47" s="26">
        <f>tech_full!I35</f>
        <v>0.58823529411764708</v>
      </c>
      <c r="F47">
        <f>D47+tech_full!$G35*E47</f>
        <v>1</v>
      </c>
    </row>
    <row r="48" spans="1:6" x14ac:dyDescent="0.25">
      <c r="A48" t="s">
        <v>115</v>
      </c>
      <c r="B48" s="3" t="s">
        <v>61</v>
      </c>
      <c r="C48" s="3" t="s">
        <v>132</v>
      </c>
      <c r="D48">
        <f>tech_full!H35*tech_full!I35</f>
        <v>0.21176470588235294</v>
      </c>
      <c r="E48" s="26">
        <f>tech_full!I35</f>
        <v>0.58823529411764708</v>
      </c>
      <c r="F48">
        <f>D48+tech_full!$G35*E48</f>
        <v>0.8</v>
      </c>
    </row>
    <row r="49" spans="1:6" x14ac:dyDescent="0.25">
      <c r="A49" t="s">
        <v>115</v>
      </c>
      <c r="B49" s="3" t="s">
        <v>62</v>
      </c>
      <c r="C49" s="3" t="s">
        <v>132</v>
      </c>
      <c r="D49">
        <v>0</v>
      </c>
      <c r="E49">
        <v>0</v>
      </c>
      <c r="F49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718DA-91F3-45FB-AD2F-2A0676B90C2D}">
  <dimension ref="A1:E11"/>
  <sheetViews>
    <sheetView workbookViewId="0">
      <selection activeCell="A12" sqref="A12"/>
    </sheetView>
  </sheetViews>
  <sheetFormatPr baseColWidth="10" defaultRowHeight="15" x14ac:dyDescent="0.25"/>
  <cols>
    <col min="4" max="4" width="40.140625" bestFit="1" customWidth="1"/>
  </cols>
  <sheetData>
    <row r="1" spans="1:5" x14ac:dyDescent="0.25">
      <c r="A1" s="2" t="s">
        <v>58</v>
      </c>
      <c r="B1" s="2" t="s">
        <v>256</v>
      </c>
      <c r="C1" s="2" t="s">
        <v>246</v>
      </c>
      <c r="D1" s="2" t="s">
        <v>245</v>
      </c>
      <c r="E1" s="2" t="s">
        <v>244</v>
      </c>
    </row>
    <row r="2" spans="1:5" x14ac:dyDescent="0.25">
      <c r="A2" t="s">
        <v>20</v>
      </c>
      <c r="B2">
        <v>0.27</v>
      </c>
      <c r="C2">
        <v>0</v>
      </c>
      <c r="D2" t="s">
        <v>255</v>
      </c>
      <c r="E2" t="s">
        <v>243</v>
      </c>
    </row>
    <row r="3" spans="1:5" x14ac:dyDescent="0.25">
      <c r="A3" t="s">
        <v>128</v>
      </c>
      <c r="B3">
        <v>4.0599999999999996</v>
      </c>
      <c r="C3">
        <v>0</v>
      </c>
      <c r="D3" t="s">
        <v>251</v>
      </c>
      <c r="E3" t="s">
        <v>242</v>
      </c>
    </row>
    <row r="4" spans="1:5" x14ac:dyDescent="0.25">
      <c r="A4" t="s">
        <v>129</v>
      </c>
      <c r="B4">
        <v>6.12</v>
      </c>
      <c r="C4">
        <v>0</v>
      </c>
      <c r="D4" t="s">
        <v>252</v>
      </c>
      <c r="E4" t="s">
        <v>242</v>
      </c>
    </row>
    <row r="5" spans="1:5" x14ac:dyDescent="0.25">
      <c r="A5" t="s">
        <v>130</v>
      </c>
      <c r="B5">
        <v>2.36</v>
      </c>
      <c r="C5">
        <v>0</v>
      </c>
      <c r="D5" t="s">
        <v>253</v>
      </c>
      <c r="E5" t="s">
        <v>242</v>
      </c>
    </row>
    <row r="6" spans="1:5" x14ac:dyDescent="0.25">
      <c r="A6" t="s">
        <v>131</v>
      </c>
      <c r="B6">
        <f>(B5+B3)/2</f>
        <v>3.21</v>
      </c>
      <c r="C6">
        <v>0</v>
      </c>
      <c r="D6" t="s">
        <v>249</v>
      </c>
      <c r="E6">
        <v>8</v>
      </c>
    </row>
    <row r="7" spans="1:5" x14ac:dyDescent="0.25">
      <c r="A7" t="s">
        <v>285</v>
      </c>
      <c r="B7">
        <v>0</v>
      </c>
      <c r="C7">
        <v>0</v>
      </c>
      <c r="D7" t="s">
        <v>250</v>
      </c>
      <c r="E7">
        <v>8</v>
      </c>
    </row>
    <row r="8" spans="1:5" x14ac:dyDescent="0.25">
      <c r="A8" t="s">
        <v>132</v>
      </c>
      <c r="B8">
        <v>4.04</v>
      </c>
      <c r="C8">
        <v>0</v>
      </c>
      <c r="D8" t="s">
        <v>254</v>
      </c>
      <c r="E8" t="s">
        <v>241</v>
      </c>
    </row>
    <row r="9" spans="1:5" x14ac:dyDescent="0.25">
      <c r="A9" t="s">
        <v>133</v>
      </c>
      <c r="B9">
        <v>0</v>
      </c>
      <c r="C9">
        <v>5028</v>
      </c>
      <c r="D9" t="s">
        <v>248</v>
      </c>
      <c r="E9" t="s">
        <v>239</v>
      </c>
    </row>
    <row r="10" spans="1:5" x14ac:dyDescent="0.25">
      <c r="A10" t="s">
        <v>134</v>
      </c>
      <c r="B10">
        <v>0</v>
      </c>
      <c r="C10">
        <v>2831</v>
      </c>
      <c r="D10" t="s">
        <v>247</v>
      </c>
      <c r="E10" t="s">
        <v>240</v>
      </c>
    </row>
    <row r="11" spans="1:5" x14ac:dyDescent="0.25">
      <c r="A11" t="s">
        <v>135</v>
      </c>
      <c r="B11">
        <v>0</v>
      </c>
      <c r="C11">
        <v>0</v>
      </c>
      <c r="D11" t="s">
        <v>250</v>
      </c>
      <c r="E11">
        <v>8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F9D6-85F4-409B-B165-F3480400FC38}">
  <dimension ref="A1:N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baseColWidth="10" defaultRowHeight="15" x14ac:dyDescent="0.25"/>
  <sheetData>
    <row r="1" spans="1:14" x14ac:dyDescent="0.25">
      <c r="B1" t="s">
        <v>1</v>
      </c>
      <c r="C1" t="s">
        <v>7</v>
      </c>
      <c r="D1" t="s">
        <v>8</v>
      </c>
      <c r="E1" t="s">
        <v>9</v>
      </c>
      <c r="F1" t="s">
        <v>2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25">
      <c r="A2" t="s">
        <v>1</v>
      </c>
      <c r="B2">
        <v>0</v>
      </c>
      <c r="C2" s="18"/>
      <c r="D2">
        <v>1200</v>
      </c>
      <c r="E2">
        <v>700</v>
      </c>
      <c r="F2">
        <v>4900</v>
      </c>
      <c r="G2" s="18"/>
      <c r="H2" s="18"/>
      <c r="I2">
        <v>300</v>
      </c>
      <c r="J2">
        <v>100</v>
      </c>
      <c r="K2" s="18"/>
      <c r="L2" s="18"/>
      <c r="M2">
        <v>950</v>
      </c>
    </row>
    <row r="3" spans="1:14" x14ac:dyDescent="0.25">
      <c r="A3" t="s">
        <v>7</v>
      </c>
      <c r="B3" s="18"/>
      <c r="C3">
        <v>0</v>
      </c>
      <c r="D3" s="18"/>
      <c r="E3" s="18"/>
      <c r="G3" s="18"/>
      <c r="H3">
        <v>600</v>
      </c>
      <c r="I3" s="18"/>
      <c r="J3" s="18"/>
      <c r="K3">
        <v>950</v>
      </c>
      <c r="L3" s="18"/>
      <c r="M3" s="18"/>
      <c r="N3" s="18"/>
    </row>
    <row r="4" spans="1:14" x14ac:dyDescent="0.25">
      <c r="A4" t="s">
        <v>8</v>
      </c>
      <c r="B4">
        <v>1200</v>
      </c>
      <c r="C4" s="18"/>
      <c r="D4">
        <v>0</v>
      </c>
      <c r="E4" s="18"/>
      <c r="G4" s="18"/>
      <c r="H4">
        <v>1500</v>
      </c>
      <c r="I4" s="18"/>
      <c r="K4" s="18"/>
      <c r="L4" s="18"/>
      <c r="M4" s="18"/>
      <c r="N4" s="18"/>
    </row>
    <row r="5" spans="1:14" x14ac:dyDescent="0.25">
      <c r="A5" t="s">
        <v>9</v>
      </c>
      <c r="B5">
        <v>700</v>
      </c>
      <c r="C5" s="18"/>
      <c r="D5" s="18"/>
      <c r="E5">
        <v>0</v>
      </c>
      <c r="F5">
        <v>1750</v>
      </c>
      <c r="G5" s="18"/>
      <c r="H5" s="18"/>
      <c r="I5" s="18"/>
      <c r="J5" s="18"/>
      <c r="K5" s="18"/>
      <c r="L5">
        <v>600</v>
      </c>
      <c r="M5" s="18"/>
      <c r="N5">
        <v>800</v>
      </c>
    </row>
    <row r="6" spans="1:14" x14ac:dyDescent="0.25">
      <c r="A6" t="s">
        <v>2</v>
      </c>
      <c r="B6">
        <v>4900</v>
      </c>
      <c r="E6">
        <v>1750</v>
      </c>
      <c r="F6">
        <v>0</v>
      </c>
      <c r="G6">
        <v>800</v>
      </c>
      <c r="H6">
        <v>3200</v>
      </c>
      <c r="I6" s="18"/>
      <c r="J6" s="18"/>
      <c r="L6">
        <v>150</v>
      </c>
      <c r="M6" s="18"/>
      <c r="N6" s="18"/>
    </row>
    <row r="7" spans="1:14" x14ac:dyDescent="0.25">
      <c r="A7" t="s">
        <v>10</v>
      </c>
      <c r="B7" s="18"/>
      <c r="C7" s="18"/>
      <c r="D7" s="18"/>
      <c r="E7" s="18"/>
      <c r="F7">
        <v>800</v>
      </c>
      <c r="G7">
        <v>0</v>
      </c>
      <c r="H7" s="18"/>
      <c r="I7" s="18"/>
      <c r="J7" s="18"/>
      <c r="K7" s="18"/>
      <c r="L7" s="18"/>
      <c r="M7" s="18"/>
      <c r="N7" s="18"/>
    </row>
    <row r="8" spans="1:14" x14ac:dyDescent="0.25">
      <c r="A8" t="s">
        <v>11</v>
      </c>
      <c r="B8" s="18"/>
      <c r="C8">
        <v>600</v>
      </c>
      <c r="D8">
        <v>1500</v>
      </c>
      <c r="E8" s="18"/>
      <c r="F8">
        <v>3200</v>
      </c>
      <c r="G8" s="18"/>
      <c r="H8">
        <v>0</v>
      </c>
      <c r="I8" s="18"/>
      <c r="J8">
        <v>870</v>
      </c>
      <c r="K8" s="18"/>
      <c r="L8" s="18"/>
      <c r="M8" s="18"/>
      <c r="N8" s="18"/>
    </row>
    <row r="9" spans="1:14" x14ac:dyDescent="0.25">
      <c r="A9" t="s">
        <v>12</v>
      </c>
      <c r="B9">
        <v>300</v>
      </c>
      <c r="C9" s="18"/>
      <c r="D9" s="18"/>
      <c r="E9" s="18"/>
      <c r="F9" s="18"/>
      <c r="G9" s="18"/>
      <c r="H9" s="18"/>
      <c r="I9">
        <v>0</v>
      </c>
      <c r="J9" s="18"/>
      <c r="K9" s="18"/>
      <c r="L9" s="18"/>
    </row>
    <row r="10" spans="1:14" x14ac:dyDescent="0.25">
      <c r="A10" t="s">
        <v>13</v>
      </c>
      <c r="B10">
        <v>100</v>
      </c>
      <c r="C10" s="18"/>
      <c r="E10" s="18"/>
      <c r="F10" s="18"/>
      <c r="G10" s="18"/>
      <c r="H10">
        <v>870</v>
      </c>
      <c r="I10" s="18"/>
      <c r="J10">
        <v>0</v>
      </c>
      <c r="K10" s="18"/>
      <c r="L10" s="18"/>
      <c r="N10" s="18"/>
    </row>
    <row r="11" spans="1:14" x14ac:dyDescent="0.25">
      <c r="A11" t="s">
        <v>14</v>
      </c>
      <c r="B11" s="18"/>
      <c r="C11">
        <v>950</v>
      </c>
      <c r="D11" s="18"/>
      <c r="E11" s="18"/>
      <c r="G11" s="18"/>
      <c r="H11" s="18"/>
      <c r="I11" s="18"/>
      <c r="J11" s="18"/>
      <c r="K11">
        <v>0</v>
      </c>
      <c r="L11" s="18"/>
      <c r="M11" s="18"/>
      <c r="N11" s="18"/>
    </row>
    <row r="12" spans="1:14" x14ac:dyDescent="0.25">
      <c r="A12" t="s">
        <v>15</v>
      </c>
      <c r="B12" s="18"/>
      <c r="C12" s="18"/>
      <c r="D12" s="18"/>
      <c r="E12">
        <v>600</v>
      </c>
      <c r="F12">
        <v>150</v>
      </c>
      <c r="G12" s="18"/>
      <c r="H12" s="18"/>
      <c r="I12" s="18"/>
      <c r="J12" s="18"/>
      <c r="K12" s="18"/>
      <c r="L12">
        <v>0</v>
      </c>
      <c r="M12" s="18"/>
    </row>
    <row r="13" spans="1:14" x14ac:dyDescent="0.25">
      <c r="A13" t="s">
        <v>16</v>
      </c>
      <c r="B13">
        <v>950</v>
      </c>
      <c r="C13" s="18"/>
      <c r="D13" s="18"/>
      <c r="E13" s="18"/>
      <c r="F13" s="18"/>
      <c r="G13" s="18"/>
      <c r="H13" s="18"/>
      <c r="K13" s="18"/>
      <c r="L13" s="18"/>
      <c r="M13">
        <v>0</v>
      </c>
      <c r="N13" s="18"/>
    </row>
    <row r="14" spans="1:14" x14ac:dyDescent="0.25">
      <c r="A14" t="s">
        <v>17</v>
      </c>
      <c r="C14" s="18"/>
      <c r="D14" s="18"/>
      <c r="E14">
        <v>800</v>
      </c>
      <c r="F14" s="18"/>
      <c r="G14" s="18"/>
      <c r="H14" s="18"/>
      <c r="J14" s="18"/>
      <c r="K14" s="18"/>
      <c r="M14" s="18"/>
      <c r="N14"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39B26-472C-4146-B74A-2E1C6D7D11B9}">
  <dimension ref="A1:N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8" sqref="C28"/>
    </sheetView>
  </sheetViews>
  <sheetFormatPr baseColWidth="10" defaultRowHeight="15" x14ac:dyDescent="0.25"/>
  <sheetData>
    <row r="1" spans="1:14" x14ac:dyDescent="0.25">
      <c r="B1" t="s">
        <v>1</v>
      </c>
      <c r="C1" t="s">
        <v>7</v>
      </c>
      <c r="D1" t="s">
        <v>8</v>
      </c>
      <c r="E1" t="s">
        <v>9</v>
      </c>
      <c r="F1" t="s">
        <v>2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25">
      <c r="A2" t="s">
        <v>1</v>
      </c>
      <c r="B2">
        <v>0</v>
      </c>
      <c r="C2" s="18"/>
      <c r="D2">
        <v>429</v>
      </c>
      <c r="E2">
        <v>308</v>
      </c>
      <c r="F2">
        <v>464</v>
      </c>
      <c r="G2" s="18"/>
      <c r="H2" s="18"/>
      <c r="I2">
        <v>434</v>
      </c>
      <c r="J2">
        <v>576</v>
      </c>
      <c r="K2" s="18"/>
      <c r="L2" s="18"/>
      <c r="M2">
        <v>198</v>
      </c>
      <c r="N2">
        <v>422</v>
      </c>
    </row>
    <row r="3" spans="1:14" x14ac:dyDescent="0.25">
      <c r="A3" t="s">
        <v>7</v>
      </c>
      <c r="B3" s="18"/>
      <c r="C3">
        <v>0</v>
      </c>
      <c r="D3" s="18"/>
      <c r="E3" s="18"/>
      <c r="F3">
        <v>408</v>
      </c>
      <c r="G3" s="18"/>
      <c r="H3">
        <v>483</v>
      </c>
      <c r="I3" s="18"/>
      <c r="J3" s="18"/>
      <c r="K3">
        <v>176</v>
      </c>
      <c r="L3" s="18"/>
      <c r="M3" s="18"/>
      <c r="N3" s="18"/>
    </row>
    <row r="4" spans="1:14" x14ac:dyDescent="0.25">
      <c r="A4" t="s">
        <v>8</v>
      </c>
      <c r="B4">
        <v>429</v>
      </c>
      <c r="C4" s="18"/>
      <c r="D4">
        <v>0</v>
      </c>
      <c r="E4" s="18"/>
      <c r="F4">
        <v>512</v>
      </c>
      <c r="G4" s="18"/>
      <c r="H4">
        <v>444</v>
      </c>
      <c r="I4" s="18"/>
      <c r="J4">
        <v>591</v>
      </c>
      <c r="K4" s="18"/>
      <c r="L4" s="18"/>
      <c r="M4" s="18"/>
      <c r="N4" s="18"/>
    </row>
    <row r="5" spans="1:14" x14ac:dyDescent="0.25">
      <c r="A5" t="s">
        <v>9</v>
      </c>
      <c r="B5">
        <v>308</v>
      </c>
      <c r="C5" s="18"/>
      <c r="D5" s="18"/>
      <c r="E5">
        <v>0</v>
      </c>
      <c r="F5">
        <v>442</v>
      </c>
      <c r="G5" s="18"/>
      <c r="H5" s="18"/>
      <c r="I5" s="18"/>
      <c r="J5" s="18"/>
      <c r="K5" s="18"/>
      <c r="L5">
        <v>389</v>
      </c>
      <c r="M5" s="18"/>
      <c r="N5">
        <v>305</v>
      </c>
    </row>
    <row r="6" spans="1:14" x14ac:dyDescent="0.25">
      <c r="A6" t="s">
        <v>2</v>
      </c>
      <c r="B6">
        <v>464</v>
      </c>
      <c r="C6">
        <v>408</v>
      </c>
      <c r="D6">
        <v>512</v>
      </c>
      <c r="E6">
        <v>442</v>
      </c>
      <c r="F6">
        <v>0</v>
      </c>
      <c r="G6">
        <v>536</v>
      </c>
      <c r="H6">
        <v>780</v>
      </c>
      <c r="I6" s="18"/>
      <c r="J6" s="18"/>
      <c r="K6">
        <v>349</v>
      </c>
      <c r="L6">
        <v>633</v>
      </c>
      <c r="M6" s="18"/>
      <c r="N6" s="18"/>
    </row>
    <row r="7" spans="1:14" x14ac:dyDescent="0.25">
      <c r="A7" t="s">
        <v>10</v>
      </c>
      <c r="B7" s="18"/>
      <c r="C7" s="18"/>
      <c r="D7" s="18"/>
      <c r="E7" s="18"/>
      <c r="F7">
        <v>536</v>
      </c>
      <c r="G7">
        <v>0</v>
      </c>
      <c r="H7" s="18"/>
      <c r="I7" s="18"/>
      <c r="J7" s="18"/>
      <c r="K7" s="18"/>
      <c r="L7" s="18"/>
      <c r="M7" s="18"/>
      <c r="N7" s="18"/>
    </row>
    <row r="8" spans="1:14" x14ac:dyDescent="0.25">
      <c r="A8" t="s">
        <v>11</v>
      </c>
      <c r="B8" s="18"/>
      <c r="C8">
        <v>483</v>
      </c>
      <c r="D8">
        <v>444</v>
      </c>
      <c r="E8" s="18"/>
      <c r="F8">
        <v>780</v>
      </c>
      <c r="G8" s="18"/>
      <c r="H8">
        <v>0</v>
      </c>
      <c r="I8" s="18"/>
      <c r="J8">
        <v>916</v>
      </c>
      <c r="K8" s="18"/>
      <c r="L8" s="18"/>
      <c r="M8" s="18"/>
      <c r="N8" s="18"/>
    </row>
    <row r="9" spans="1:14" x14ac:dyDescent="0.25">
      <c r="A9" t="s">
        <v>12</v>
      </c>
      <c r="B9">
        <v>434</v>
      </c>
      <c r="C9" s="18"/>
      <c r="D9" s="18"/>
      <c r="E9" s="18"/>
      <c r="F9" s="18"/>
      <c r="G9" s="18"/>
      <c r="H9" s="18"/>
      <c r="I9">
        <v>0</v>
      </c>
      <c r="J9" s="18"/>
      <c r="K9" s="18"/>
      <c r="L9" s="18"/>
      <c r="M9">
        <v>395</v>
      </c>
      <c r="N9">
        <v>172</v>
      </c>
    </row>
    <row r="10" spans="1:14" x14ac:dyDescent="0.25">
      <c r="A10" t="s">
        <v>13</v>
      </c>
      <c r="B10">
        <v>576</v>
      </c>
      <c r="C10" s="18"/>
      <c r="D10">
        <v>591</v>
      </c>
      <c r="E10" s="18"/>
      <c r="F10" s="18"/>
      <c r="G10" s="18"/>
      <c r="H10">
        <v>916</v>
      </c>
      <c r="I10" s="18"/>
      <c r="J10">
        <v>0</v>
      </c>
      <c r="K10" s="18"/>
      <c r="L10" s="18"/>
      <c r="M10">
        <v>415</v>
      </c>
      <c r="N10" s="18"/>
    </row>
    <row r="11" spans="1:14" x14ac:dyDescent="0.25">
      <c r="A11" t="s">
        <v>14</v>
      </c>
      <c r="B11" s="18"/>
      <c r="C11">
        <v>176</v>
      </c>
      <c r="D11" s="18"/>
      <c r="E11" s="18"/>
      <c r="F11">
        <v>349</v>
      </c>
      <c r="G11" s="18"/>
      <c r="H11" s="18"/>
      <c r="I11" s="18"/>
      <c r="J11" s="18"/>
      <c r="K11">
        <v>0</v>
      </c>
      <c r="L11" s="18"/>
      <c r="M11" s="18"/>
      <c r="N11" s="18"/>
    </row>
    <row r="12" spans="1:14" x14ac:dyDescent="0.25">
      <c r="A12" t="s">
        <v>15</v>
      </c>
      <c r="B12" s="18"/>
      <c r="C12" s="18"/>
      <c r="D12" s="18"/>
      <c r="E12">
        <v>389</v>
      </c>
      <c r="F12">
        <v>633</v>
      </c>
      <c r="G12" s="18"/>
      <c r="H12" s="18"/>
      <c r="I12" s="18"/>
      <c r="J12" s="18"/>
      <c r="K12" s="18"/>
      <c r="L12">
        <v>0</v>
      </c>
      <c r="M12" s="18"/>
      <c r="N12">
        <v>374</v>
      </c>
    </row>
    <row r="13" spans="1:14" x14ac:dyDescent="0.25">
      <c r="A13" t="s">
        <v>16</v>
      </c>
      <c r="B13">
        <v>198</v>
      </c>
      <c r="C13" s="18"/>
      <c r="D13" s="18"/>
      <c r="E13" s="18"/>
      <c r="F13" s="18"/>
      <c r="G13" s="18"/>
      <c r="H13" s="18"/>
      <c r="I13">
        <v>395</v>
      </c>
      <c r="J13">
        <v>415</v>
      </c>
      <c r="K13" s="18"/>
      <c r="L13" s="18"/>
      <c r="M13">
        <v>0</v>
      </c>
      <c r="N13" s="18"/>
    </row>
    <row r="14" spans="1:14" x14ac:dyDescent="0.25">
      <c r="A14" t="s">
        <v>17</v>
      </c>
      <c r="B14">
        <v>422</v>
      </c>
      <c r="C14" s="18"/>
      <c r="D14" s="18"/>
      <c r="E14">
        <v>305</v>
      </c>
      <c r="F14" s="18"/>
      <c r="G14" s="18"/>
      <c r="H14" s="18"/>
      <c r="I14">
        <v>172</v>
      </c>
      <c r="J14" s="18"/>
      <c r="K14" s="18"/>
      <c r="L14">
        <v>374</v>
      </c>
      <c r="M14" s="18"/>
      <c r="N14">
        <v>0</v>
      </c>
    </row>
  </sheetData>
  <pageMargins left="0.7" right="0.7" top="0.78740157499999996" bottom="0.78740157499999996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0E31-139B-4EFE-B8CC-58C75AC65F1A}">
  <dimension ref="A1:L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baseColWidth="10" defaultRowHeight="15" x14ac:dyDescent="0.25"/>
  <sheetData>
    <row r="1" spans="1:12" x14ac:dyDescent="0.25">
      <c r="A1" s="2" t="s">
        <v>148</v>
      </c>
      <c r="B1" s="2" t="s">
        <v>20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285</v>
      </c>
      <c r="H1" s="2" t="s">
        <v>132</v>
      </c>
      <c r="I1" s="2" t="s">
        <v>133</v>
      </c>
      <c r="J1" s="2" t="s">
        <v>134</v>
      </c>
      <c r="K1" s="2" t="s">
        <v>135</v>
      </c>
      <c r="L1" s="2" t="s">
        <v>136</v>
      </c>
    </row>
    <row r="2" spans="1:12" x14ac:dyDescent="0.25">
      <c r="A2" t="s">
        <v>1</v>
      </c>
      <c r="B2">
        <v>1</v>
      </c>
      <c r="C2">
        <v>9</v>
      </c>
      <c r="D2">
        <v>9</v>
      </c>
      <c r="E2">
        <v>3</v>
      </c>
      <c r="F2">
        <v>3</v>
      </c>
      <c r="G2">
        <v>0</v>
      </c>
      <c r="H2">
        <v>3</v>
      </c>
      <c r="I2">
        <v>0</v>
      </c>
      <c r="J2">
        <v>0</v>
      </c>
      <c r="K2">
        <v>0</v>
      </c>
      <c r="L2">
        <v>0</v>
      </c>
    </row>
    <row r="3" spans="1:1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19</vt:i4>
      </vt:variant>
    </vt:vector>
  </HeadingPairs>
  <TitlesOfParts>
    <vt:vector size="19" baseType="lpstr">
      <vt:lpstr>Sources</vt:lpstr>
      <vt:lpstr>legend</vt:lpstr>
      <vt:lpstr>Capacities</vt:lpstr>
      <vt:lpstr>Technologies</vt:lpstr>
      <vt:lpstr>FEASIBLE_INPUT-OUTPUT</vt:lpstr>
      <vt:lpstr>AIR_POLLUTION</vt:lpstr>
      <vt:lpstr>ATC</vt:lpstr>
      <vt:lpstr>KM</vt:lpstr>
      <vt:lpstr>COST_TRANSPORT</vt:lpstr>
      <vt:lpstr>ESTIMATES</vt:lpstr>
      <vt:lpstr>CO2_INTENSITY</vt:lpstr>
      <vt:lpstr>WACC</vt:lpstr>
      <vt:lpstr>INITIAL_CAP_R</vt:lpstr>
      <vt:lpstr>CAPITALCOST_R</vt:lpstr>
      <vt:lpstr>CAPITALCOST_S</vt:lpstr>
      <vt:lpstr>parameters_G</vt:lpstr>
      <vt:lpstr>tech_full</vt:lpstr>
      <vt:lpstr>FEASIBLE_INPUT-OUTPUT_BAK</vt:lpstr>
      <vt:lpstr>potentials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2019-06-03T11:56:14Z</dcterms:created>
  <dcterms:modified xsi:type="dcterms:W3CDTF">2020-07-21T15:23:20Z</dcterms:modified>
</cp:coreProperties>
</file>