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542"/>
  </bookViews>
  <sheets>
    <sheet name="Values" sheetId="2" r:id="rId1"/>
    <sheet name="RC" sheetId="1" r:id="rId2"/>
    <sheet name="RL" sheetId="3" r:id="rId3"/>
  </sheets>
  <calcPr calcId="162913"/>
</workbook>
</file>

<file path=xl/calcChain.xml><?xml version="1.0" encoding="utf-8"?>
<calcChain xmlns="http://schemas.openxmlformats.org/spreadsheetml/2006/main">
  <c r="AE32" i="3" l="1" a="1"/>
  <c r="AE32" i="3" s="1"/>
  <c r="AH6" i="3" a="1"/>
  <c r="AH7" i="3" s="1"/>
  <c r="Y29" i="1" a="1"/>
  <c r="Y29" i="1" s="1"/>
  <c r="X4" i="1" a="1"/>
  <c r="Y4" i="1" s="1"/>
  <c r="AF33" i="3" l="1"/>
  <c r="AE33" i="3"/>
  <c r="AF32" i="3"/>
  <c r="AI6" i="3"/>
  <c r="AH6" i="3"/>
  <c r="AI7" i="3"/>
  <c r="Y30" i="1"/>
  <c r="Z29" i="1"/>
  <c r="Z30" i="1"/>
  <c r="X5" i="1"/>
  <c r="Y5" i="1"/>
  <c r="X4" i="1"/>
  <c r="W7" i="1"/>
  <c r="S8" i="1"/>
  <c r="S7" i="1"/>
  <c r="S6" i="1"/>
  <c r="S5" i="1"/>
  <c r="S4" i="1"/>
  <c r="S3" i="1"/>
  <c r="V5" i="1" l="1"/>
  <c r="AD35" i="3"/>
  <c r="AC33" i="3"/>
  <c r="AC32" i="3"/>
  <c r="L12" i="2" l="1"/>
  <c r="T27" i="1"/>
  <c r="T28" i="1"/>
  <c r="T29" i="1"/>
  <c r="T30" i="1"/>
  <c r="T31" i="1"/>
  <c r="T26" i="1"/>
  <c r="AC4" i="3"/>
  <c r="AC5" i="3"/>
  <c r="AC6" i="3"/>
  <c r="AC7" i="3"/>
  <c r="AC8" i="3"/>
  <c r="AC3" i="3"/>
  <c r="W52" i="3" l="1"/>
  <c r="R51" i="3"/>
  <c r="W50" i="3"/>
  <c r="R49" i="3"/>
  <c r="W43" i="3"/>
  <c r="R42" i="3"/>
  <c r="W41" i="3"/>
  <c r="R40" i="3"/>
  <c r="W34" i="3"/>
  <c r="R33" i="3"/>
  <c r="W32" i="3"/>
  <c r="R31" i="3"/>
  <c r="W25" i="3"/>
  <c r="R24" i="3"/>
  <c r="W23" i="3"/>
  <c r="R22" i="3"/>
  <c r="W16" i="3"/>
  <c r="R15" i="3"/>
  <c r="W14" i="3"/>
  <c r="R13" i="3"/>
  <c r="W7" i="3"/>
  <c r="R6" i="3"/>
  <c r="W5" i="3"/>
  <c r="R4" i="3"/>
  <c r="K16" i="3"/>
  <c r="G15" i="3"/>
  <c r="K14" i="3"/>
  <c r="G13" i="3"/>
  <c r="K7" i="3"/>
  <c r="G6" i="3"/>
  <c r="K5" i="3"/>
  <c r="G4" i="3"/>
  <c r="L4" i="2"/>
  <c r="L5" i="2" s="1"/>
  <c r="H4" i="2"/>
  <c r="H5" i="2" s="1"/>
  <c r="L51" i="1"/>
  <c r="O51" i="1" s="1"/>
  <c r="H50" i="1"/>
  <c r="L49" i="1"/>
  <c r="O49" i="1" s="1"/>
  <c r="P50" i="1" s="1"/>
  <c r="H48" i="1"/>
  <c r="I49" i="1" s="1"/>
  <c r="S31" i="1" s="1"/>
  <c r="U31" i="1" s="1"/>
  <c r="L42" i="1"/>
  <c r="O42" i="1" s="1"/>
  <c r="H41" i="1"/>
  <c r="L40" i="1"/>
  <c r="O40" i="1" s="1"/>
  <c r="P41" i="1" s="1"/>
  <c r="H39" i="1"/>
  <c r="I40" i="1" s="1"/>
  <c r="S30" i="1" s="1"/>
  <c r="U30" i="1" s="1"/>
  <c r="L33" i="1"/>
  <c r="O33" i="1" s="1"/>
  <c r="H32" i="1"/>
  <c r="L31" i="1"/>
  <c r="O31" i="1" s="1"/>
  <c r="P32" i="1" s="1"/>
  <c r="H30" i="1"/>
  <c r="I31" i="1" s="1"/>
  <c r="S29" i="1" s="1"/>
  <c r="U29" i="1" s="1"/>
  <c r="L24" i="1"/>
  <c r="O24" i="1" s="1"/>
  <c r="H23" i="1"/>
  <c r="L22" i="1"/>
  <c r="O22" i="1" s="1"/>
  <c r="P23" i="1" s="1"/>
  <c r="H21" i="1"/>
  <c r="I22" i="1" s="1"/>
  <c r="S28" i="1" s="1"/>
  <c r="U28" i="1" s="1"/>
  <c r="L15" i="1"/>
  <c r="O15" i="1" s="1"/>
  <c r="H14" i="1"/>
  <c r="L13" i="1"/>
  <c r="O13" i="1" s="1"/>
  <c r="P14" i="1" s="1"/>
  <c r="H12" i="1"/>
  <c r="I13" i="1" s="1"/>
  <c r="S27" i="1" s="1"/>
  <c r="U27" i="1" s="1"/>
  <c r="L6" i="1"/>
  <c r="O6" i="1" s="1"/>
  <c r="L4" i="1"/>
  <c r="O4" i="1" s="1"/>
  <c r="P5" i="1" s="1"/>
  <c r="H5" i="1"/>
  <c r="H3" i="1"/>
  <c r="I4" i="1" s="1"/>
  <c r="S26" i="1" s="1"/>
  <c r="U26" i="1" s="1"/>
  <c r="X32" i="1" l="1"/>
  <c r="H8" i="2" s="1"/>
  <c r="X33" i="1"/>
  <c r="H9" i="2" s="1"/>
  <c r="Z3" i="3"/>
  <c r="AA3" i="3" s="1"/>
  <c r="AD3" i="3" s="1"/>
  <c r="Z4" i="3"/>
  <c r="AA4" i="3" s="1"/>
  <c r="AD4" i="3" s="1"/>
  <c r="Z5" i="3"/>
  <c r="AA5" i="3" s="1"/>
  <c r="AD5" i="3" s="1"/>
  <c r="Z6" i="3"/>
  <c r="AA6" i="3" s="1"/>
  <c r="AD6" i="3" s="1"/>
  <c r="Z7" i="3"/>
  <c r="AA7" i="3" s="1"/>
  <c r="AD7" i="3" s="1"/>
  <c r="Z8" i="3"/>
  <c r="AA8" i="3" s="1"/>
  <c r="AD8" i="3" s="1"/>
  <c r="Z29" i="3"/>
  <c r="Z30" i="3"/>
  <c r="Z31" i="3"/>
  <c r="Z32" i="3"/>
  <c r="Z33" i="3"/>
  <c r="Z34" i="3"/>
  <c r="H15" i="2" l="1"/>
  <c r="H11" i="2"/>
  <c r="W8" i="1"/>
  <c r="H12" i="2" s="1"/>
  <c r="H16" i="2" l="1"/>
  <c r="H14" i="2"/>
  <c r="AD34" i="3"/>
  <c r="L11" i="2" s="1"/>
  <c r="AG9" i="3"/>
  <c r="L8" i="2" s="1"/>
  <c r="L15" i="2" s="1"/>
  <c r="AG10" i="3"/>
  <c r="L9" i="2" s="1"/>
  <c r="L16" i="2" l="1"/>
  <c r="L14" i="2"/>
</calcChain>
</file>

<file path=xl/sharedStrings.xml><?xml version="1.0" encoding="utf-8"?>
<sst xmlns="http://schemas.openxmlformats.org/spreadsheetml/2006/main" count="350" uniqueCount="68">
  <si>
    <t>R [ohm]</t>
  </si>
  <si>
    <t>delta R [ohm]</t>
  </si>
  <si>
    <t>delta C</t>
  </si>
  <si>
    <t>delta L</t>
  </si>
  <si>
    <t>r [ohm]</t>
  </si>
  <si>
    <t>delta r [ohm]</t>
  </si>
  <si>
    <t>wt value</t>
  </si>
  <si>
    <t>(-)pi/2</t>
  </si>
  <si>
    <t>(-)phi</t>
  </si>
  <si>
    <t>pi/2-phi</t>
  </si>
  <si>
    <t>point</t>
  </si>
  <si>
    <t>P1</t>
  </si>
  <si>
    <t>P2</t>
  </si>
  <si>
    <t>P3</t>
  </si>
  <si>
    <t>P4</t>
  </si>
  <si>
    <t>Vx</t>
  </si>
  <si>
    <t>Vy</t>
  </si>
  <si>
    <t>f = 5100 Hz</t>
  </si>
  <si>
    <t xml:space="preserve">|Z|/r = </t>
  </si>
  <si>
    <t>P2+P3</t>
  </si>
  <si>
    <t>P1+P2</t>
  </si>
  <si>
    <t>sin(phi)</t>
  </si>
  <si>
    <t>P3+P4</t>
  </si>
  <si>
    <t>f = 600 Hz</t>
  </si>
  <si>
    <t>f = 700 Hz</t>
  </si>
  <si>
    <t>f = 800 Hz</t>
  </si>
  <si>
    <t>f = 400 Hz</t>
  </si>
  <si>
    <t>f = 300 Hz</t>
  </si>
  <si>
    <t>f = 500 Hz</t>
  </si>
  <si>
    <t>RC</t>
  </si>
  <si>
    <t>L/R</t>
  </si>
  <si>
    <t>tau</t>
  </si>
  <si>
    <t>NULL</t>
  </si>
  <si>
    <t>f = 4100 Hz</t>
  </si>
  <si>
    <t>f = 3700 Hz</t>
  </si>
  <si>
    <t>f = 6300 Hz</t>
  </si>
  <si>
    <t>f = 7400 Hz</t>
  </si>
  <si>
    <t>f = 9300 Hz</t>
  </si>
  <si>
    <t>tan(phi)</t>
  </si>
  <si>
    <t>|Z|/r</t>
  </si>
  <si>
    <t>f</t>
  </si>
  <si>
    <t>r =</t>
  </si>
  <si>
    <t>|Z|</t>
  </si>
  <si>
    <t>f^2</t>
  </si>
  <si>
    <t>1/|Z|^2</t>
  </si>
  <si>
    <t>|Z|^2</t>
  </si>
  <si>
    <t>L =</t>
  </si>
  <si>
    <t xml:space="preserve">R = </t>
  </si>
  <si>
    <t xml:space="preserve">r = </t>
  </si>
  <si>
    <t xml:space="preserve">C = </t>
  </si>
  <si>
    <t>delta C =</t>
  </si>
  <si>
    <t>delta L =</t>
  </si>
  <si>
    <t>חישוב L לפי |Z|:</t>
  </si>
  <si>
    <t>חישוב L לפי tan:</t>
  </si>
  <si>
    <t>חישוב C לפי |Z|:</t>
  </si>
  <si>
    <t>חישוב C לפי tan:</t>
  </si>
  <si>
    <t>C1 [microF]</t>
  </si>
  <si>
    <t xml:space="preserve">C2 = </t>
  </si>
  <si>
    <t xml:space="preserve">C3 = </t>
  </si>
  <si>
    <t>L1 [mh]</t>
  </si>
  <si>
    <t>L2 =</t>
  </si>
  <si>
    <t>L3 =</t>
  </si>
  <si>
    <t xml:space="preserve">eta23 = </t>
  </si>
  <si>
    <t>eta12 =</t>
  </si>
  <si>
    <t>eta13 =</t>
  </si>
  <si>
    <t xml:space="preserve">eta12 = </t>
  </si>
  <si>
    <t xml:space="preserve">eta13 = 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</si>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</sst>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'RC'!$U$25</c:f>
              <c:strCache>
                <c:ptCount val="1"/>
                <c:pt idx="0">
                  <c:v>1/|Z|^2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2685914260718"/>
                  <c:y val="1.63414989792942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'RC'!$T$26:$T$31</c:f>
              <c:numCache>
                <c:formatCode>General</c:formatCode>
                <c:ptCount val="6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160000</c:v>
                </c:pt>
                <c:pt idx="5">
                  <c:v>90000</c:v>
                </c:pt>
              </c:numCache>
            </c:numRef>
          </c:xVal>
          <c:yVal>
            <c:numRef>
              <c:f>'RC'!$U$26:$U$31</c:f>
              <c:numCache>
                <c:formatCode>0.00E+00</c:formatCode>
                <c:ptCount val="6"/>
                <c:pt idx="0">
                  <c:v>7.3514389676004207E-5</c:v>
                </c:pt>
                <c:pt idx="1">
                  <c:v>9.8604154827806547E-5</c:v>
                </c:pt>
                <c:pt idx="2">
                  <c:v>1.2353667252207318E-4</c:v>
                </c:pt>
                <c:pt idx="3">
                  <c:v>1.5407891899691078E-4</c:v>
                </c:pt>
                <c:pt idx="4">
                  <c:v>5.4988258498577723E-5</c:v>
                </c:pt>
                <c:pt idx="5">
                  <c:v>4.0543259663300723E-5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C11-8E8F-137C1F9E3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5064"/>
        <c:axId val="367947192"/>
      </c:scatterChart>
      <c:valAx>
        <c:axId val="367955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f^2 [Hz^2]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47192"/>
        <c:crosses val="autoZero"/>
        <c:crossBetween val="midCat"/>
      </c:valAx>
      <c:valAx>
        <c:axId val="36794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1/|Z|^2 [1/</a:t>
                </a:r>
                <a:r>
                  <a:rPr lang="el-GR" sz="1800" b="0" i="0" baseline="0">
                    <a:effectLst/>
                  </a:rPr>
                  <a:t>Ω</a:t>
                </a:r>
                <a:r>
                  <a:rPr lang="en-US" sz="1800" b="0" i="0" baseline="0">
                    <a:effectLst/>
                  </a:rPr>
                  <a:t>^2]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tan(</a:t>
            </a:r>
            <a:r>
              <a:rPr lang="el-GR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φ</a:t>
            </a:r>
            <a:r>
              <a:rPr lang="en-US" sz="1800" b="0" i="0" baseline="0">
                <a:effectLst/>
              </a:rPr>
              <a:t>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'RC'!$S$2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21434820647414E-2"/>
                  <c:y val="4.6105278506853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'RC'!$R$3:$R$8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400</c:v>
                </c:pt>
                <c:pt idx="5">
                  <c:v>300</c:v>
                </c:pt>
              </c:numCache>
            </c:numRef>
          </c:xVal>
          <c:yVal>
            <c:numRef>
              <c:f>'RC'!$S$3:$S$8</c:f>
              <c:numCache>
                <c:formatCode>General</c:formatCode>
                <c:ptCount val="6"/>
                <c:pt idx="0">
                  <c:v>-1.5629455358955597</c:v>
                </c:pt>
                <c:pt idx="1">
                  <c:v>-1.9140494383701192</c:v>
                </c:pt>
                <c:pt idx="2">
                  <c:v>-2.2655969134909779</c:v>
                </c:pt>
                <c:pt idx="3">
                  <c:v>-2.5181301766758906</c:v>
                </c:pt>
                <c:pt idx="4">
                  <c:v>-1.2466413544959245</c:v>
                </c:pt>
                <c:pt idx="5">
                  <c:v>-0.93896292376760759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5-43F6-A464-45BEAA4EA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3096"/>
        <c:axId val="367954736"/>
      </c:scatterChart>
      <c:valAx>
        <c:axId val="36795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4736"/>
        <c:crosses val="autoZero"/>
        <c:crossBetween val="midCat"/>
      </c:valAx>
      <c:valAx>
        <c:axId val="3679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tan(</a:t>
                </a:r>
                <a:r>
                  <a:rPr lang="el-GR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r>
                  <a:rPr lang="en-US" sz="1000" b="0" i="0" u="none" strike="noStrike" baseline="0">
                    <a:effectLst/>
                  </a:rPr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RL!$AD$2</c:f>
              <c:strCache>
                <c:ptCount val="1"/>
                <c:pt idx="0">
                  <c:v>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210629921259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RL!$AC$3:$AC$8</c:f>
              <c:numCache>
                <c:formatCode>General</c:formatCode>
                <c:ptCount val="6"/>
                <c:pt idx="0">
                  <c:v>16810000</c:v>
                </c:pt>
                <c:pt idx="1">
                  <c:v>13690000</c:v>
                </c:pt>
                <c:pt idx="2">
                  <c:v>26010000</c:v>
                </c:pt>
                <c:pt idx="3">
                  <c:v>39690000</c:v>
                </c:pt>
                <c:pt idx="4">
                  <c:v>54760000</c:v>
                </c:pt>
                <c:pt idx="5">
                  <c:v>86490000</c:v>
                </c:pt>
              </c:numCache>
            </c:numRef>
          </c:xVal>
          <c:yVal>
            <c:numRef>
              <c:f>RL!$AD$3:$AD$8</c:f>
              <c:numCache>
                <c:formatCode>General</c:formatCode>
                <c:ptCount val="6"/>
                <c:pt idx="0">
                  <c:v>468932.43429775722</c:v>
                </c:pt>
                <c:pt idx="1">
                  <c:v>425670.01616840443</c:v>
                </c:pt>
                <c:pt idx="2">
                  <c:v>579890.63086519588</c:v>
                </c:pt>
                <c:pt idx="3">
                  <c:v>747866.40997717669</c:v>
                </c:pt>
                <c:pt idx="4">
                  <c:v>923258.4935673764</c:v>
                </c:pt>
                <c:pt idx="5">
                  <c:v>1309938.3223950451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C-4DD6-A6C4-1C6B0E57E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658880"/>
        <c:axId val="310654944"/>
      </c:scatterChart>
      <c:valAx>
        <c:axId val="3106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f^2 [Hz^2]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4944"/>
        <c:crosses val="autoZero"/>
        <c:crossBetween val="midCat"/>
      </c:valAx>
      <c:valAx>
        <c:axId val="3106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|Z|^2 [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^2]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tan(</a:t>
            </a:r>
            <a:r>
              <a:rPr lang="el-GR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φ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RL!$Z$28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87423447069116"/>
                  <c:y val="-1.86694371536891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RL!$Y$29:$Y$34</c:f>
              <c:numCache>
                <c:formatCode>General</c:formatCode>
                <c:ptCount val="6"/>
                <c:pt idx="0">
                  <c:v>4100</c:v>
                </c:pt>
                <c:pt idx="1">
                  <c:v>3700</c:v>
                </c:pt>
                <c:pt idx="2">
                  <c:v>5100</c:v>
                </c:pt>
                <c:pt idx="3">
                  <c:v>6300</c:v>
                </c:pt>
                <c:pt idx="4">
                  <c:v>7400</c:v>
                </c:pt>
                <c:pt idx="5">
                  <c:v>9300</c:v>
                </c:pt>
              </c:numCache>
            </c:numRef>
          </c:xVal>
          <c:yVal>
            <c:numRef>
              <c:f>RL!$Z$29:$Z$34</c:f>
              <c:numCache>
                <c:formatCode>General</c:formatCode>
                <c:ptCount val="6"/>
                <c:pt idx="0">
                  <c:v>0.83665035106532015</c:v>
                </c:pt>
                <c:pt idx="1">
                  <c:v>0.75871452560888286</c:v>
                </c:pt>
                <c:pt idx="2">
                  <c:v>1.0446560505420173</c:v>
                </c:pt>
                <c:pt idx="3">
                  <c:v>1.2826143946779247</c:v>
                </c:pt>
                <c:pt idx="4">
                  <c:v>1.5022350267712594</c:v>
                </c:pt>
                <c:pt idx="5">
                  <c:v>1.9305787526267586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3-4387-A579-12D8A0ED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2824"/>
        <c:axId val="312829872"/>
      </c:scatterChart>
      <c:valAx>
        <c:axId val="31283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872"/>
        <c:crosses val="autoZero"/>
        <c:crossBetween val="midCat"/>
      </c:valAx>
      <c:valAx>
        <c:axId val="3128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tan(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33</xdr:row>
      <xdr:rowOff>47625</xdr:rowOff>
    </xdr:from>
    <xdr:to>
      <xdr:col>24</xdr:col>
      <xdr:colOff>352425</xdr:colOff>
      <xdr:row>48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8</xdr:row>
      <xdr:rowOff>92075</xdr:rowOff>
    </xdr:from>
    <xdr:to>
      <xdr:col>23</xdr:col>
      <xdr:colOff>276225</xdr:colOff>
      <xdr:row>23</xdr:row>
      <xdr:rowOff>73025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196021</xdr:colOff>
      <xdr:row>10</xdr:row>
      <xdr:rowOff>55769</xdr:rowOff>
    </xdr:from>
    <xdr:to>
      <xdr:col>30</xdr:col>
      <xdr:colOff>356152</xdr:colOff>
      <xdr:row>25</xdr:row>
      <xdr:rowOff>65708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400326</xdr:colOff>
      <xdr:row>35</xdr:row>
      <xdr:rowOff>28161</xdr:rowOff>
    </xdr:from>
    <xdr:to>
      <xdr:col>30</xdr:col>
      <xdr:colOff>560457</xdr:colOff>
      <xdr:row>50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F1" workbookViewId="0">
      <selection activeCell="L3" sqref="L3"/>
    </sheetView>
  </sheetViews>
  <sheetFormatPr defaultRowHeight="14.4" x14ac:dyDescent="0.55000000000000004"/>
  <cols>
    <col min="7" max="7" width="12" bestFit="1" customWidth="1"/>
    <col min="8" max="8" width="11.3671875" customWidth="1"/>
    <col min="9" max="9" width="13.89453125" bestFit="1" customWidth="1"/>
    <col min="11" max="11" width="12" bestFit="1" customWidth="1"/>
    <col min="12" max="12" width="13.26171875" customWidth="1"/>
    <col min="13" max="13" width="13.62890625" bestFit="1" customWidth="1"/>
  </cols>
  <sheetData>
    <row r="1" spans="1:13" x14ac:dyDescent="0.55000000000000004">
      <c r="A1" t="s">
        <v>0</v>
      </c>
      <c r="B1" t="s">
        <v>1</v>
      </c>
      <c r="D1" t="s">
        <v>4</v>
      </c>
      <c r="E1" t="s">
        <v>5</v>
      </c>
      <c r="G1" t="s">
        <v>56</v>
      </c>
      <c r="H1" t="s">
        <v>2</v>
      </c>
      <c r="K1" t="s">
        <v>59</v>
      </c>
      <c r="L1" t="s">
        <v>3</v>
      </c>
    </row>
    <row r="2" spans="1:13" x14ac:dyDescent="0.55000000000000004">
      <c r="A2">
        <v>220</v>
      </c>
      <c r="B2">
        <v>0.5</v>
      </c>
      <c r="D2">
        <v>202</v>
      </c>
      <c r="E2">
        <v>0.5</v>
      </c>
      <c r="G2" s="1">
        <v>1.9999999999999999E-6</v>
      </c>
      <c r="H2" s="1">
        <v>2E-8</v>
      </c>
      <c r="K2" s="1">
        <v>8.9999999999999993E-3</v>
      </c>
      <c r="L2" s="1">
        <v>4.0000000000000002E-4</v>
      </c>
    </row>
    <row r="4" spans="1:13" x14ac:dyDescent="0.55000000000000004">
      <c r="G4" t="s">
        <v>29</v>
      </c>
      <c r="H4">
        <f>G2*0.000001*A2</f>
        <v>4.3999999999999998E-10</v>
      </c>
      <c r="K4" t="s">
        <v>30</v>
      </c>
      <c r="L4">
        <f>K2*0.001/A2</f>
        <v>4.090909090909091E-8</v>
      </c>
    </row>
    <row r="5" spans="1:13" x14ac:dyDescent="0.55000000000000004">
      <c r="G5" t="s">
        <v>31</v>
      </c>
      <c r="H5">
        <f>1/H4</f>
        <v>2272727272.727273</v>
      </c>
      <c r="K5" t="s">
        <v>31</v>
      </c>
      <c r="L5">
        <f>1/L4</f>
        <v>24444444.444444444</v>
      </c>
    </row>
    <row r="8" spans="1:13" x14ac:dyDescent="0.55000000000000004">
      <c r="G8" t="s">
        <v>57</v>
      </c>
      <c r="H8">
        <f>'RC'!X32</f>
        <v>2.2902282688310729E-6</v>
      </c>
      <c r="I8" t="s">
        <v>54</v>
      </c>
      <c r="K8" t="s">
        <v>60</v>
      </c>
      <c r="L8">
        <f>RL!AG9</f>
        <v>1.75021537170548E-2</v>
      </c>
      <c r="M8" t="s">
        <v>52</v>
      </c>
    </row>
    <row r="9" spans="1:13" x14ac:dyDescent="0.55000000000000004">
      <c r="G9" t="s">
        <v>50</v>
      </c>
      <c r="H9">
        <f>'RC'!X33</f>
        <v>2.3783026063257521E-7</v>
      </c>
      <c r="K9" t="s">
        <v>51</v>
      </c>
      <c r="L9">
        <f>RL!AG10</f>
        <v>1.1639432906807199E-3</v>
      </c>
    </row>
    <row r="11" spans="1:13" x14ac:dyDescent="0.55000000000000004">
      <c r="G11" t="s">
        <v>58</v>
      </c>
      <c r="H11">
        <f>'RC'!W7</f>
        <v>2.3364373181542564E-6</v>
      </c>
      <c r="I11" t="s">
        <v>55</v>
      </c>
      <c r="K11" t="s">
        <v>61</v>
      </c>
      <c r="L11">
        <f>RL!AD34</f>
        <v>7.2762688408420069E-3</v>
      </c>
      <c r="M11" t="s">
        <v>53</v>
      </c>
    </row>
    <row r="12" spans="1:13" x14ac:dyDescent="0.55000000000000004">
      <c r="G12" t="s">
        <v>50</v>
      </c>
      <c r="H12">
        <f>'RC'!W8</f>
        <v>4.8159969551735215E-8</v>
      </c>
      <c r="K12" t="s">
        <v>51</v>
      </c>
      <c r="L12">
        <f>RL!AD35</f>
        <v>9.9460710738507585E-5</v>
      </c>
    </row>
    <row r="14" spans="1:13" x14ac:dyDescent="0.55000000000000004">
      <c r="G14" s="3" t="s">
        <v>62</v>
      </c>
      <c r="H14" s="3">
        <f>(ABS(H11-H8)/(SQRT(H9^2+H12^2)))</f>
        <v>0.19042917558095881</v>
      </c>
      <c r="K14" s="2" t="s">
        <v>62</v>
      </c>
      <c r="L14" s="2">
        <f>ABS(L8-L11)/(SQRT(L9^2+L12^2))</f>
        <v>8.7536512127053019</v>
      </c>
    </row>
    <row r="15" spans="1:13" x14ac:dyDescent="0.55000000000000004">
      <c r="G15" s="3" t="s">
        <v>63</v>
      </c>
      <c r="H15" s="3">
        <f>(ABS(G2-H8)/SQRT(H9^2+H2^2))</f>
        <v>1.2160247008902927</v>
      </c>
      <c r="K15" s="2" t="s">
        <v>65</v>
      </c>
      <c r="L15" s="4">
        <f>ABS(K2-L8)/SQRT(L9^2+L2^2)</f>
        <v>6.9080658285574943</v>
      </c>
    </row>
    <row r="16" spans="1:13" x14ac:dyDescent="0.55000000000000004">
      <c r="G16" s="3" t="s">
        <v>64</v>
      </c>
      <c r="H16" s="3">
        <f>(ABS(G2-H11)/SQRT(H12^2+H2^2))</f>
        <v>6.4516232727744516</v>
      </c>
      <c r="K16" s="2" t="s">
        <v>66</v>
      </c>
      <c r="L16" s="4">
        <f>ABS(K2-L11)/SQRT(L12^2+L2^2)</f>
        <v>4.1819854198940103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opLeftCell="R4" workbookViewId="0">
      <selection activeCell="Z29" sqref="Z29"/>
    </sheetView>
  </sheetViews>
  <sheetFormatPr defaultRowHeight="14.4" x14ac:dyDescent="0.55000000000000004"/>
  <cols>
    <col min="23" max="24" width="11.7890625" bestFit="1" customWidth="1"/>
    <col min="25" max="25" width="11.578125" bestFit="1" customWidth="1"/>
    <col min="26" max="26" width="11.83984375" bestFit="1" customWidth="1"/>
    <col min="27" max="27" width="11.89453125" bestFit="1" customWidth="1"/>
  </cols>
  <sheetData>
    <row r="1" spans="1:25" x14ac:dyDescent="0.55000000000000004">
      <c r="A1" t="s">
        <v>28</v>
      </c>
    </row>
    <row r="2" spans="1:25" x14ac:dyDescent="0.55000000000000004">
      <c r="A2" t="s">
        <v>6</v>
      </c>
      <c r="B2" t="s">
        <v>10</v>
      </c>
      <c r="C2" t="s">
        <v>15</v>
      </c>
      <c r="D2" t="s">
        <v>16</v>
      </c>
      <c r="O2" t="s">
        <v>38</v>
      </c>
      <c r="R2" t="s">
        <v>40</v>
      </c>
      <c r="S2" t="s">
        <v>38</v>
      </c>
    </row>
    <row r="3" spans="1:25" x14ac:dyDescent="0.55000000000000004">
      <c r="G3" t="s">
        <v>18</v>
      </c>
      <c r="H3" s="1">
        <f>D4/C5</f>
        <v>0.58333333333333337</v>
      </c>
      <c r="R3">
        <v>500</v>
      </c>
      <c r="S3">
        <f>-P5</f>
        <v>-1.5629455358955597</v>
      </c>
      <c r="U3" t="s">
        <v>48</v>
      </c>
      <c r="V3">
        <v>202</v>
      </c>
    </row>
    <row r="4" spans="1:25" x14ac:dyDescent="0.55000000000000004">
      <c r="A4" t="s">
        <v>8</v>
      </c>
      <c r="B4" t="s">
        <v>12</v>
      </c>
      <c r="D4" s="1">
        <v>0.84</v>
      </c>
      <c r="E4" t="s">
        <v>19</v>
      </c>
      <c r="I4" s="1">
        <f>H3/2+H5/2</f>
        <v>0.57738095238095233</v>
      </c>
      <c r="J4" t="s">
        <v>20</v>
      </c>
      <c r="K4" t="s">
        <v>21</v>
      </c>
      <c r="L4" s="1">
        <f>D6/D4</f>
        <v>0.83333333333333326</v>
      </c>
      <c r="O4">
        <f>TAN(ASIN(L4))</f>
        <v>1.5075567228888178</v>
      </c>
      <c r="R4">
        <v>600</v>
      </c>
      <c r="S4">
        <f>P14*-1</f>
        <v>-1.9140494383701192</v>
      </c>
      <c r="U4" t="s">
        <v>47</v>
      </c>
      <c r="V4">
        <v>220</v>
      </c>
      <c r="X4">
        <f t="array" ref="X4:Y5">LINEST(S3:S8,R3:R8,,TRUE)</f>
        <v>-3.2296590982860383E-3</v>
      </c>
      <c r="Y4">
        <v>3.5258113607974373E-2</v>
      </c>
    </row>
    <row r="5" spans="1:25" x14ac:dyDescent="0.55000000000000004">
      <c r="A5">
        <v>0</v>
      </c>
      <c r="B5" t="s">
        <v>13</v>
      </c>
      <c r="C5">
        <v>1.44</v>
      </c>
      <c r="G5" t="s">
        <v>18</v>
      </c>
      <c r="H5" s="1">
        <f>D6/C7</f>
        <v>0.5714285714285714</v>
      </c>
      <c r="P5">
        <f>O4/2+O6/2</f>
        <v>1.5629455358955597</v>
      </c>
      <c r="R5">
        <v>700</v>
      </c>
      <c r="S5">
        <f>P23*-1</f>
        <v>-2.2655969134909779</v>
      </c>
      <c r="U5" t="s">
        <v>67</v>
      </c>
      <c r="V5">
        <f>Values!B2</f>
        <v>0.5</v>
      </c>
      <c r="X5">
        <v>6.6165666415926499E-5</v>
      </c>
      <c r="Y5">
        <v>3.8105143726284277E-2</v>
      </c>
    </row>
    <row r="6" spans="1:25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J6" t="s">
        <v>22</v>
      </c>
      <c r="K6" t="s">
        <v>21</v>
      </c>
      <c r="L6" s="1">
        <f>C7/C5</f>
        <v>0.85069444444444453</v>
      </c>
      <c r="O6">
        <f t="shared" ref="O6:O51" si="0">TAN(ASIN(L6))</f>
        <v>1.6183343489023017</v>
      </c>
      <c r="R6">
        <v>800</v>
      </c>
      <c r="S6">
        <f>P32*-1</f>
        <v>-2.5181301766758906</v>
      </c>
    </row>
    <row r="7" spans="1:25" x14ac:dyDescent="0.55000000000000004">
      <c r="A7" t="s">
        <v>9</v>
      </c>
      <c r="B7" t="s">
        <v>14</v>
      </c>
      <c r="C7" s="1">
        <v>1.2250000000000001</v>
      </c>
      <c r="D7">
        <v>0</v>
      </c>
      <c r="R7">
        <v>400</v>
      </c>
      <c r="S7">
        <f>P41*-1</f>
        <v>-1.2466413544959245</v>
      </c>
      <c r="V7" t="s">
        <v>49</v>
      </c>
      <c r="W7">
        <f>-X4/(2*PI()*V4)</f>
        <v>2.3364373181542564E-6</v>
      </c>
    </row>
    <row r="8" spans="1:25" x14ac:dyDescent="0.55000000000000004">
      <c r="R8">
        <v>300</v>
      </c>
      <c r="S8">
        <f>P50*-1</f>
        <v>-0.93896292376760759</v>
      </c>
      <c r="V8" t="s">
        <v>50</v>
      </c>
      <c r="W8">
        <f>SQRT(POWER(X5/(2*PI()*V4),2)+POWER(V5*X4/(2*PI()*V4*V4),2))</f>
        <v>4.8159969551735215E-8</v>
      </c>
    </row>
    <row r="10" spans="1:25" x14ac:dyDescent="0.55000000000000004">
      <c r="A10" t="s">
        <v>23</v>
      </c>
      <c r="H10" s="1"/>
    </row>
    <row r="11" spans="1:25" x14ac:dyDescent="0.55000000000000004">
      <c r="A11" t="s">
        <v>6</v>
      </c>
      <c r="B11" t="s">
        <v>10</v>
      </c>
      <c r="C11" t="s">
        <v>15</v>
      </c>
      <c r="D11" t="s">
        <v>16</v>
      </c>
    </row>
    <row r="12" spans="1:25" x14ac:dyDescent="0.55000000000000004">
      <c r="G12" t="s">
        <v>18</v>
      </c>
      <c r="H12" s="1">
        <f>D13/C14</f>
        <v>0.50460526315789478</v>
      </c>
    </row>
    <row r="13" spans="1:25" x14ac:dyDescent="0.55000000000000004">
      <c r="A13" t="s">
        <v>8</v>
      </c>
      <c r="B13" t="s">
        <v>12</v>
      </c>
      <c r="D13" s="1">
        <v>0.76700000000000002</v>
      </c>
      <c r="E13" t="s">
        <v>19</v>
      </c>
      <c r="I13" s="1">
        <f>H12/2+H14/2</f>
        <v>0.49854116368903911</v>
      </c>
      <c r="J13" t="s">
        <v>20</v>
      </c>
      <c r="K13" t="s">
        <v>21</v>
      </c>
      <c r="L13" s="1">
        <f>D15/D13</f>
        <v>0.87483702737940028</v>
      </c>
      <c r="O13">
        <f t="shared" si="0"/>
        <v>1.8059572291935382</v>
      </c>
    </row>
    <row r="14" spans="1:25" x14ac:dyDescent="0.55000000000000004">
      <c r="A14">
        <v>0</v>
      </c>
      <c r="B14" t="s">
        <v>13</v>
      </c>
      <c r="C14">
        <v>1.52</v>
      </c>
      <c r="G14" t="s">
        <v>18</v>
      </c>
      <c r="H14" s="1">
        <f>D15/C16</f>
        <v>0.4924770642201835</v>
      </c>
      <c r="P14">
        <f>O13/2+O15/2</f>
        <v>1.9140494383701192</v>
      </c>
    </row>
    <row r="15" spans="1:25" x14ac:dyDescent="0.55000000000000004">
      <c r="A15" t="s">
        <v>7</v>
      </c>
      <c r="B15" t="s">
        <v>11</v>
      </c>
      <c r="C15">
        <v>0</v>
      </c>
      <c r="D15" s="1">
        <v>0.67100000000000004</v>
      </c>
      <c r="E15" t="s">
        <v>20</v>
      </c>
      <c r="J15" t="s">
        <v>22</v>
      </c>
      <c r="K15" t="s">
        <v>21</v>
      </c>
      <c r="L15" s="1">
        <f>C16/C14</f>
        <v>0.89638157894736847</v>
      </c>
      <c r="O15">
        <f t="shared" si="0"/>
        <v>2.0221416475467002</v>
      </c>
    </row>
    <row r="16" spans="1:25" x14ac:dyDescent="0.55000000000000004">
      <c r="A16" t="s">
        <v>9</v>
      </c>
      <c r="B16" t="s">
        <v>14</v>
      </c>
      <c r="C16" s="1">
        <v>1.3625</v>
      </c>
      <c r="D16">
        <v>0</v>
      </c>
    </row>
    <row r="19" spans="1:26" x14ac:dyDescent="0.55000000000000004">
      <c r="A19" t="s">
        <v>24</v>
      </c>
      <c r="H19" s="1"/>
    </row>
    <row r="20" spans="1:26" x14ac:dyDescent="0.55000000000000004">
      <c r="A20" t="s">
        <v>6</v>
      </c>
      <c r="B20" t="s">
        <v>10</v>
      </c>
      <c r="C20" t="s">
        <v>15</v>
      </c>
      <c r="D20" t="s">
        <v>16</v>
      </c>
    </row>
    <row r="21" spans="1:26" x14ac:dyDescent="0.55000000000000004">
      <c r="G21" t="s">
        <v>18</v>
      </c>
      <c r="H21" s="1">
        <f>D22/C23</f>
        <v>0.44683544303797462</v>
      </c>
    </row>
    <row r="22" spans="1:26" x14ac:dyDescent="0.55000000000000004">
      <c r="A22" t="s">
        <v>8</v>
      </c>
      <c r="B22" t="s">
        <v>12</v>
      </c>
      <c r="D22" s="1">
        <v>0.70599999999999996</v>
      </c>
      <c r="E22" t="s">
        <v>19</v>
      </c>
      <c r="I22" s="1">
        <f>H21/2+H23/2</f>
        <v>0.44540048013967698</v>
      </c>
      <c r="J22" t="s">
        <v>20</v>
      </c>
      <c r="K22" t="s">
        <v>21</v>
      </c>
      <c r="L22" s="1">
        <f>D24/D22</f>
        <v>0.91182719546742219</v>
      </c>
      <c r="O22">
        <f t="shared" si="0"/>
        <v>2.2208585375639172</v>
      </c>
    </row>
    <row r="23" spans="1:26" x14ac:dyDescent="0.55000000000000004">
      <c r="A23">
        <v>0</v>
      </c>
      <c r="B23" t="s">
        <v>13</v>
      </c>
      <c r="C23">
        <v>1.58</v>
      </c>
      <c r="G23" t="s">
        <v>18</v>
      </c>
      <c r="H23" s="1">
        <f>D24/C25</f>
        <v>0.44396551724137934</v>
      </c>
      <c r="P23">
        <f>O22/2+O24/2</f>
        <v>2.2655969134909779</v>
      </c>
    </row>
    <row r="24" spans="1:26" x14ac:dyDescent="0.55000000000000004">
      <c r="A24" t="s">
        <v>7</v>
      </c>
      <c r="B24" t="s">
        <v>11</v>
      </c>
      <c r="C24">
        <v>0</v>
      </c>
      <c r="D24" s="1">
        <v>0.64375000000000004</v>
      </c>
      <c r="E24" t="s">
        <v>20</v>
      </c>
      <c r="J24" t="s">
        <v>22</v>
      </c>
      <c r="K24" t="s">
        <v>21</v>
      </c>
      <c r="L24" s="1">
        <f>C25/C23</f>
        <v>0.91772151898734167</v>
      </c>
      <c r="O24">
        <f t="shared" si="0"/>
        <v>2.3103352894180387</v>
      </c>
    </row>
    <row r="25" spans="1:26" x14ac:dyDescent="0.55000000000000004">
      <c r="A25" t="s">
        <v>9</v>
      </c>
      <c r="B25" t="s">
        <v>14</v>
      </c>
      <c r="C25" s="1">
        <v>1.45</v>
      </c>
      <c r="D25">
        <v>0</v>
      </c>
      <c r="R25" t="s">
        <v>40</v>
      </c>
      <c r="S25" t="s">
        <v>39</v>
      </c>
      <c r="T25" t="s">
        <v>43</v>
      </c>
      <c r="U25" t="s">
        <v>44</v>
      </c>
    </row>
    <row r="26" spans="1:26" x14ac:dyDescent="0.55000000000000004">
      <c r="R26">
        <v>500</v>
      </c>
      <c r="S26" s="1">
        <f>I4</f>
        <v>0.57738095238095233</v>
      </c>
      <c r="T26">
        <f>R26*R26</f>
        <v>250000</v>
      </c>
      <c r="U26" s="1">
        <f>1/(S26*V3)^2</f>
        <v>7.3514389676004207E-5</v>
      </c>
    </row>
    <row r="27" spans="1:26" x14ac:dyDescent="0.55000000000000004">
      <c r="R27">
        <v>600</v>
      </c>
      <c r="S27" s="1">
        <f>I13</f>
        <v>0.49854116368903911</v>
      </c>
      <c r="T27">
        <f t="shared" ref="T27:T31" si="1">R27*R27</f>
        <v>360000</v>
      </c>
      <c r="U27" s="1">
        <f>1/(S27*V3)^2</f>
        <v>9.8604154827806547E-5</v>
      </c>
    </row>
    <row r="28" spans="1:26" x14ac:dyDescent="0.55000000000000004">
      <c r="A28" t="s">
        <v>25</v>
      </c>
      <c r="H28" s="1"/>
      <c r="R28">
        <v>700</v>
      </c>
      <c r="S28" s="1">
        <f>I22</f>
        <v>0.44540048013967698</v>
      </c>
      <c r="T28">
        <f t="shared" si="1"/>
        <v>490000</v>
      </c>
      <c r="U28" s="1">
        <f>1/(S28*V3)^2</f>
        <v>1.2353667252207318E-4</v>
      </c>
    </row>
    <row r="29" spans="1:26" x14ac:dyDescent="0.55000000000000004">
      <c r="A29" t="s">
        <v>6</v>
      </c>
      <c r="B29" t="s">
        <v>10</v>
      </c>
      <c r="C29" t="s">
        <v>15</v>
      </c>
      <c r="D29" t="s">
        <v>16</v>
      </c>
      <c r="R29">
        <v>800</v>
      </c>
      <c r="S29" s="1">
        <f>I31</f>
        <v>0.3988200826342807</v>
      </c>
      <c r="T29">
        <f t="shared" si="1"/>
        <v>640000</v>
      </c>
      <c r="U29" s="1">
        <f>1/(S29*V3)^2</f>
        <v>1.5407891899691078E-4</v>
      </c>
      <c r="Y29">
        <f t="array" ref="Y29:Z30">LINEST(U26:U31,T26:T31,,TRUE)</f>
        <v>2.0707004536655458E-10</v>
      </c>
      <c r="Z29">
        <v>2.2199377317538266E-5</v>
      </c>
    </row>
    <row r="30" spans="1:26" x14ac:dyDescent="0.55000000000000004">
      <c r="G30" t="s">
        <v>18</v>
      </c>
      <c r="H30" s="1">
        <f>D31/C32</f>
        <v>0.40368098159509208</v>
      </c>
      <c r="R30">
        <v>400</v>
      </c>
      <c r="S30" s="1">
        <f>I40</f>
        <v>0.66759587990357216</v>
      </c>
      <c r="T30">
        <f t="shared" si="1"/>
        <v>160000</v>
      </c>
      <c r="U30" s="1">
        <f>1/(S30*V3)^2</f>
        <v>5.4988258498577723E-5</v>
      </c>
      <c r="Y30">
        <v>2.2330269283953883E-12</v>
      </c>
      <c r="Z30">
        <v>8.5299485243689535E-7</v>
      </c>
    </row>
    <row r="31" spans="1:26" x14ac:dyDescent="0.55000000000000004">
      <c r="A31" t="s">
        <v>8</v>
      </c>
      <c r="B31" t="s">
        <v>12</v>
      </c>
      <c r="D31" s="1">
        <v>0.65800000000000003</v>
      </c>
      <c r="E31" t="s">
        <v>19</v>
      </c>
      <c r="I31" s="1">
        <f>H30/2+H32/2</f>
        <v>0.3988200826342807</v>
      </c>
      <c r="J31" t="s">
        <v>20</v>
      </c>
      <c r="K31" t="s">
        <v>21</v>
      </c>
      <c r="L31" s="1">
        <f>D33/D31</f>
        <v>0.91679331306990874</v>
      </c>
      <c r="O31">
        <f t="shared" si="0"/>
        <v>2.2956447349557321</v>
      </c>
      <c r="R31">
        <v>300</v>
      </c>
      <c r="S31" s="1">
        <f>I49</f>
        <v>0.77748013090229073</v>
      </c>
      <c r="T31">
        <f t="shared" si="1"/>
        <v>90000</v>
      </c>
      <c r="U31" s="1">
        <f>1/(S31*V3)^2</f>
        <v>4.0543259663300723E-5</v>
      </c>
    </row>
    <row r="32" spans="1:26" x14ac:dyDescent="0.55000000000000004">
      <c r="A32">
        <v>0</v>
      </c>
      <c r="B32" t="s">
        <v>13</v>
      </c>
      <c r="C32">
        <v>1.63</v>
      </c>
      <c r="G32" t="s">
        <v>18</v>
      </c>
      <c r="H32" s="1">
        <f>D33/C34</f>
        <v>0.39395918367346938</v>
      </c>
      <c r="P32">
        <f>O31/2+O33/2</f>
        <v>2.5181301766758906</v>
      </c>
      <c r="W32" t="s">
        <v>49</v>
      </c>
      <c r="X32">
        <f>SQRT(Y29)/(2*PI())</f>
        <v>2.2902282688310729E-6</v>
      </c>
    </row>
    <row r="33" spans="1:24" x14ac:dyDescent="0.55000000000000004">
      <c r="A33" t="s">
        <v>7</v>
      </c>
      <c r="B33" t="s">
        <v>11</v>
      </c>
      <c r="C33">
        <v>0</v>
      </c>
      <c r="D33" s="1">
        <v>0.60324999999999995</v>
      </c>
      <c r="E33" t="s">
        <v>20</v>
      </c>
      <c r="J33" t="s">
        <v>22</v>
      </c>
      <c r="K33" t="s">
        <v>21</v>
      </c>
      <c r="L33" s="1">
        <f>C34/C32</f>
        <v>0.9394171779141105</v>
      </c>
      <c r="O33">
        <f t="shared" si="0"/>
        <v>2.7406156183960491</v>
      </c>
      <c r="W33" t="s">
        <v>50</v>
      </c>
      <c r="X33">
        <f>SQRT(Y30)/(2*PI())</f>
        <v>2.3783026063257521E-7</v>
      </c>
    </row>
    <row r="34" spans="1:24" x14ac:dyDescent="0.55000000000000004">
      <c r="A34" t="s">
        <v>9</v>
      </c>
      <c r="B34" t="s">
        <v>14</v>
      </c>
      <c r="C34" s="1">
        <v>1.53125</v>
      </c>
      <c r="D34">
        <v>0</v>
      </c>
    </row>
    <row r="37" spans="1:24" x14ac:dyDescent="0.55000000000000004">
      <c r="A37" t="s">
        <v>26</v>
      </c>
      <c r="H37" s="1"/>
    </row>
    <row r="38" spans="1:24" x14ac:dyDescent="0.55000000000000004">
      <c r="A38" t="s">
        <v>6</v>
      </c>
      <c r="B38" t="s">
        <v>10</v>
      </c>
      <c r="C38" t="s">
        <v>15</v>
      </c>
      <c r="D38" t="s">
        <v>16</v>
      </c>
    </row>
    <row r="39" spans="1:24" x14ac:dyDescent="0.55000000000000004">
      <c r="G39" t="s">
        <v>18</v>
      </c>
      <c r="H39" s="1">
        <f>D40/C41</f>
        <v>0.66962962962962957</v>
      </c>
    </row>
    <row r="40" spans="1:24" x14ac:dyDescent="0.55000000000000004">
      <c r="A40" t="s">
        <v>8</v>
      </c>
      <c r="B40" t="s">
        <v>12</v>
      </c>
      <c r="D40" s="1">
        <v>0.90400000000000003</v>
      </c>
      <c r="E40" t="s">
        <v>19</v>
      </c>
      <c r="I40" s="1">
        <f>H39/2+H41/2</f>
        <v>0.66759587990357216</v>
      </c>
      <c r="J40" t="s">
        <v>20</v>
      </c>
      <c r="K40" t="s">
        <v>21</v>
      </c>
      <c r="L40" s="1">
        <f>D42/D40</f>
        <v>0.77765486725663713</v>
      </c>
      <c r="O40">
        <f t="shared" si="0"/>
        <v>1.2369420621348701</v>
      </c>
    </row>
    <row r="41" spans="1:24" x14ac:dyDescent="0.55000000000000004">
      <c r="A41">
        <v>0</v>
      </c>
      <c r="B41" t="s">
        <v>13</v>
      </c>
      <c r="C41">
        <v>1.35</v>
      </c>
      <c r="G41" t="s">
        <v>18</v>
      </c>
      <c r="H41" s="1">
        <f>D42/C43</f>
        <v>0.66556213017751475</v>
      </c>
      <c r="P41">
        <f>O40/2+O42/2</f>
        <v>1.2466413544959245</v>
      </c>
    </row>
    <row r="42" spans="1:24" x14ac:dyDescent="0.55000000000000004">
      <c r="A42" t="s">
        <v>7</v>
      </c>
      <c r="B42" t="s">
        <v>11</v>
      </c>
      <c r="C42">
        <v>0</v>
      </c>
      <c r="D42" s="1">
        <v>0.70299999999999996</v>
      </c>
      <c r="E42" t="s">
        <v>20</v>
      </c>
      <c r="J42" t="s">
        <v>22</v>
      </c>
      <c r="K42" t="s">
        <v>21</v>
      </c>
      <c r="L42" s="1">
        <f>C43/C41</f>
        <v>0.78240740740740733</v>
      </c>
      <c r="O42">
        <f t="shared" si="0"/>
        <v>1.2563406468569787</v>
      </c>
    </row>
    <row r="43" spans="1:24" x14ac:dyDescent="0.55000000000000004">
      <c r="A43" t="s">
        <v>9</v>
      </c>
      <c r="B43" t="s">
        <v>14</v>
      </c>
      <c r="C43" s="1">
        <v>1.0562499999999999</v>
      </c>
      <c r="D43">
        <v>0</v>
      </c>
    </row>
    <row r="46" spans="1:24" x14ac:dyDescent="0.55000000000000004">
      <c r="A46" t="s">
        <v>27</v>
      </c>
      <c r="H46" s="1"/>
    </row>
    <row r="47" spans="1:24" x14ac:dyDescent="0.55000000000000004">
      <c r="A47" t="s">
        <v>6</v>
      </c>
      <c r="B47" t="s">
        <v>10</v>
      </c>
      <c r="C47" t="s">
        <v>15</v>
      </c>
      <c r="D47" t="s">
        <v>16</v>
      </c>
    </row>
    <row r="48" spans="1:24" x14ac:dyDescent="0.55000000000000004">
      <c r="G48" t="s">
        <v>18</v>
      </c>
      <c r="H48" s="1">
        <f>D49/C50</f>
        <v>0.79032258064516125</v>
      </c>
    </row>
    <row r="49" spans="1:16" x14ac:dyDescent="0.55000000000000004">
      <c r="A49" t="s">
        <v>8</v>
      </c>
      <c r="B49" t="s">
        <v>12</v>
      </c>
      <c r="D49" s="1">
        <v>0.98</v>
      </c>
      <c r="E49" t="s">
        <v>19</v>
      </c>
      <c r="I49" s="1">
        <f>H48/2+H50/2</f>
        <v>0.77748013090229073</v>
      </c>
      <c r="J49" t="s">
        <v>20</v>
      </c>
      <c r="K49" t="s">
        <v>21</v>
      </c>
      <c r="L49" s="1">
        <f>D51/D49</f>
        <v>0.67295918367346941</v>
      </c>
      <c r="O49">
        <f t="shared" si="0"/>
        <v>0.90979819830745656</v>
      </c>
    </row>
    <row r="50" spans="1:16" x14ac:dyDescent="0.55000000000000004">
      <c r="A50">
        <v>0</v>
      </c>
      <c r="B50" t="s">
        <v>13</v>
      </c>
      <c r="C50">
        <v>1.24</v>
      </c>
      <c r="G50" t="s">
        <v>18</v>
      </c>
      <c r="H50" s="1">
        <f>D51/C52</f>
        <v>0.76463768115942021</v>
      </c>
      <c r="P50">
        <f>O49/2+O51/2</f>
        <v>0.93896292376760759</v>
      </c>
    </row>
    <row r="51" spans="1:16" x14ac:dyDescent="0.55000000000000004">
      <c r="A51" t="s">
        <v>7</v>
      </c>
      <c r="B51" t="s">
        <v>11</v>
      </c>
      <c r="C51">
        <v>0</v>
      </c>
      <c r="D51" s="1">
        <v>0.65949999999999998</v>
      </c>
      <c r="E51" t="s">
        <v>20</v>
      </c>
      <c r="J51" t="s">
        <v>22</v>
      </c>
      <c r="K51" t="s">
        <v>21</v>
      </c>
      <c r="L51" s="1">
        <f>C52/C50</f>
        <v>0.69556451612903225</v>
      </c>
      <c r="O51">
        <f t="shared" si="0"/>
        <v>0.96812764922775862</v>
      </c>
    </row>
    <row r="52" spans="1:16" x14ac:dyDescent="0.55000000000000004">
      <c r="A52" t="s">
        <v>9</v>
      </c>
      <c r="B52" t="s">
        <v>14</v>
      </c>
      <c r="C52" s="1">
        <v>0.86250000000000004</v>
      </c>
      <c r="D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topLeftCell="AB19" zoomScale="115" zoomScaleNormal="115" workbookViewId="0">
      <selection activeCell="AE33" sqref="AE33"/>
    </sheetView>
  </sheetViews>
  <sheetFormatPr defaultRowHeight="14.4" x14ac:dyDescent="0.55000000000000004"/>
  <cols>
    <col min="1" max="11" width="0" hidden="1" customWidth="1"/>
    <col min="30" max="31" width="12" bestFit="1" customWidth="1"/>
    <col min="34" max="34" width="12" bestFit="1" customWidth="1"/>
  </cols>
  <sheetData>
    <row r="1" spans="1:35" x14ac:dyDescent="0.55000000000000004">
      <c r="A1" t="s">
        <v>28</v>
      </c>
      <c r="L1" t="s">
        <v>33</v>
      </c>
    </row>
    <row r="2" spans="1:35" x14ac:dyDescent="0.55000000000000004">
      <c r="A2" t="s">
        <v>6</v>
      </c>
      <c r="B2" t="s">
        <v>10</v>
      </c>
      <c r="C2" t="s">
        <v>15</v>
      </c>
      <c r="D2" t="s">
        <v>16</v>
      </c>
      <c r="G2" s="1"/>
      <c r="L2" t="s">
        <v>6</v>
      </c>
      <c r="M2" t="s">
        <v>10</v>
      </c>
      <c r="N2" t="s">
        <v>15</v>
      </c>
      <c r="O2" t="s">
        <v>16</v>
      </c>
      <c r="R2" s="1"/>
      <c r="Y2" t="s">
        <v>40</v>
      </c>
      <c r="Z2" t="s">
        <v>39</v>
      </c>
      <c r="AA2" t="s">
        <v>42</v>
      </c>
      <c r="AC2" t="s">
        <v>43</v>
      </c>
      <c r="AD2" t="s">
        <v>45</v>
      </c>
    </row>
    <row r="3" spans="1:35" x14ac:dyDescent="0.55000000000000004">
      <c r="S3" s="1"/>
      <c r="Y3">
        <v>4100</v>
      </c>
      <c r="Z3">
        <f>(R4+R6)/2</f>
        <v>3.3900317578927703</v>
      </c>
      <c r="AA3">
        <f>Z3*Z10</f>
        <v>684.78641509433965</v>
      </c>
      <c r="AC3">
        <f>Y3*Y3</f>
        <v>16810000</v>
      </c>
      <c r="AD3">
        <f>AA3*AA3</f>
        <v>468932.43429775722</v>
      </c>
    </row>
    <row r="4" spans="1:35" x14ac:dyDescent="0.55000000000000004">
      <c r="A4" t="s">
        <v>8</v>
      </c>
      <c r="B4" t="s">
        <v>12</v>
      </c>
      <c r="D4" s="1">
        <v>0.84</v>
      </c>
      <c r="E4" t="s">
        <v>19</v>
      </c>
      <c r="F4" t="s">
        <v>18</v>
      </c>
      <c r="G4" s="1">
        <f>D4/C5</f>
        <v>0.58333333333333337</v>
      </c>
      <c r="L4" t="s">
        <v>8</v>
      </c>
      <c r="M4" t="s">
        <v>12</v>
      </c>
      <c r="N4" t="s">
        <v>32</v>
      </c>
      <c r="O4" s="1">
        <v>1.75</v>
      </c>
      <c r="P4" t="s">
        <v>19</v>
      </c>
      <c r="Q4" t="s">
        <v>18</v>
      </c>
      <c r="R4" s="1">
        <f>O4/N5</f>
        <v>3.4653465346534653</v>
      </c>
      <c r="S4" s="1"/>
      <c r="Y4">
        <v>3700</v>
      </c>
      <c r="Z4">
        <f>(R13+R15)/2</f>
        <v>3.2298708766793873</v>
      </c>
      <c r="AA4">
        <f>Z4*Z10</f>
        <v>652.43391708923627</v>
      </c>
      <c r="AC4">
        <f t="shared" ref="AC4:AC8" si="0">Y4*Y4</f>
        <v>13690000</v>
      </c>
      <c r="AD4">
        <f t="shared" ref="AD4:AD8" si="1">AA4*AA4</f>
        <v>425670.01616840443</v>
      </c>
    </row>
    <row r="5" spans="1:35" x14ac:dyDescent="0.55000000000000004">
      <c r="A5">
        <v>0</v>
      </c>
      <c r="B5" t="s">
        <v>13</v>
      </c>
      <c r="C5">
        <v>1.44</v>
      </c>
      <c r="I5" t="s">
        <v>20</v>
      </c>
      <c r="J5" t="s">
        <v>21</v>
      </c>
      <c r="K5" s="1">
        <f>D6/D4</f>
        <v>0.83333333333333326</v>
      </c>
      <c r="L5">
        <v>0</v>
      </c>
      <c r="M5" t="s">
        <v>13</v>
      </c>
      <c r="N5" s="1">
        <v>0.505</v>
      </c>
      <c r="O5" t="s">
        <v>32</v>
      </c>
      <c r="U5" t="s">
        <v>20</v>
      </c>
      <c r="V5" t="s">
        <v>21</v>
      </c>
      <c r="W5" s="1">
        <f>O6/O4</f>
        <v>0.62742857142857145</v>
      </c>
      <c r="Y5">
        <v>5100</v>
      </c>
      <c r="Z5">
        <f>(R22+R24)/2</f>
        <v>3.7698292220113854</v>
      </c>
      <c r="AA5">
        <f>Z5*Z10</f>
        <v>761.50550284629981</v>
      </c>
      <c r="AC5">
        <f t="shared" si="0"/>
        <v>26010000</v>
      </c>
      <c r="AD5">
        <f t="shared" si="1"/>
        <v>579890.63086519588</v>
      </c>
    </row>
    <row r="6" spans="1:35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F6" t="s">
        <v>18</v>
      </c>
      <c r="G6" s="1">
        <f>D6/C7</f>
        <v>0.5714285714285714</v>
      </c>
      <c r="L6" t="s">
        <v>7</v>
      </c>
      <c r="M6" t="s">
        <v>11</v>
      </c>
      <c r="N6">
        <v>0</v>
      </c>
      <c r="O6" s="1">
        <v>1.0980000000000001</v>
      </c>
      <c r="P6" t="s">
        <v>20</v>
      </c>
      <c r="Q6" t="s">
        <v>18</v>
      </c>
      <c r="R6" s="1">
        <f>O6/N7</f>
        <v>3.3147169811320758</v>
      </c>
      <c r="Y6">
        <v>6300</v>
      </c>
      <c r="Z6">
        <f>(R31+R33)/2</f>
        <v>4.2811519687601693</v>
      </c>
      <c r="AA6">
        <f>Z6*Z10</f>
        <v>864.79269768955419</v>
      </c>
      <c r="AC6">
        <f t="shared" si="0"/>
        <v>39690000</v>
      </c>
      <c r="AD6">
        <f t="shared" si="1"/>
        <v>747866.40997717669</v>
      </c>
      <c r="AH6">
        <f t="array" ref="AH6:AI7">LINEST(AD3:AD8,AC3:AC8,,TRUE)</f>
        <v>1.2093241461400176E-2</v>
      </c>
      <c r="AI6">
        <v>264002.68704358058</v>
      </c>
    </row>
    <row r="7" spans="1:35" x14ac:dyDescent="0.55000000000000004">
      <c r="A7" t="s">
        <v>9</v>
      </c>
      <c r="B7" t="s">
        <v>14</v>
      </c>
      <c r="C7" s="1">
        <v>1.2250000000000001</v>
      </c>
      <c r="D7">
        <v>0</v>
      </c>
      <c r="I7" t="s">
        <v>22</v>
      </c>
      <c r="J7" t="s">
        <v>21</v>
      </c>
      <c r="K7" s="1">
        <f>C7/C5</f>
        <v>0.85069444444444453</v>
      </c>
      <c r="L7" t="s">
        <v>9</v>
      </c>
      <c r="M7" t="s">
        <v>14</v>
      </c>
      <c r="N7" s="1">
        <v>0.33124999999999999</v>
      </c>
      <c r="O7">
        <v>0</v>
      </c>
      <c r="U7" t="s">
        <v>22</v>
      </c>
      <c r="V7" t="s">
        <v>21</v>
      </c>
      <c r="W7" s="1">
        <f>N7/N5</f>
        <v>0.65594059405940597</v>
      </c>
      <c r="Y7">
        <v>7400</v>
      </c>
      <c r="Z7">
        <f>(R40+R42)/2</f>
        <v>4.7567495567495568</v>
      </c>
      <c r="AA7">
        <f>Z7*Z10</f>
        <v>960.86341046341045</v>
      </c>
      <c r="AC7">
        <f t="shared" si="0"/>
        <v>54760000</v>
      </c>
      <c r="AD7">
        <f t="shared" si="1"/>
        <v>923258.4935673764</v>
      </c>
      <c r="AH7">
        <v>5.3483938312562898E-5</v>
      </c>
      <c r="AI7">
        <v>2508.7127724604848</v>
      </c>
    </row>
    <row r="8" spans="1:35" x14ac:dyDescent="0.55000000000000004">
      <c r="Y8">
        <v>9300</v>
      </c>
      <c r="Z8">
        <f>(R49+R51)/2</f>
        <v>5.6659671778315843</v>
      </c>
      <c r="AA8">
        <f>Z8*Z10</f>
        <v>1144.52536992198</v>
      </c>
      <c r="AC8">
        <f t="shared" si="0"/>
        <v>86490000</v>
      </c>
      <c r="AD8">
        <f t="shared" si="1"/>
        <v>1309938.3223950451</v>
      </c>
    </row>
    <row r="9" spans="1:35" x14ac:dyDescent="0.55000000000000004">
      <c r="AF9" t="s">
        <v>46</v>
      </c>
      <c r="AG9">
        <f>SQRT(AH6/(4*PI()^2))</f>
        <v>1.75021537170548E-2</v>
      </c>
    </row>
    <row r="10" spans="1:35" x14ac:dyDescent="0.55000000000000004">
      <c r="A10" t="s">
        <v>28</v>
      </c>
      <c r="L10" t="s">
        <v>34</v>
      </c>
      <c r="Y10" t="s">
        <v>41</v>
      </c>
      <c r="Z10">
        <v>202</v>
      </c>
      <c r="AF10" t="s">
        <v>51</v>
      </c>
      <c r="AG10">
        <f>SQRT(AH7/(4*PI()^2))</f>
        <v>1.1639432906807199E-3</v>
      </c>
    </row>
    <row r="11" spans="1:35" x14ac:dyDescent="0.55000000000000004">
      <c r="A11" t="s">
        <v>6</v>
      </c>
      <c r="B11" t="s">
        <v>10</v>
      </c>
      <c r="C11" t="s">
        <v>15</v>
      </c>
      <c r="D11" t="s">
        <v>16</v>
      </c>
      <c r="G11" s="1"/>
      <c r="L11" t="s">
        <v>6</v>
      </c>
      <c r="M11" t="s">
        <v>10</v>
      </c>
      <c r="N11" t="s">
        <v>15</v>
      </c>
      <c r="O11" t="s">
        <v>16</v>
      </c>
      <c r="R11" s="1"/>
    </row>
    <row r="13" spans="1:35" x14ac:dyDescent="0.55000000000000004">
      <c r="A13" t="s">
        <v>8</v>
      </c>
      <c r="B13" t="s">
        <v>12</v>
      </c>
      <c r="D13" s="1">
        <v>0.84</v>
      </c>
      <c r="E13" t="s">
        <v>19</v>
      </c>
      <c r="F13" t="s">
        <v>18</v>
      </c>
      <c r="G13" s="1">
        <f>D13/C14</f>
        <v>0.58333333333333337</v>
      </c>
      <c r="L13" t="s">
        <v>8</v>
      </c>
      <c r="M13" t="s">
        <v>12</v>
      </c>
      <c r="N13" t="s">
        <v>32</v>
      </c>
      <c r="O13" s="1">
        <v>1.73</v>
      </c>
      <c r="P13" t="s">
        <v>19</v>
      </c>
      <c r="Q13" t="s">
        <v>18</v>
      </c>
      <c r="R13" s="1">
        <f>O13/N14</f>
        <v>3.346228239845261</v>
      </c>
    </row>
    <row r="14" spans="1:35" x14ac:dyDescent="0.55000000000000004">
      <c r="A14">
        <v>0</v>
      </c>
      <c r="B14" t="s">
        <v>13</v>
      </c>
      <c r="C14">
        <v>1.44</v>
      </c>
      <c r="I14" t="s">
        <v>20</v>
      </c>
      <c r="J14" t="s">
        <v>21</v>
      </c>
      <c r="K14" s="1">
        <f>D15/D13</f>
        <v>0.83333333333333326</v>
      </c>
      <c r="L14">
        <v>0</v>
      </c>
      <c r="M14" t="s">
        <v>13</v>
      </c>
      <c r="N14" s="1">
        <v>0.51700000000000002</v>
      </c>
      <c r="O14" t="s">
        <v>32</v>
      </c>
      <c r="U14" t="s">
        <v>20</v>
      </c>
      <c r="V14" t="s">
        <v>21</v>
      </c>
      <c r="W14" s="1">
        <f>O15/O13</f>
        <v>0.5826589595375723</v>
      </c>
    </row>
    <row r="15" spans="1:35" x14ac:dyDescent="0.55000000000000004">
      <c r="A15" t="s">
        <v>7</v>
      </c>
      <c r="B15" t="s">
        <v>11</v>
      </c>
      <c r="C15">
        <v>0</v>
      </c>
      <c r="D15" s="1">
        <v>0.7</v>
      </c>
      <c r="E15" t="s">
        <v>20</v>
      </c>
      <c r="F15" t="s">
        <v>18</v>
      </c>
      <c r="G15" s="1">
        <f>D15/C16</f>
        <v>0.5714285714285714</v>
      </c>
      <c r="L15" t="s">
        <v>7</v>
      </c>
      <c r="M15" t="s">
        <v>11</v>
      </c>
      <c r="N15">
        <v>0</v>
      </c>
      <c r="O15" s="1">
        <v>1.008</v>
      </c>
      <c r="P15" t="s">
        <v>20</v>
      </c>
      <c r="Q15" t="s">
        <v>18</v>
      </c>
      <c r="R15" s="1">
        <f>O15/N16</f>
        <v>3.1135135135135137</v>
      </c>
    </row>
    <row r="16" spans="1:35" x14ac:dyDescent="0.55000000000000004">
      <c r="A16" t="s">
        <v>9</v>
      </c>
      <c r="B16" t="s">
        <v>14</v>
      </c>
      <c r="C16" s="1">
        <v>1.2250000000000001</v>
      </c>
      <c r="D16">
        <v>0</v>
      </c>
      <c r="I16" t="s">
        <v>22</v>
      </c>
      <c r="J16" t="s">
        <v>21</v>
      </c>
      <c r="K16" s="1">
        <f>C16/C14</f>
        <v>0.85069444444444453</v>
      </c>
      <c r="L16" t="s">
        <v>9</v>
      </c>
      <c r="M16" t="s">
        <v>14</v>
      </c>
      <c r="N16" s="1">
        <v>0.32374999999999998</v>
      </c>
      <c r="O16">
        <v>0</v>
      </c>
      <c r="U16" t="s">
        <v>22</v>
      </c>
      <c r="V16" t="s">
        <v>21</v>
      </c>
      <c r="W16" s="1">
        <f>N16/N14</f>
        <v>0.62620889748549313</v>
      </c>
    </row>
    <row r="19" spans="12:32" x14ac:dyDescent="0.55000000000000004">
      <c r="L19" t="s">
        <v>17</v>
      </c>
    </row>
    <row r="20" spans="12:32" x14ac:dyDescent="0.55000000000000004">
      <c r="L20" t="s">
        <v>6</v>
      </c>
      <c r="M20" t="s">
        <v>10</v>
      </c>
      <c r="N20" t="s">
        <v>15</v>
      </c>
      <c r="O20" t="s">
        <v>16</v>
      </c>
      <c r="R20" s="1"/>
    </row>
    <row r="22" spans="12:32" x14ac:dyDescent="0.55000000000000004">
      <c r="L22" t="s">
        <v>8</v>
      </c>
      <c r="M22" t="s">
        <v>12</v>
      </c>
      <c r="N22" t="s">
        <v>32</v>
      </c>
      <c r="O22" s="1">
        <v>1.82</v>
      </c>
      <c r="P22" t="s">
        <v>19</v>
      </c>
      <c r="Q22" t="s">
        <v>18</v>
      </c>
      <c r="R22" s="1">
        <f>O22/N23</f>
        <v>3.8235294117647061</v>
      </c>
    </row>
    <row r="23" spans="12:32" x14ac:dyDescent="0.55000000000000004">
      <c r="L23">
        <v>0</v>
      </c>
      <c r="M23" t="s">
        <v>13</v>
      </c>
      <c r="N23" s="1">
        <v>0.47599999999999998</v>
      </c>
      <c r="O23" t="s">
        <v>32</v>
      </c>
      <c r="U23" t="s">
        <v>20</v>
      </c>
      <c r="V23" t="s">
        <v>21</v>
      </c>
      <c r="W23" s="1">
        <f>O24/O22</f>
        <v>0.71208791208791211</v>
      </c>
    </row>
    <row r="24" spans="12:32" x14ac:dyDescent="0.55000000000000004">
      <c r="L24" t="s">
        <v>7</v>
      </c>
      <c r="M24" t="s">
        <v>11</v>
      </c>
      <c r="N24">
        <v>0</v>
      </c>
      <c r="O24" s="1">
        <v>1.296</v>
      </c>
      <c r="P24" t="s">
        <v>20</v>
      </c>
      <c r="Q24" t="s">
        <v>18</v>
      </c>
      <c r="R24" s="1">
        <f>O24/N25</f>
        <v>3.7161290322580647</v>
      </c>
    </row>
    <row r="25" spans="12:32" x14ac:dyDescent="0.55000000000000004">
      <c r="L25" t="s">
        <v>9</v>
      </c>
      <c r="M25" t="s">
        <v>14</v>
      </c>
      <c r="N25" s="1">
        <v>0.34875</v>
      </c>
      <c r="O25">
        <v>0</v>
      </c>
      <c r="U25" t="s">
        <v>22</v>
      </c>
      <c r="V25" t="s">
        <v>21</v>
      </c>
      <c r="W25" s="1">
        <f>N25/N23</f>
        <v>0.73266806722689082</v>
      </c>
    </row>
    <row r="28" spans="12:32" x14ac:dyDescent="0.55000000000000004">
      <c r="L28" t="s">
        <v>35</v>
      </c>
      <c r="Y28" t="s">
        <v>40</v>
      </c>
      <c r="Z28" t="s">
        <v>38</v>
      </c>
    </row>
    <row r="29" spans="12:32" x14ac:dyDescent="0.55000000000000004">
      <c r="L29" t="s">
        <v>6</v>
      </c>
      <c r="M29" t="s">
        <v>10</v>
      </c>
      <c r="N29" t="s">
        <v>15</v>
      </c>
      <c r="O29" t="s">
        <v>16</v>
      </c>
      <c r="R29" s="1"/>
      <c r="Y29">
        <v>4100</v>
      </c>
      <c r="Z29">
        <f>TAN(ASIN((W5+W7)/2))</f>
        <v>0.83665035106532015</v>
      </c>
    </row>
    <row r="30" spans="12:32" x14ac:dyDescent="0.55000000000000004">
      <c r="Y30">
        <v>3700</v>
      </c>
      <c r="Z30">
        <f>TAN(ASIN((W14+W16)/2))</f>
        <v>0.75871452560888286</v>
      </c>
    </row>
    <row r="31" spans="12:32" x14ac:dyDescent="0.55000000000000004">
      <c r="L31" t="s">
        <v>8</v>
      </c>
      <c r="M31" t="s">
        <v>12</v>
      </c>
      <c r="N31" t="s">
        <v>32</v>
      </c>
      <c r="O31" s="1">
        <v>1.9</v>
      </c>
      <c r="P31" t="s">
        <v>19</v>
      </c>
      <c r="Q31" t="s">
        <v>18</v>
      </c>
      <c r="R31" s="1">
        <f>O31/N32</f>
        <v>4.3280182232346238</v>
      </c>
      <c r="Y31">
        <v>5100</v>
      </c>
      <c r="Z31">
        <f>TAN(ASIN((W23+W25)/2))</f>
        <v>1.0446560505420173</v>
      </c>
    </row>
    <row r="32" spans="12:32" x14ac:dyDescent="0.55000000000000004">
      <c r="L32">
        <v>0</v>
      </c>
      <c r="M32" t="s">
        <v>13</v>
      </c>
      <c r="N32" s="1">
        <v>0.439</v>
      </c>
      <c r="O32" t="s">
        <v>32</v>
      </c>
      <c r="U32" t="s">
        <v>20</v>
      </c>
      <c r="V32" t="s">
        <v>21</v>
      </c>
      <c r="W32" s="1">
        <f>O33/O31</f>
        <v>0.78</v>
      </c>
      <c r="Y32">
        <v>6300</v>
      </c>
      <c r="Z32">
        <f>TAN(ASIN((W32+W34)/2))</f>
        <v>1.2826143946779247</v>
      </c>
      <c r="AB32" t="s">
        <v>47</v>
      </c>
      <c r="AC32">
        <f>Values!A2</f>
        <v>220</v>
      </c>
      <c r="AE32">
        <f t="array" ref="AE32:AF33">LINEST(Z29:Z34,Y29:Y34,,TRUE)</f>
        <v>2.0780975214485062E-4</v>
      </c>
      <c r="AF32">
        <v>-1.7486833451328954E-2</v>
      </c>
    </row>
    <row r="33" spans="12:32" x14ac:dyDescent="0.55000000000000004">
      <c r="L33" t="s">
        <v>7</v>
      </c>
      <c r="M33" t="s">
        <v>11</v>
      </c>
      <c r="N33">
        <v>0</v>
      </c>
      <c r="O33" s="1">
        <v>1.482</v>
      </c>
      <c r="P33" t="s">
        <v>20</v>
      </c>
      <c r="Q33" t="s">
        <v>18</v>
      </c>
      <c r="R33" s="1">
        <f>O33/N34</f>
        <v>4.2342857142857149</v>
      </c>
      <c r="Y33">
        <v>7400</v>
      </c>
      <c r="Z33">
        <f>TAN(ASIN((W41+W43)/2))</f>
        <v>1.5022350267712594</v>
      </c>
      <c r="AB33" t="s">
        <v>67</v>
      </c>
      <c r="AC33">
        <f>Values!B2</f>
        <v>0.5</v>
      </c>
      <c r="AE33">
        <v>2.8010526985844929E-6</v>
      </c>
      <c r="AF33">
        <v>1.7621048292207068E-2</v>
      </c>
    </row>
    <row r="34" spans="12:32" x14ac:dyDescent="0.55000000000000004">
      <c r="L34" t="s">
        <v>9</v>
      </c>
      <c r="M34" t="s">
        <v>14</v>
      </c>
      <c r="N34" s="1">
        <v>0.35</v>
      </c>
      <c r="O34">
        <v>0</v>
      </c>
      <c r="U34" t="s">
        <v>22</v>
      </c>
      <c r="V34" t="s">
        <v>21</v>
      </c>
      <c r="W34" s="1">
        <f>N34/N32</f>
        <v>0.79726651480637811</v>
      </c>
      <c r="Y34">
        <v>9300</v>
      </c>
      <c r="Z34">
        <f>TAN(ASIN((W50+W52)/2))</f>
        <v>1.9305787526267586</v>
      </c>
      <c r="AC34" t="s">
        <v>46</v>
      </c>
      <c r="AD34">
        <f>(AE32*AC32/(2*PI()))</f>
        <v>7.2762688408420069E-3</v>
      </c>
    </row>
    <row r="35" spans="12:32" x14ac:dyDescent="0.55000000000000004">
      <c r="AC35" t="s">
        <v>51</v>
      </c>
      <c r="AD35">
        <f>SQRT(POWER((AE33*AC32/(2*PI())),2)+POWER((AE32*AC33/(2*PI())),2))</f>
        <v>9.9460710738507585E-5</v>
      </c>
    </row>
    <row r="37" spans="12:32" x14ac:dyDescent="0.55000000000000004">
      <c r="L37" t="s">
        <v>36</v>
      </c>
    </row>
    <row r="38" spans="12:32" x14ac:dyDescent="0.55000000000000004">
      <c r="L38" t="s">
        <v>6</v>
      </c>
      <c r="M38" t="s">
        <v>10</v>
      </c>
      <c r="N38" t="s">
        <v>15</v>
      </c>
      <c r="O38" t="s">
        <v>16</v>
      </c>
      <c r="R38" s="1"/>
    </row>
    <row r="40" spans="12:32" x14ac:dyDescent="0.55000000000000004">
      <c r="L40" t="s">
        <v>8</v>
      </c>
      <c r="M40" t="s">
        <v>12</v>
      </c>
      <c r="N40" t="s">
        <v>32</v>
      </c>
      <c r="O40" s="1">
        <v>1.95</v>
      </c>
      <c r="P40" t="s">
        <v>19</v>
      </c>
      <c r="Q40" t="s">
        <v>18</v>
      </c>
      <c r="R40" s="1">
        <f>O40/N41</f>
        <v>4.7911547911547911</v>
      </c>
    </row>
    <row r="41" spans="12:32" x14ac:dyDescent="0.55000000000000004">
      <c r="L41">
        <v>0</v>
      </c>
      <c r="M41" t="s">
        <v>13</v>
      </c>
      <c r="N41" s="1">
        <v>0.40699999999999997</v>
      </c>
      <c r="O41" t="s">
        <v>32</v>
      </c>
      <c r="U41" t="s">
        <v>20</v>
      </c>
      <c r="V41" t="s">
        <v>21</v>
      </c>
      <c r="W41" s="1">
        <f>O42/O40</f>
        <v>0.82641025641025645</v>
      </c>
    </row>
    <row r="42" spans="12:32" x14ac:dyDescent="0.55000000000000004">
      <c r="L42" t="s">
        <v>7</v>
      </c>
      <c r="M42" t="s">
        <v>11</v>
      </c>
      <c r="N42">
        <v>0</v>
      </c>
      <c r="O42" s="1">
        <v>1.6114999999999999</v>
      </c>
      <c r="P42" t="s">
        <v>20</v>
      </c>
      <c r="Q42" t="s">
        <v>18</v>
      </c>
      <c r="R42" s="1">
        <f>O42/N43</f>
        <v>4.7223443223443224</v>
      </c>
    </row>
    <row r="43" spans="12:32" x14ac:dyDescent="0.55000000000000004">
      <c r="L43" t="s">
        <v>9</v>
      </c>
      <c r="M43" t="s">
        <v>14</v>
      </c>
      <c r="N43" s="1">
        <v>0.34125</v>
      </c>
      <c r="O43">
        <v>0</v>
      </c>
      <c r="U43" t="s">
        <v>22</v>
      </c>
      <c r="V43" t="s">
        <v>21</v>
      </c>
      <c r="W43" s="1">
        <f>N43/N41</f>
        <v>0.83845208845208852</v>
      </c>
    </row>
    <row r="46" spans="12:32" x14ac:dyDescent="0.55000000000000004">
      <c r="L46" t="s">
        <v>37</v>
      </c>
    </row>
    <row r="47" spans="12:32" x14ac:dyDescent="0.55000000000000004">
      <c r="L47" t="s">
        <v>6</v>
      </c>
      <c r="M47" t="s">
        <v>10</v>
      </c>
      <c r="N47" t="s">
        <v>15</v>
      </c>
      <c r="O47" t="s">
        <v>16</v>
      </c>
      <c r="R47" s="1"/>
    </row>
    <row r="49" spans="12:23" x14ac:dyDescent="0.55000000000000004">
      <c r="L49" t="s">
        <v>8</v>
      </c>
      <c r="M49" t="s">
        <v>12</v>
      </c>
      <c r="N49" t="s">
        <v>32</v>
      </c>
      <c r="O49" s="1">
        <v>2.0099999999999998</v>
      </c>
      <c r="P49" t="s">
        <v>19</v>
      </c>
      <c r="Q49" t="s">
        <v>18</v>
      </c>
      <c r="R49" s="1">
        <f>O49/N50</f>
        <v>5.6779661016949152</v>
      </c>
    </row>
    <row r="50" spans="12:23" x14ac:dyDescent="0.55000000000000004">
      <c r="L50">
        <v>0</v>
      </c>
      <c r="M50" t="s">
        <v>13</v>
      </c>
      <c r="N50" s="1">
        <v>0.35399999999999998</v>
      </c>
      <c r="O50" t="s">
        <v>32</v>
      </c>
      <c r="U50" t="s">
        <v>20</v>
      </c>
      <c r="V50" t="s">
        <v>21</v>
      </c>
      <c r="W50" s="1">
        <f>O51/O49</f>
        <v>0.8860696517412936</v>
      </c>
    </row>
    <row r="51" spans="12:23" x14ac:dyDescent="0.55000000000000004">
      <c r="L51" t="s">
        <v>7</v>
      </c>
      <c r="M51" t="s">
        <v>11</v>
      </c>
      <c r="N51">
        <v>0</v>
      </c>
      <c r="O51" s="1">
        <v>1.7809999999999999</v>
      </c>
      <c r="P51" t="s">
        <v>20</v>
      </c>
      <c r="Q51" t="s">
        <v>18</v>
      </c>
      <c r="R51" s="1">
        <f>O51/N52</f>
        <v>5.6539682539682534</v>
      </c>
    </row>
    <row r="52" spans="12:23" x14ac:dyDescent="0.55000000000000004">
      <c r="L52" t="s">
        <v>9</v>
      </c>
      <c r="M52" t="s">
        <v>14</v>
      </c>
      <c r="N52" s="1">
        <v>0.315</v>
      </c>
      <c r="O52">
        <v>0</v>
      </c>
      <c r="U52" t="s">
        <v>22</v>
      </c>
      <c r="V52" t="s">
        <v>21</v>
      </c>
      <c r="W52" s="1">
        <f>N52/N50</f>
        <v>0.88983050847457634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RC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2016-04-20T22:27:25Z</dcterms:modified>
</cp:coreProperties>
</file>