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Ex2.xml" ContentType="application/vnd.ms-office.chartex+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22.xml" ContentType="application/vnd.openxmlformats-officedocument.spreadsheetml.pivotTable+xml"/>
  <Override PartName="/xl/drawings/drawing5.xml" ContentType="application/vnd.openxmlformats-officedocument.drawing+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hidePivotFieldList="1" defaultThemeVersion="166925"/>
  <mc:AlternateContent xmlns:mc="http://schemas.openxmlformats.org/markup-compatibility/2006">
    <mc:Choice Requires="x15">
      <x15ac:absPath xmlns:x15ac="http://schemas.microsoft.com/office/spreadsheetml/2010/11/ac" url="D:\HYUNDAI\Linh tinh\Marketing tốt nhất 2022\"/>
    </mc:Choice>
  </mc:AlternateContent>
  <xr:revisionPtr revIDLastSave="0" documentId="13_ncr:1_{4668DE05-CA49-4D1A-B672-A761A239D10E}" xr6:coauthVersionLast="36" xr6:coauthVersionMax="47" xr10:uidLastSave="{00000000-0000-0000-0000-000000000000}"/>
  <bookViews>
    <workbookView xWindow="-108" yWindow="-108" windowWidth="19416" windowHeight="10416" firstSheet="7" activeTab="7" xr2:uid="{00000000-000D-0000-FFFF-FFFF00000000}"/>
  </bookViews>
  <sheets>
    <sheet name="Tháng 6" sheetId="1" state="hidden" r:id="rId1"/>
    <sheet name="Tháng 7" sheetId="2" state="hidden" r:id="rId2"/>
    <sheet name="Tháng 8" sheetId="3" state="hidden" r:id="rId3"/>
    <sheet name="Tháng 9" sheetId="4" state="hidden" r:id="rId4"/>
    <sheet name="Tháng 10" sheetId="5" state="hidden" r:id="rId5"/>
    <sheet name="Tháng 11" sheetId="6" state="hidden" r:id="rId6"/>
    <sheet name="Tháng 12" sheetId="7" state="hidden" r:id="rId7"/>
    <sheet name="Dashboard" sheetId="36" r:id="rId8"/>
    <sheet name="Pivot" sheetId="43" r:id="rId9"/>
    <sheet name="Dữ liệu" sheetId="41" r:id="rId10"/>
    <sheet name="Sơ kết MKT 2022" sheetId="45" state="hidden" r:id="rId11"/>
  </sheets>
  <externalReferences>
    <externalReference r:id="rId12"/>
  </externalReferences>
  <definedNames>
    <definedName name="_xlnm._FilterDatabase" localSheetId="9" hidden="1">'Dữ liệu'!$A$1:$BC$293</definedName>
    <definedName name="_xlnm._FilterDatabase" localSheetId="8" hidden="1">Pivot!$A$139:$B$167</definedName>
    <definedName name="_xlnm._FilterDatabase" localSheetId="4" hidden="1">'Tháng 10'!$A$3:$Z$56</definedName>
    <definedName name="_xlnm._FilterDatabase" localSheetId="5" hidden="1">'Tháng 11'!$A$3:$Z$56</definedName>
    <definedName name="_xlnm._FilterDatabase" localSheetId="6" hidden="1">'Tháng 12'!$A$3:$Z$56</definedName>
    <definedName name="_xlnm._FilterDatabase" localSheetId="3" hidden="1">'Tháng 9'!$A$3:$Z$3</definedName>
    <definedName name="_xlchart.v1.0" hidden="1">Pivot!$K$23:$R$23</definedName>
    <definedName name="_xlchart.v1.1" hidden="1">Pivot!$K$24:$R$24</definedName>
    <definedName name="_xlchart.v1.2" hidden="1">Pivot!$K$23:$R$23</definedName>
    <definedName name="_xlchart.v1.3" hidden="1">Pivot!$K$24:$R$24</definedName>
    <definedName name="_xlnm.Print_Area" localSheetId="7">Dashboard!$A$1:$AK$95</definedName>
    <definedName name="Slicer_Đại_lý">#N/A</definedName>
    <definedName name="Slicer_Khu_vực">#N/A</definedName>
    <definedName name="Slicer_Tháng">#N/A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3" i="43" l="1"/>
  <c r="D74" i="43"/>
  <c r="D75" i="43"/>
  <c r="D76" i="43"/>
  <c r="D77" i="43"/>
  <c r="D78" i="43"/>
  <c r="D79" i="43"/>
  <c r="D80" i="43"/>
  <c r="D81" i="43"/>
  <c r="D82" i="43"/>
  <c r="D83" i="43"/>
  <c r="D84" i="43"/>
  <c r="D85" i="43"/>
  <c r="D86" i="43"/>
  <c r="D87" i="43"/>
  <c r="D88" i="43"/>
  <c r="D89" i="43"/>
  <c r="D90" i="43"/>
  <c r="D91" i="43"/>
  <c r="D92" i="43"/>
  <c r="D93" i="43"/>
  <c r="D94" i="43"/>
  <c r="D72" i="43"/>
  <c r="D71" i="43"/>
  <c r="E31" i="45" l="1"/>
  <c r="F62" i="45"/>
  <c r="F61" i="45"/>
  <c r="F60" i="45"/>
  <c r="F59" i="45"/>
  <c r="D58" i="45"/>
  <c r="F58" i="45" s="1"/>
  <c r="D57" i="45"/>
  <c r="F57" i="45" s="1"/>
  <c r="D56" i="45"/>
  <c r="F56" i="45" s="1"/>
  <c r="F55" i="45"/>
  <c r="D54" i="45"/>
  <c r="F54" i="45" s="1"/>
  <c r="D53" i="45"/>
  <c r="F53" i="45" s="1"/>
  <c r="F52" i="45"/>
  <c r="F50" i="45" l="1"/>
  <c r="B47" i="45" l="1"/>
  <c r="D41" i="45" l="1"/>
  <c r="AB285" i="41" l="1"/>
  <c r="AB247" i="41" l="1"/>
  <c r="AB267" i="41"/>
  <c r="AB262" i="41"/>
  <c r="AB270" i="41"/>
  <c r="AU270" i="41" s="1"/>
  <c r="AW270" i="41" s="1"/>
  <c r="AY270" i="41"/>
  <c r="AY271" i="41"/>
  <c r="AY272" i="41"/>
  <c r="AY273" i="41"/>
  <c r="AY274" i="41"/>
  <c r="AY275" i="41"/>
  <c r="AY276" i="41"/>
  <c r="AY277" i="41"/>
  <c r="AY278" i="41"/>
  <c r="AY279" i="41"/>
  <c r="AY280" i="41"/>
  <c r="AY281" i="41"/>
  <c r="AY282" i="41"/>
  <c r="AY283" i="41"/>
  <c r="AY284" i="41"/>
  <c r="AY285" i="41"/>
  <c r="AY286" i="41"/>
  <c r="AY287" i="41"/>
  <c r="AY288" i="41"/>
  <c r="AY289" i="41"/>
  <c r="AY290" i="41"/>
  <c r="AY291" i="41"/>
  <c r="AY292" i="41"/>
  <c r="AY293" i="41"/>
  <c r="AS270" i="41"/>
  <c r="AS271" i="41"/>
  <c r="AS272" i="41"/>
  <c r="AS273" i="41"/>
  <c r="AS274" i="41"/>
  <c r="AS275" i="41"/>
  <c r="AS276" i="41"/>
  <c r="AS277" i="41"/>
  <c r="AS278" i="41"/>
  <c r="AS279" i="41"/>
  <c r="AS280" i="41"/>
  <c r="AS281" i="41"/>
  <c r="AS282" i="41"/>
  <c r="AS283" i="41"/>
  <c r="AS284" i="41"/>
  <c r="AS285" i="41"/>
  <c r="AS286" i="41"/>
  <c r="AS287" i="41"/>
  <c r="AS288" i="41"/>
  <c r="AS289" i="41"/>
  <c r="AS290" i="41"/>
  <c r="AS291" i="41"/>
  <c r="AS292" i="41"/>
  <c r="AS293" i="41"/>
  <c r="AR270" i="41"/>
  <c r="AT270" i="41" s="1"/>
  <c r="AR271" i="41"/>
  <c r="AT271" i="41" s="1"/>
  <c r="AR272" i="41"/>
  <c r="AT272" i="41" s="1"/>
  <c r="AR273" i="41"/>
  <c r="AT273" i="41" s="1"/>
  <c r="AR274" i="41"/>
  <c r="AT274" i="41" s="1"/>
  <c r="AR275" i="41"/>
  <c r="AT275" i="41" s="1"/>
  <c r="AR276" i="41"/>
  <c r="AT276" i="41" s="1"/>
  <c r="AR277" i="41"/>
  <c r="AT277" i="41" s="1"/>
  <c r="AR278" i="41"/>
  <c r="AT278" i="41" s="1"/>
  <c r="AR279" i="41"/>
  <c r="AT279" i="41" s="1"/>
  <c r="AR280" i="41"/>
  <c r="AT280" i="41" s="1"/>
  <c r="AR281" i="41"/>
  <c r="AT281" i="41" s="1"/>
  <c r="AR282" i="41"/>
  <c r="AT282" i="41" s="1"/>
  <c r="AR283" i="41"/>
  <c r="AT283" i="41" s="1"/>
  <c r="AR284" i="41"/>
  <c r="AT284" i="41" s="1"/>
  <c r="AR285" i="41"/>
  <c r="AT285" i="41" s="1"/>
  <c r="AR286" i="41"/>
  <c r="AT286" i="41" s="1"/>
  <c r="AR287" i="41"/>
  <c r="AT287" i="41" s="1"/>
  <c r="AR288" i="41"/>
  <c r="AT288" i="41" s="1"/>
  <c r="AR289" i="41"/>
  <c r="AT289" i="41" s="1"/>
  <c r="AR290" i="41"/>
  <c r="AT290" i="41" s="1"/>
  <c r="AR291" i="41"/>
  <c r="AT291" i="41" s="1"/>
  <c r="AR292" i="41"/>
  <c r="AT292" i="41" s="1"/>
  <c r="AR293" i="41"/>
  <c r="AT293" i="41" s="1"/>
  <c r="AB271" i="41"/>
  <c r="AU271" i="41" s="1"/>
  <c r="AW271" i="41" s="1"/>
  <c r="AB272" i="41"/>
  <c r="AU272" i="41" s="1"/>
  <c r="AW272" i="41" s="1"/>
  <c r="AB273" i="41"/>
  <c r="AU273" i="41" s="1"/>
  <c r="AW273" i="41" s="1"/>
  <c r="AB274" i="41"/>
  <c r="AU274" i="41" s="1"/>
  <c r="AW274" i="41" s="1"/>
  <c r="AB275" i="41"/>
  <c r="AU275" i="41" s="1"/>
  <c r="AW275" i="41" s="1"/>
  <c r="AB276" i="41"/>
  <c r="AU276" i="41" s="1"/>
  <c r="AW276" i="41" s="1"/>
  <c r="AB277" i="41"/>
  <c r="AU277" i="41" s="1"/>
  <c r="AW277" i="41" s="1"/>
  <c r="AB278" i="41"/>
  <c r="AU278" i="41" s="1"/>
  <c r="AW278" i="41" s="1"/>
  <c r="AB279" i="41"/>
  <c r="AU279" i="41" s="1"/>
  <c r="AW279" i="41" s="1"/>
  <c r="AB280" i="41"/>
  <c r="AU280" i="41" s="1"/>
  <c r="AW280" i="41" s="1"/>
  <c r="AB281" i="41"/>
  <c r="AU281" i="41" s="1"/>
  <c r="AW281" i="41" s="1"/>
  <c r="AB282" i="41"/>
  <c r="AU282" i="41" s="1"/>
  <c r="AW282" i="41" s="1"/>
  <c r="AU283" i="41"/>
  <c r="AW283" i="41" s="1"/>
  <c r="AB284" i="41"/>
  <c r="AU284" i="41" s="1"/>
  <c r="AW284" i="41" s="1"/>
  <c r="AU285" i="41"/>
  <c r="AW285" i="41" s="1"/>
  <c r="AB286" i="41"/>
  <c r="AU286" i="41" s="1"/>
  <c r="AW286" i="41" s="1"/>
  <c r="AB287" i="41"/>
  <c r="AU287" i="41" s="1"/>
  <c r="AW287" i="41" s="1"/>
  <c r="AB288" i="41"/>
  <c r="AU288" i="41" s="1"/>
  <c r="AW288" i="41" s="1"/>
  <c r="AB289" i="41"/>
  <c r="AU289" i="41" s="1"/>
  <c r="AW289" i="41" s="1"/>
  <c r="AB290" i="41"/>
  <c r="AU290" i="41" s="1"/>
  <c r="AW290" i="41" s="1"/>
  <c r="AB291" i="41"/>
  <c r="AU291" i="41" s="1"/>
  <c r="AW291" i="41" s="1"/>
  <c r="AB292" i="41"/>
  <c r="AU292" i="41" s="1"/>
  <c r="AW292" i="41" s="1"/>
  <c r="AB293" i="41"/>
  <c r="AU293" i="41" s="1"/>
  <c r="AW293" i="41" s="1"/>
  <c r="AB269" i="41"/>
  <c r="L271" i="41"/>
  <c r="L272" i="41"/>
  <c r="L273" i="41"/>
  <c r="L274" i="41"/>
  <c r="L275" i="41"/>
  <c r="L276" i="41"/>
  <c r="L277" i="41"/>
  <c r="L278" i="41"/>
  <c r="L279" i="41"/>
  <c r="L280" i="41"/>
  <c r="L281" i="41"/>
  <c r="L282" i="41"/>
  <c r="L283" i="41"/>
  <c r="L284" i="41"/>
  <c r="L285" i="41"/>
  <c r="L286" i="41"/>
  <c r="L287" i="41"/>
  <c r="L288" i="41"/>
  <c r="L289" i="41"/>
  <c r="L290" i="41"/>
  <c r="L291" i="41"/>
  <c r="L292" i="41"/>
  <c r="L293" i="41"/>
  <c r="L270" i="41"/>
  <c r="B39" i="45"/>
  <c r="B43" i="45" l="1"/>
  <c r="E28" i="45" l="1"/>
  <c r="C23" i="45" l="1"/>
  <c r="C24" i="45" s="1"/>
  <c r="C25" i="45" s="1"/>
  <c r="D23" i="45"/>
  <c r="D24" i="45" s="1"/>
  <c r="D25" i="45" s="1"/>
  <c r="E23" i="45"/>
  <c r="E24" i="45" s="1"/>
  <c r="E25" i="45" s="1"/>
  <c r="F23" i="45"/>
  <c r="F24" i="45" s="1"/>
  <c r="F25" i="45" s="1"/>
  <c r="G23" i="45"/>
  <c r="G24" i="45" s="1"/>
  <c r="G25" i="45" s="1"/>
  <c r="H23" i="45"/>
  <c r="H24" i="45" s="1"/>
  <c r="H25" i="45" s="1"/>
  <c r="I23" i="45"/>
  <c r="I24" i="45" s="1"/>
  <c r="I25" i="45" s="1"/>
  <c r="J23" i="45"/>
  <c r="J24" i="45" s="1"/>
  <c r="J25" i="45" s="1"/>
  <c r="K23" i="45"/>
  <c r="K24" i="45" s="1"/>
  <c r="K25" i="45" s="1"/>
  <c r="L23" i="45"/>
  <c r="L24" i="45" s="1"/>
  <c r="L25" i="45" s="1"/>
  <c r="B23" i="45"/>
  <c r="B24" i="45" s="1"/>
  <c r="B25" i="45" s="1"/>
  <c r="AR51" i="41" l="1"/>
  <c r="AB66" i="41"/>
  <c r="E35" i="36"/>
  <c r="D78" i="36"/>
  <c r="E31" i="36"/>
  <c r="AB78" i="36"/>
  <c r="AB219" i="41" l="1"/>
  <c r="AB239" i="41"/>
  <c r="AB19" i="41"/>
  <c r="AR257" i="41" l="1"/>
  <c r="AT257" i="41" s="1"/>
  <c r="AB233" i="41"/>
  <c r="AB222" i="41"/>
  <c r="AB232" i="41"/>
  <c r="AY246" i="41"/>
  <c r="AY247" i="41"/>
  <c r="AY248" i="41"/>
  <c r="AY249" i="41"/>
  <c r="AY250" i="41"/>
  <c r="AY251" i="41"/>
  <c r="AY252" i="41"/>
  <c r="AY253" i="41"/>
  <c r="AY254" i="41"/>
  <c r="AY255" i="41"/>
  <c r="AY256" i="41"/>
  <c r="AY257" i="41"/>
  <c r="AY258" i="41"/>
  <c r="AY259" i="41"/>
  <c r="AY260" i="41"/>
  <c r="AY261" i="41"/>
  <c r="AY262" i="41"/>
  <c r="AY263" i="41"/>
  <c r="AY264" i="41"/>
  <c r="AY265" i="41"/>
  <c r="AY266" i="41"/>
  <c r="AY267" i="41"/>
  <c r="AY268" i="41"/>
  <c r="AY269" i="41"/>
  <c r="AS246" i="41"/>
  <c r="AS247" i="41"/>
  <c r="AS248" i="41"/>
  <c r="AS249" i="41"/>
  <c r="AS250" i="41"/>
  <c r="AS251" i="41"/>
  <c r="AS252" i="41"/>
  <c r="AS253" i="41"/>
  <c r="AS254" i="41"/>
  <c r="AS255" i="41"/>
  <c r="AS256" i="41"/>
  <c r="AS257" i="41"/>
  <c r="AS258" i="41"/>
  <c r="AS259" i="41"/>
  <c r="AS260" i="41"/>
  <c r="AS261" i="41"/>
  <c r="AS262" i="41"/>
  <c r="AS263" i="41"/>
  <c r="AS264" i="41"/>
  <c r="AS265" i="41"/>
  <c r="AS266" i="41"/>
  <c r="AS267" i="41"/>
  <c r="AS268" i="41"/>
  <c r="AS269" i="41"/>
  <c r="AR246" i="41"/>
  <c r="AT246" i="41" s="1"/>
  <c r="AR247" i="41"/>
  <c r="AT247" i="41" s="1"/>
  <c r="AR248" i="41"/>
  <c r="AT248" i="41" s="1"/>
  <c r="AR249" i="41"/>
  <c r="AT249" i="41" s="1"/>
  <c r="AR250" i="41"/>
  <c r="AT250" i="41" s="1"/>
  <c r="AR251" i="41"/>
  <c r="AT251" i="41" s="1"/>
  <c r="AR252" i="41"/>
  <c r="AT252" i="41" s="1"/>
  <c r="AR253" i="41"/>
  <c r="AT253" i="41" s="1"/>
  <c r="AR254" i="41"/>
  <c r="AT254" i="41" s="1"/>
  <c r="AR255" i="41"/>
  <c r="AT255" i="41" s="1"/>
  <c r="AR256" i="41"/>
  <c r="AT256" i="41" s="1"/>
  <c r="AR258" i="41"/>
  <c r="AT258" i="41" s="1"/>
  <c r="AR259" i="41"/>
  <c r="AT259" i="41" s="1"/>
  <c r="AR260" i="41"/>
  <c r="AT260" i="41" s="1"/>
  <c r="AR261" i="41"/>
  <c r="AT261" i="41" s="1"/>
  <c r="AR262" i="41"/>
  <c r="AT262" i="41" s="1"/>
  <c r="AR263" i="41"/>
  <c r="AT263" i="41" s="1"/>
  <c r="AR264" i="41"/>
  <c r="AT264" i="41" s="1"/>
  <c r="AR265" i="41"/>
  <c r="AT265" i="41" s="1"/>
  <c r="AR266" i="41"/>
  <c r="AT266" i="41" s="1"/>
  <c r="AR267" i="41"/>
  <c r="AT267" i="41" s="1"/>
  <c r="AR268" i="41"/>
  <c r="AT268" i="41" s="1"/>
  <c r="AR269" i="41"/>
  <c r="AT269" i="41" s="1"/>
  <c r="AU267" i="41"/>
  <c r="AW267" i="41" s="1"/>
  <c r="AB246" i="41"/>
  <c r="AU246" i="41" s="1"/>
  <c r="AW246" i="41" s="1"/>
  <c r="AU247" i="41"/>
  <c r="AW247" i="41" s="1"/>
  <c r="AB248" i="41"/>
  <c r="AU248" i="41" s="1"/>
  <c r="AW248" i="41" s="1"/>
  <c r="AB249" i="41"/>
  <c r="AU249" i="41" s="1"/>
  <c r="AW249" i="41" s="1"/>
  <c r="AB250" i="41"/>
  <c r="AU250" i="41" s="1"/>
  <c r="AW250" i="41" s="1"/>
  <c r="AB251" i="41"/>
  <c r="AU251" i="41" s="1"/>
  <c r="AW251" i="41" s="1"/>
  <c r="AB252" i="41"/>
  <c r="AU252" i="41" s="1"/>
  <c r="AW252" i="41" s="1"/>
  <c r="AB253" i="41"/>
  <c r="AU253" i="41" s="1"/>
  <c r="AW253" i="41" s="1"/>
  <c r="AB254" i="41"/>
  <c r="AU254" i="41" s="1"/>
  <c r="AW254" i="41" s="1"/>
  <c r="AB255" i="41"/>
  <c r="AU255" i="41" s="1"/>
  <c r="AW255" i="41" s="1"/>
  <c r="AB256" i="41"/>
  <c r="AU256" i="41" s="1"/>
  <c r="AW256" i="41" s="1"/>
  <c r="AB257" i="41"/>
  <c r="AU257" i="41" s="1"/>
  <c r="AW257" i="41" s="1"/>
  <c r="AU258" i="41"/>
  <c r="AW258" i="41" s="1"/>
  <c r="AB259" i="41"/>
  <c r="AU259" i="41" s="1"/>
  <c r="AW259" i="41" s="1"/>
  <c r="AB260" i="41"/>
  <c r="AU260" i="41" s="1"/>
  <c r="AW260" i="41" s="1"/>
  <c r="AB261" i="41"/>
  <c r="AU261" i="41" s="1"/>
  <c r="AW261" i="41" s="1"/>
  <c r="AU262" i="41"/>
  <c r="AW262" i="41" s="1"/>
  <c r="AB263" i="41"/>
  <c r="AU263" i="41" s="1"/>
  <c r="AW263" i="41" s="1"/>
  <c r="AB264" i="41"/>
  <c r="AU264" i="41" s="1"/>
  <c r="AW264" i="41" s="1"/>
  <c r="AB265" i="41"/>
  <c r="AU265" i="41" s="1"/>
  <c r="AW265" i="41" s="1"/>
  <c r="AB266" i="41"/>
  <c r="AU266" i="41" s="1"/>
  <c r="AW266" i="41" s="1"/>
  <c r="AB268" i="41"/>
  <c r="AU268" i="41" s="1"/>
  <c r="AW268" i="41" s="1"/>
  <c r="AU269" i="41"/>
  <c r="AW269" i="41" s="1"/>
  <c r="AB240" i="41"/>
  <c r="AR222" i="41"/>
  <c r="AR223" i="41"/>
  <c r="AR224" i="41"/>
  <c r="AR225" i="41"/>
  <c r="AR226" i="41"/>
  <c r="AR227" i="41"/>
  <c r="AR228" i="41"/>
  <c r="AR229" i="41"/>
  <c r="AR230" i="41"/>
  <c r="AR231" i="41"/>
  <c r="AR232" i="41"/>
  <c r="AR233" i="41"/>
  <c r="AR234" i="41"/>
  <c r="AR235" i="41"/>
  <c r="AR236" i="41"/>
  <c r="AR237" i="41"/>
  <c r="AR238" i="41"/>
  <c r="AR239" i="41"/>
  <c r="AR240" i="41"/>
  <c r="AR241" i="41"/>
  <c r="AR242" i="41"/>
  <c r="AR243" i="41"/>
  <c r="AR244" i="41"/>
  <c r="AR245" i="41"/>
  <c r="AS227" i="41"/>
  <c r="AB223" i="41"/>
  <c r="AB224" i="41"/>
  <c r="AB225" i="41"/>
  <c r="AB226" i="41"/>
  <c r="AB227" i="41"/>
  <c r="AB228" i="41"/>
  <c r="AB229" i="41"/>
  <c r="AB230" i="41"/>
  <c r="AB231" i="41"/>
  <c r="AB234" i="41"/>
  <c r="AB235" i="41"/>
  <c r="AB236" i="41"/>
  <c r="AB237" i="41"/>
  <c r="AB238" i="41"/>
  <c r="AB241" i="41"/>
  <c r="AB242" i="41"/>
  <c r="AB243" i="41"/>
  <c r="AB244" i="41"/>
  <c r="AB245" i="41"/>
  <c r="AY223" i="41"/>
  <c r="AY224" i="41"/>
  <c r="AY225" i="41"/>
  <c r="AY226" i="41"/>
  <c r="AY227" i="41"/>
  <c r="AY228" i="41"/>
  <c r="AY229" i="41"/>
  <c r="AY230" i="41"/>
  <c r="AY231" i="41"/>
  <c r="AY232" i="41"/>
  <c r="AY233" i="41"/>
  <c r="AY234" i="41"/>
  <c r="AY235" i="41"/>
  <c r="AY236" i="41"/>
  <c r="AY237" i="41"/>
  <c r="AY238" i="41"/>
  <c r="AY239" i="41"/>
  <c r="AY240" i="41"/>
  <c r="AY241" i="41"/>
  <c r="AY242" i="41"/>
  <c r="AY243" i="41"/>
  <c r="AY244" i="41"/>
  <c r="AY245" i="41"/>
  <c r="AF119" i="43"/>
  <c r="AB120" i="43"/>
  <c r="AA119" i="43"/>
  <c r="Y119" i="43"/>
  <c r="V120" i="43"/>
  <c r="AH119" i="43"/>
  <c r="AJ119" i="43"/>
  <c r="AF120" i="43"/>
  <c r="M24" i="43"/>
  <c r="L24" i="43"/>
  <c r="X119" i="43"/>
  <c r="K24" i="43"/>
  <c r="AC119" i="43"/>
  <c r="Z120" i="43"/>
  <c r="AJ120" i="43"/>
  <c r="AD120" i="43"/>
  <c r="AH120" i="43"/>
  <c r="Z119" i="43"/>
  <c r="X120" i="43"/>
  <c r="AG119" i="43"/>
  <c r="V119" i="43"/>
  <c r="R24" i="43"/>
  <c r="P24" i="43"/>
  <c r="O24" i="43"/>
  <c r="AC120" i="43"/>
  <c r="Q24" i="43"/>
  <c r="AI119" i="43"/>
  <c r="AI120" i="43"/>
  <c r="AA120" i="43"/>
  <c r="Y120" i="43"/>
  <c r="W120" i="43"/>
  <c r="W119" i="43"/>
  <c r="N24" i="43"/>
  <c r="AE120" i="43"/>
  <c r="AB119" i="43"/>
  <c r="AG120" i="43"/>
  <c r="AE119" i="43"/>
  <c r="AD119" i="43"/>
  <c r="AY222" i="41" l="1"/>
  <c r="AS222" i="41"/>
  <c r="AS223" i="41"/>
  <c r="AS224" i="41"/>
  <c r="AS225" i="41"/>
  <c r="AS226" i="41"/>
  <c r="AS228" i="41"/>
  <c r="AS229" i="41"/>
  <c r="AS230" i="41"/>
  <c r="AS231" i="41"/>
  <c r="AS232" i="41"/>
  <c r="AS233" i="41"/>
  <c r="AS234" i="41"/>
  <c r="AS235" i="41"/>
  <c r="AS236" i="41"/>
  <c r="AS237" i="41"/>
  <c r="AS238" i="41"/>
  <c r="AS239" i="41"/>
  <c r="AS240" i="41"/>
  <c r="AS241" i="41"/>
  <c r="AS242" i="41"/>
  <c r="AS243" i="41"/>
  <c r="AS244" i="41"/>
  <c r="AS245" i="41"/>
  <c r="AT222" i="41"/>
  <c r="AT224" i="41"/>
  <c r="AT225" i="41"/>
  <c r="AT226" i="41"/>
  <c r="AT227" i="41"/>
  <c r="AT228" i="41"/>
  <c r="AT229" i="41"/>
  <c r="AT230" i="41"/>
  <c r="AT231" i="41"/>
  <c r="AT232" i="41"/>
  <c r="AT233" i="41"/>
  <c r="AT234" i="41"/>
  <c r="AT235" i="41"/>
  <c r="AT236" i="41"/>
  <c r="AT237" i="41"/>
  <c r="AT238" i="41"/>
  <c r="AT239" i="41"/>
  <c r="AT240" i="41"/>
  <c r="AT241" i="41"/>
  <c r="AT242" i="41"/>
  <c r="AT243" i="41"/>
  <c r="AT244" i="41"/>
  <c r="AT245" i="41"/>
  <c r="AU243" i="41"/>
  <c r="AW243" i="41" s="1"/>
  <c r="AU225" i="41"/>
  <c r="AW225" i="41" s="1"/>
  <c r="AU222" i="41"/>
  <c r="AW222" i="41" s="1"/>
  <c r="AU223" i="41"/>
  <c r="AW223" i="41" s="1"/>
  <c r="AU224" i="41"/>
  <c r="AW224" i="41" s="1"/>
  <c r="AU226" i="41"/>
  <c r="AW226" i="41" s="1"/>
  <c r="AU227" i="41"/>
  <c r="AW227" i="41" s="1"/>
  <c r="AU228" i="41"/>
  <c r="AW228" i="41" s="1"/>
  <c r="AU229" i="41"/>
  <c r="AW229" i="41" s="1"/>
  <c r="AU230" i="41"/>
  <c r="AW230" i="41" s="1"/>
  <c r="AU231" i="41"/>
  <c r="AW231" i="41" s="1"/>
  <c r="AU232" i="41"/>
  <c r="AW232" i="41" s="1"/>
  <c r="AU233" i="41"/>
  <c r="AW233" i="41" s="1"/>
  <c r="AU234" i="41"/>
  <c r="AW234" i="41" s="1"/>
  <c r="AU235" i="41"/>
  <c r="AW235" i="41" s="1"/>
  <c r="AU236" i="41"/>
  <c r="AW236" i="41" s="1"/>
  <c r="AU237" i="41"/>
  <c r="AW237" i="41" s="1"/>
  <c r="AU238" i="41"/>
  <c r="AW238" i="41" s="1"/>
  <c r="AU239" i="41"/>
  <c r="AW239" i="41" s="1"/>
  <c r="AU240" i="41"/>
  <c r="AW240" i="41" s="1"/>
  <c r="AU241" i="41"/>
  <c r="AW241" i="41" s="1"/>
  <c r="AU242" i="41"/>
  <c r="AW242" i="41" s="1"/>
  <c r="AU244" i="41"/>
  <c r="AW244" i="41" s="1"/>
  <c r="AU245" i="41"/>
  <c r="AW245" i="41" s="1"/>
  <c r="AB2" i="41" l="1"/>
  <c r="AB57" i="36"/>
  <c r="AB38" i="36"/>
  <c r="AB179" i="41" l="1"/>
  <c r="AU179" i="41" s="1"/>
  <c r="AW179" i="41" s="1"/>
  <c r="AB3" i="41"/>
  <c r="AU3" i="41" s="1"/>
  <c r="AW3" i="41" s="1"/>
  <c r="AB4" i="41"/>
  <c r="AU4" i="41" s="1"/>
  <c r="AW4" i="41" s="1"/>
  <c r="AB5" i="41"/>
  <c r="AU5" i="41" s="1"/>
  <c r="AW5" i="41" s="1"/>
  <c r="AB6" i="41"/>
  <c r="AU6" i="41" s="1"/>
  <c r="AW6" i="41" s="1"/>
  <c r="AB7" i="41"/>
  <c r="AU7" i="41" s="1"/>
  <c r="AW7" i="41" s="1"/>
  <c r="AB8" i="41"/>
  <c r="AU8" i="41" s="1"/>
  <c r="AW8" i="41" s="1"/>
  <c r="AB9" i="41"/>
  <c r="AU9" i="41" s="1"/>
  <c r="AW9" i="41" s="1"/>
  <c r="AB10" i="41"/>
  <c r="AU10" i="41" s="1"/>
  <c r="AW10" i="41" s="1"/>
  <c r="AB11" i="41"/>
  <c r="AU11" i="41" s="1"/>
  <c r="AW11" i="41" s="1"/>
  <c r="AB12" i="41"/>
  <c r="AU12" i="41" s="1"/>
  <c r="AW12" i="41" s="1"/>
  <c r="AB13" i="41"/>
  <c r="AU13" i="41" s="1"/>
  <c r="AW13" i="41" s="1"/>
  <c r="AB14" i="41"/>
  <c r="AU14" i="41" s="1"/>
  <c r="AW14" i="41" s="1"/>
  <c r="AB15" i="41"/>
  <c r="AU15" i="41" s="1"/>
  <c r="AW15" i="41" s="1"/>
  <c r="AB16" i="41"/>
  <c r="AU16" i="41" s="1"/>
  <c r="AW16" i="41" s="1"/>
  <c r="AB17" i="41"/>
  <c r="AU17" i="41" s="1"/>
  <c r="AW17" i="41" s="1"/>
  <c r="AB18" i="41"/>
  <c r="AU18" i="41" s="1"/>
  <c r="AW18" i="41" s="1"/>
  <c r="AU19" i="41"/>
  <c r="AW19" i="41" s="1"/>
  <c r="AU20" i="41"/>
  <c r="AW20" i="41" s="1"/>
  <c r="AU21" i="41"/>
  <c r="AB23" i="41"/>
  <c r="AU23" i="41" s="1"/>
  <c r="AW23" i="41" s="1"/>
  <c r="AB24" i="41"/>
  <c r="AU24" i="41" s="1"/>
  <c r="AW24" i="41" s="1"/>
  <c r="AB25" i="41"/>
  <c r="AU25" i="41" s="1"/>
  <c r="AB26" i="41"/>
  <c r="AU26" i="41" s="1"/>
  <c r="AW26" i="41" s="1"/>
  <c r="AB27" i="41"/>
  <c r="AU27" i="41" s="1"/>
  <c r="AW27" i="41" s="1"/>
  <c r="AB28" i="41"/>
  <c r="AU28" i="41" s="1"/>
  <c r="AW28" i="41" s="1"/>
  <c r="AB29" i="41"/>
  <c r="AU29" i="41" s="1"/>
  <c r="AB30" i="41"/>
  <c r="AU30" i="41" s="1"/>
  <c r="AW30" i="41" s="1"/>
  <c r="AB31" i="41"/>
  <c r="AU31" i="41" s="1"/>
  <c r="AW31" i="41" s="1"/>
  <c r="AB32" i="41"/>
  <c r="AU32" i="41" s="1"/>
  <c r="AB33" i="41"/>
  <c r="AU33" i="41" s="1"/>
  <c r="AW33" i="41" s="1"/>
  <c r="AB34" i="41"/>
  <c r="AU34" i="41" s="1"/>
  <c r="AW34" i="41" s="1"/>
  <c r="AB35" i="41"/>
  <c r="AU35" i="41" s="1"/>
  <c r="AW35" i="41" s="1"/>
  <c r="AB36" i="41"/>
  <c r="AU36" i="41" s="1"/>
  <c r="AW36" i="41" s="1"/>
  <c r="AB37" i="41"/>
  <c r="AU37" i="41" s="1"/>
  <c r="AW37" i="41" s="1"/>
  <c r="AB38" i="41"/>
  <c r="AU38" i="41" s="1"/>
  <c r="AW38" i="41" s="1"/>
  <c r="AB39" i="41"/>
  <c r="AU39" i="41" s="1"/>
  <c r="AW39" i="41" s="1"/>
  <c r="AB40" i="41"/>
  <c r="AU40" i="41" s="1"/>
  <c r="AW40" i="41" s="1"/>
  <c r="AB41" i="41"/>
  <c r="AU41" i="41" s="1"/>
  <c r="AB42" i="41"/>
  <c r="AU42" i="41" s="1"/>
  <c r="AW42" i="41" s="1"/>
  <c r="AB43" i="41"/>
  <c r="AU43" i="41" s="1"/>
  <c r="AB44" i="41"/>
  <c r="AU44" i="41" s="1"/>
  <c r="AW44" i="41" s="1"/>
  <c r="AB45" i="41"/>
  <c r="AU45" i="41" s="1"/>
  <c r="AW45" i="41" s="1"/>
  <c r="AU46" i="41"/>
  <c r="AW46" i="41" s="1"/>
  <c r="AB47" i="41"/>
  <c r="AU47" i="41" s="1"/>
  <c r="AB48" i="41"/>
  <c r="AU48" i="41" s="1"/>
  <c r="AW48" i="41" s="1"/>
  <c r="AB49" i="41"/>
  <c r="AU49" i="41" s="1"/>
  <c r="AW49" i="41" s="1"/>
  <c r="AB50" i="41"/>
  <c r="AU50" i="41" s="1"/>
  <c r="AW50" i="41" s="1"/>
  <c r="AB51" i="41"/>
  <c r="AU51" i="41" s="1"/>
  <c r="AB52" i="41"/>
  <c r="AU52" i="41" s="1"/>
  <c r="AW52" i="41" s="1"/>
  <c r="AB53" i="41"/>
  <c r="AU53" i="41" s="1"/>
  <c r="AW53" i="41" s="1"/>
  <c r="AB54" i="41"/>
  <c r="AU54" i="41" s="1"/>
  <c r="AW54" i="41" s="1"/>
  <c r="AB55" i="41"/>
  <c r="AU55" i="41" s="1"/>
  <c r="AB56" i="41"/>
  <c r="AU56" i="41" s="1"/>
  <c r="AW56" i="41" s="1"/>
  <c r="AB57" i="41"/>
  <c r="AU57" i="41" s="1"/>
  <c r="AW57" i="41" s="1"/>
  <c r="AB58" i="41"/>
  <c r="AU58" i="41" s="1"/>
  <c r="AW58" i="41" s="1"/>
  <c r="AB59" i="41"/>
  <c r="AU59" i="41" s="1"/>
  <c r="AW59" i="41" s="1"/>
  <c r="AB60" i="41"/>
  <c r="AU60" i="41" s="1"/>
  <c r="AW60" i="41" s="1"/>
  <c r="AB61" i="41"/>
  <c r="AU61" i="41" s="1"/>
  <c r="AW61" i="41" s="1"/>
  <c r="AB62" i="41"/>
  <c r="AU62" i="41" s="1"/>
  <c r="AW62" i="41" s="1"/>
  <c r="AB63" i="41"/>
  <c r="AU63" i="41" s="1"/>
  <c r="AW63" i="41" s="1"/>
  <c r="AB64" i="41"/>
  <c r="AU64" i="41" s="1"/>
  <c r="AW64" i="41" s="1"/>
  <c r="AB65" i="41"/>
  <c r="AU65" i="41" s="1"/>
  <c r="AW65" i="41" s="1"/>
  <c r="AU66" i="41"/>
  <c r="AW66" i="41" s="1"/>
  <c r="AB67" i="41"/>
  <c r="AU67" i="41" s="1"/>
  <c r="AW67" i="41" s="1"/>
  <c r="AB68" i="41"/>
  <c r="AU68" i="41" s="1"/>
  <c r="AW68" i="41" s="1"/>
  <c r="AB69" i="41"/>
  <c r="AU69" i="41" s="1"/>
  <c r="AB70" i="41"/>
  <c r="AU70" i="41" s="1"/>
  <c r="AW70" i="41" s="1"/>
  <c r="AB71" i="41"/>
  <c r="AU71" i="41" s="1"/>
  <c r="AW71" i="41" s="1"/>
  <c r="AB72" i="41"/>
  <c r="AU72" i="41" s="1"/>
  <c r="AW72" i="41" s="1"/>
  <c r="AB73" i="41"/>
  <c r="AU73" i="41" s="1"/>
  <c r="AW73" i="41" s="1"/>
  <c r="AB74" i="41"/>
  <c r="AU74" i="41" s="1"/>
  <c r="AW74" i="41" s="1"/>
  <c r="AB75" i="41"/>
  <c r="AU75" i="41" s="1"/>
  <c r="AB76" i="41"/>
  <c r="AU76" i="41" s="1"/>
  <c r="AW76" i="41" s="1"/>
  <c r="AB77" i="41"/>
  <c r="AU77" i="41" s="1"/>
  <c r="AW77" i="41" s="1"/>
  <c r="AB78" i="41"/>
  <c r="AU78" i="41" s="1"/>
  <c r="AW78" i="41" s="1"/>
  <c r="AB79" i="41"/>
  <c r="AU79" i="41" s="1"/>
  <c r="AB80" i="41"/>
  <c r="AU80" i="41" s="1"/>
  <c r="AW80" i="41" s="1"/>
  <c r="AB81" i="41"/>
  <c r="AU81" i="41" s="1"/>
  <c r="AW81" i="41" s="1"/>
  <c r="AB82" i="41"/>
  <c r="AU82" i="41" s="1"/>
  <c r="AW82" i="41" s="1"/>
  <c r="AB83" i="41"/>
  <c r="AU83" i="41" s="1"/>
  <c r="AW83" i="41" s="1"/>
  <c r="AB84" i="41"/>
  <c r="AU84" i="41" s="1"/>
  <c r="AW84" i="41" s="1"/>
  <c r="AB85" i="41"/>
  <c r="AU85" i="41" s="1"/>
  <c r="AW85" i="41" s="1"/>
  <c r="AB86" i="41"/>
  <c r="AU86" i="41" s="1"/>
  <c r="AW86" i="41" s="1"/>
  <c r="AB87" i="41"/>
  <c r="AU87" i="41" s="1"/>
  <c r="AW87" i="41" s="1"/>
  <c r="AB88" i="41"/>
  <c r="AU88" i="41" s="1"/>
  <c r="AW88" i="41" s="1"/>
  <c r="AB89" i="41"/>
  <c r="AU89" i="41" s="1"/>
  <c r="AW89" i="41" s="1"/>
  <c r="AB90" i="41"/>
  <c r="AU90" i="41" s="1"/>
  <c r="AW90" i="41" s="1"/>
  <c r="AB91" i="41"/>
  <c r="AU91" i="41" s="1"/>
  <c r="AW91" i="41" s="1"/>
  <c r="AB92" i="41"/>
  <c r="AU92" i="41" s="1"/>
  <c r="AW92" i="41" s="1"/>
  <c r="AB93" i="41"/>
  <c r="AU93" i="41" s="1"/>
  <c r="AW93" i="41" s="1"/>
  <c r="AB94" i="41"/>
  <c r="AU94" i="41" s="1"/>
  <c r="AW94" i="41" s="1"/>
  <c r="AB95" i="41"/>
  <c r="AU95" i="41" s="1"/>
  <c r="AW95" i="41" s="1"/>
  <c r="AB96" i="41"/>
  <c r="AU96" i="41" s="1"/>
  <c r="AW96" i="41" s="1"/>
  <c r="AB97" i="41"/>
  <c r="AU97" i="41" s="1"/>
  <c r="AW97" i="41" s="1"/>
  <c r="AB98" i="41"/>
  <c r="AU98" i="41" s="1"/>
  <c r="AW98" i="41" s="1"/>
  <c r="AB99" i="41"/>
  <c r="AU99" i="41" s="1"/>
  <c r="AB100" i="41"/>
  <c r="AU100" i="41" s="1"/>
  <c r="AW100" i="41" s="1"/>
  <c r="AB101" i="41"/>
  <c r="AU101" i="41" s="1"/>
  <c r="AW101" i="41" s="1"/>
  <c r="AB102" i="41"/>
  <c r="AU102" i="41" s="1"/>
  <c r="AW102" i="41" s="1"/>
  <c r="AU103" i="41"/>
  <c r="AB104" i="41"/>
  <c r="AU104" i="41" s="1"/>
  <c r="AW104" i="41" s="1"/>
  <c r="AB105" i="41"/>
  <c r="AU105" i="41" s="1"/>
  <c r="AW105" i="41" s="1"/>
  <c r="AB106" i="41"/>
  <c r="AU106" i="41" s="1"/>
  <c r="AW106" i="41" s="1"/>
  <c r="AB107" i="41"/>
  <c r="AU107" i="41" s="1"/>
  <c r="AW107" i="41" s="1"/>
  <c r="AB108" i="41"/>
  <c r="AU108" i="41" s="1"/>
  <c r="AW108" i="41" s="1"/>
  <c r="AB109" i="41"/>
  <c r="AU109" i="41" s="1"/>
  <c r="AW109" i="41" s="1"/>
  <c r="AB110" i="41"/>
  <c r="AU110" i="41" s="1"/>
  <c r="AW110" i="41" s="1"/>
  <c r="AB111" i="41"/>
  <c r="AU111" i="41" s="1"/>
  <c r="AW111" i="41" s="1"/>
  <c r="AB112" i="41"/>
  <c r="AU112" i="41" s="1"/>
  <c r="AW112" i="41" s="1"/>
  <c r="AB113" i="41"/>
  <c r="AU113" i="41" s="1"/>
  <c r="AW113" i="41" s="1"/>
  <c r="AB114" i="41"/>
  <c r="AU114" i="41" s="1"/>
  <c r="AW114" i="41" s="1"/>
  <c r="AB115" i="41"/>
  <c r="AU115" i="41" s="1"/>
  <c r="AW115" i="41" s="1"/>
  <c r="AB116" i="41"/>
  <c r="AU116" i="41" s="1"/>
  <c r="AW116" i="41" s="1"/>
  <c r="AB117" i="41"/>
  <c r="AU117" i="41" s="1"/>
  <c r="AW117" i="41" s="1"/>
  <c r="AB118" i="41"/>
  <c r="AU118" i="41" s="1"/>
  <c r="AW118" i="41" s="1"/>
  <c r="AB119" i="41"/>
  <c r="AU119" i="41" s="1"/>
  <c r="AW119" i="41" s="1"/>
  <c r="AB120" i="41"/>
  <c r="AU120" i="41" s="1"/>
  <c r="AW120" i="41" s="1"/>
  <c r="AB121" i="41"/>
  <c r="AU121" i="41" s="1"/>
  <c r="AW121" i="41" s="1"/>
  <c r="AB122" i="41"/>
  <c r="AU122" i="41" s="1"/>
  <c r="AW122" i="41" s="1"/>
  <c r="AB123" i="41"/>
  <c r="AU123" i="41" s="1"/>
  <c r="AW123" i="41" s="1"/>
  <c r="AB124" i="41"/>
  <c r="AU124" i="41" s="1"/>
  <c r="AW124" i="41" s="1"/>
  <c r="AB125" i="41"/>
  <c r="AU125" i="41" s="1"/>
  <c r="AW125" i="41" s="1"/>
  <c r="AB126" i="41"/>
  <c r="AU126" i="41" s="1"/>
  <c r="AW126" i="41" s="1"/>
  <c r="AB127" i="41"/>
  <c r="AU127" i="41" s="1"/>
  <c r="AB128" i="41"/>
  <c r="AU128" i="41" s="1"/>
  <c r="AW128" i="41" s="1"/>
  <c r="AB129" i="41"/>
  <c r="AU129" i="41" s="1"/>
  <c r="AW129" i="41" s="1"/>
  <c r="AB130" i="41"/>
  <c r="AU130" i="41" s="1"/>
  <c r="AW130" i="41" s="1"/>
  <c r="AB131" i="41"/>
  <c r="AU131" i="41" s="1"/>
  <c r="AW131" i="41" s="1"/>
  <c r="AB132" i="41"/>
  <c r="AU132" i="41" s="1"/>
  <c r="AW132" i="41" s="1"/>
  <c r="AB133" i="41"/>
  <c r="AU133" i="41" s="1"/>
  <c r="AW133" i="41" s="1"/>
  <c r="AB134" i="41"/>
  <c r="AU134" i="41" s="1"/>
  <c r="AW134" i="41" s="1"/>
  <c r="AB135" i="41"/>
  <c r="AU135" i="41" s="1"/>
  <c r="AW135" i="41" s="1"/>
  <c r="AB136" i="41"/>
  <c r="AU136" i="41" s="1"/>
  <c r="AW136" i="41" s="1"/>
  <c r="AB137" i="41"/>
  <c r="AU137" i="41" s="1"/>
  <c r="AW137" i="41" s="1"/>
  <c r="AB138" i="41"/>
  <c r="AU138" i="41" s="1"/>
  <c r="AW138" i="41" s="1"/>
  <c r="AB139" i="41"/>
  <c r="AU139" i="41" s="1"/>
  <c r="AW139" i="41" s="1"/>
  <c r="AB140" i="41"/>
  <c r="AU140" i="41" s="1"/>
  <c r="AW140" i="41" s="1"/>
  <c r="AB141" i="41"/>
  <c r="AU141" i="41" s="1"/>
  <c r="AW141" i="41" s="1"/>
  <c r="AB142" i="41"/>
  <c r="AU142" i="41" s="1"/>
  <c r="AW142" i="41" s="1"/>
  <c r="AB143" i="41"/>
  <c r="AU143" i="41" s="1"/>
  <c r="AW143" i="41" s="1"/>
  <c r="AB144" i="41"/>
  <c r="AU144" i="41" s="1"/>
  <c r="AW144" i="41" s="1"/>
  <c r="AB145" i="41"/>
  <c r="AU145" i="41" s="1"/>
  <c r="AW145" i="41" s="1"/>
  <c r="AB146" i="41"/>
  <c r="AU146" i="41" s="1"/>
  <c r="AW146" i="41" s="1"/>
  <c r="AB147" i="41"/>
  <c r="AU147" i="41" s="1"/>
  <c r="AW147" i="41" s="1"/>
  <c r="AB148" i="41"/>
  <c r="AU148" i="41" s="1"/>
  <c r="AW148" i="41" s="1"/>
  <c r="AB149" i="41"/>
  <c r="AU149" i="41" s="1"/>
  <c r="AW149" i="41" s="1"/>
  <c r="AB150" i="41"/>
  <c r="AU150" i="41" s="1"/>
  <c r="AW150" i="41" s="1"/>
  <c r="AB151" i="41"/>
  <c r="AU151" i="41" s="1"/>
  <c r="AB152" i="41"/>
  <c r="AU152" i="41" s="1"/>
  <c r="AW152" i="41" s="1"/>
  <c r="AB153" i="41"/>
  <c r="AU153" i="41" s="1"/>
  <c r="AW153" i="41" s="1"/>
  <c r="AB154" i="41"/>
  <c r="AU154" i="41" s="1"/>
  <c r="AW154" i="41" s="1"/>
  <c r="AB155" i="41"/>
  <c r="AU155" i="41" s="1"/>
  <c r="AW155" i="41" s="1"/>
  <c r="AB156" i="41"/>
  <c r="AU156" i="41" s="1"/>
  <c r="AW156" i="41" s="1"/>
  <c r="AB157" i="41"/>
  <c r="AU157" i="41" s="1"/>
  <c r="AW157" i="41" s="1"/>
  <c r="AB158" i="41"/>
  <c r="AU158" i="41" s="1"/>
  <c r="AW158" i="41" s="1"/>
  <c r="AB159" i="41"/>
  <c r="AU159" i="41" s="1"/>
  <c r="AW159" i="41" s="1"/>
  <c r="AB160" i="41"/>
  <c r="AU160" i="41" s="1"/>
  <c r="AW160" i="41" s="1"/>
  <c r="AB161" i="41"/>
  <c r="AU161" i="41" s="1"/>
  <c r="AW161" i="41" s="1"/>
  <c r="AB162" i="41"/>
  <c r="AU162" i="41" s="1"/>
  <c r="AW162" i="41" s="1"/>
  <c r="AB163" i="41"/>
  <c r="AU163" i="41" s="1"/>
  <c r="AW163" i="41" s="1"/>
  <c r="AB164" i="41"/>
  <c r="AU164" i="41" s="1"/>
  <c r="AW164" i="41" s="1"/>
  <c r="AB165" i="41"/>
  <c r="AU165" i="41" s="1"/>
  <c r="AB166" i="41"/>
  <c r="AU166" i="41" s="1"/>
  <c r="AW166" i="41" s="1"/>
  <c r="AB167" i="41"/>
  <c r="AU167" i="41" s="1"/>
  <c r="AW167" i="41" s="1"/>
  <c r="AB168" i="41"/>
  <c r="AU168" i="41" s="1"/>
  <c r="AW168" i="41" s="1"/>
  <c r="AB169" i="41"/>
  <c r="AU169" i="41" s="1"/>
  <c r="AW169" i="41" s="1"/>
  <c r="AB170" i="41"/>
  <c r="AU170" i="41" s="1"/>
  <c r="AW170" i="41" s="1"/>
  <c r="AB171" i="41"/>
  <c r="AU171" i="41" s="1"/>
  <c r="AW171" i="41" s="1"/>
  <c r="AB172" i="41"/>
  <c r="AU172" i="41" s="1"/>
  <c r="AW172" i="41" s="1"/>
  <c r="AB173" i="41"/>
  <c r="AU173" i="41" s="1"/>
  <c r="AW173" i="41" s="1"/>
  <c r="AB174" i="41"/>
  <c r="AU174" i="41" s="1"/>
  <c r="AW174" i="41" s="1"/>
  <c r="AB175" i="41"/>
  <c r="AU175" i="41" s="1"/>
  <c r="AW175" i="41" s="1"/>
  <c r="AB176" i="41"/>
  <c r="AU176" i="41" s="1"/>
  <c r="AW176" i="41" s="1"/>
  <c r="AB177" i="41"/>
  <c r="AU177" i="41" s="1"/>
  <c r="AW177" i="41" s="1"/>
  <c r="AB178" i="41"/>
  <c r="AU178" i="41" s="1"/>
  <c r="AW178" i="41" s="1"/>
  <c r="AB180" i="41"/>
  <c r="AU180" i="41" s="1"/>
  <c r="AW180" i="41" s="1"/>
  <c r="AB181" i="41"/>
  <c r="AU181" i="41" s="1"/>
  <c r="AW181" i="41" s="1"/>
  <c r="AB182" i="41"/>
  <c r="AU182" i="41" s="1"/>
  <c r="AW182" i="41" s="1"/>
  <c r="AB183" i="41"/>
  <c r="AU183" i="41" s="1"/>
  <c r="AW183" i="41" s="1"/>
  <c r="AB184" i="41"/>
  <c r="AU184" i="41" s="1"/>
  <c r="AW184" i="41" s="1"/>
  <c r="AB185" i="41"/>
  <c r="AU185" i="41" s="1"/>
  <c r="AW185" i="41" s="1"/>
  <c r="AB186" i="41"/>
  <c r="AU186" i="41" s="1"/>
  <c r="AW186" i="41" s="1"/>
  <c r="AB187" i="41"/>
  <c r="AU187" i="41" s="1"/>
  <c r="AW187" i="41" s="1"/>
  <c r="AB188" i="41"/>
  <c r="AU188" i="41" s="1"/>
  <c r="AW188" i="41" s="1"/>
  <c r="AB189" i="41"/>
  <c r="AU189" i="41" s="1"/>
  <c r="AW189" i="41" s="1"/>
  <c r="AB190" i="41"/>
  <c r="AU190" i="41" s="1"/>
  <c r="AW190" i="41" s="1"/>
  <c r="AB191" i="41"/>
  <c r="AU191" i="41" s="1"/>
  <c r="AW191" i="41" s="1"/>
  <c r="AB192" i="41"/>
  <c r="AU192" i="41" s="1"/>
  <c r="AW192" i="41" s="1"/>
  <c r="AB193" i="41"/>
  <c r="AU193" i="41" s="1"/>
  <c r="AW193" i="41" s="1"/>
  <c r="AB194" i="41"/>
  <c r="AU194" i="41" s="1"/>
  <c r="AW194" i="41" s="1"/>
  <c r="AB195" i="41"/>
  <c r="AU195" i="41" s="1"/>
  <c r="AW195" i="41" s="1"/>
  <c r="AB196" i="41"/>
  <c r="AU196" i="41" s="1"/>
  <c r="AW196" i="41" s="1"/>
  <c r="AB197" i="41"/>
  <c r="AU197" i="41" s="1"/>
  <c r="AW197" i="41" s="1"/>
  <c r="AB198" i="41"/>
  <c r="AU198" i="41" s="1"/>
  <c r="AW198" i="41" s="1"/>
  <c r="AB199" i="41"/>
  <c r="AU199" i="41" s="1"/>
  <c r="AW199" i="41" s="1"/>
  <c r="AB200" i="41"/>
  <c r="AU200" i="41" s="1"/>
  <c r="AW200" i="41" s="1"/>
  <c r="AB201" i="41"/>
  <c r="AU201" i="41" s="1"/>
  <c r="AW201" i="41" s="1"/>
  <c r="AB202" i="41"/>
  <c r="AU202" i="41" s="1"/>
  <c r="AW202" i="41" s="1"/>
  <c r="AB203" i="41"/>
  <c r="AU203" i="41" s="1"/>
  <c r="AW203" i="41" s="1"/>
  <c r="AB204" i="41"/>
  <c r="AU204" i="41" s="1"/>
  <c r="AW204" i="41" s="1"/>
  <c r="AB205" i="41"/>
  <c r="AU205" i="41" s="1"/>
  <c r="AW205" i="41" s="1"/>
  <c r="AB206" i="41"/>
  <c r="AU206" i="41" s="1"/>
  <c r="AW206" i="41" s="1"/>
  <c r="AB207" i="41"/>
  <c r="AU207" i="41" s="1"/>
  <c r="AW207" i="41" s="1"/>
  <c r="AB208" i="41"/>
  <c r="AU208" i="41" s="1"/>
  <c r="AW208" i="41" s="1"/>
  <c r="AB209" i="41"/>
  <c r="AU209" i="41" s="1"/>
  <c r="AW209" i="41" s="1"/>
  <c r="AB210" i="41"/>
  <c r="AU210" i="41" s="1"/>
  <c r="AW210" i="41" s="1"/>
  <c r="AB211" i="41"/>
  <c r="AU211" i="41" s="1"/>
  <c r="AW211" i="41" s="1"/>
  <c r="AB212" i="41"/>
  <c r="AU212" i="41" s="1"/>
  <c r="AW212" i="41" s="1"/>
  <c r="AB213" i="41"/>
  <c r="AU213" i="41" s="1"/>
  <c r="AW213" i="41" s="1"/>
  <c r="AB214" i="41"/>
  <c r="AU214" i="41" s="1"/>
  <c r="AW214" i="41" s="1"/>
  <c r="AB215" i="41"/>
  <c r="AU215" i="41" s="1"/>
  <c r="AW215" i="41" s="1"/>
  <c r="AB216" i="41"/>
  <c r="AU216" i="41" s="1"/>
  <c r="AW216" i="41" s="1"/>
  <c r="AB217" i="41"/>
  <c r="AU217" i="41" s="1"/>
  <c r="AW217" i="41" s="1"/>
  <c r="AB218" i="41"/>
  <c r="AU218" i="41" s="1"/>
  <c r="AW218" i="41" s="1"/>
  <c r="AU219" i="41"/>
  <c r="AW219" i="41" s="1"/>
  <c r="AB220" i="41"/>
  <c r="AU220" i="41" s="1"/>
  <c r="AW220" i="41" s="1"/>
  <c r="AB221" i="41"/>
  <c r="AU221" i="41" s="1"/>
  <c r="AW221" i="41" s="1"/>
  <c r="AU2" i="41"/>
  <c r="AW2" i="41" s="1"/>
  <c r="AR2" i="41"/>
  <c r="G67" i="43"/>
  <c r="AT21" i="43" l="1"/>
  <c r="AV21" i="43" s="1"/>
  <c r="AT22" i="43"/>
  <c r="AV22" i="43" s="1"/>
  <c r="AT23" i="43"/>
  <c r="AV23" i="43" s="1"/>
  <c r="AT24" i="43"/>
  <c r="AV24" i="43" s="1"/>
  <c r="AT25" i="43"/>
  <c r="AV25" i="43" s="1"/>
  <c r="AT26" i="43"/>
  <c r="AV26" i="43" s="1"/>
  <c r="AT27" i="43"/>
  <c r="AV27" i="43" s="1"/>
  <c r="AT28" i="43"/>
  <c r="AV28" i="43" s="1"/>
  <c r="AT29" i="43"/>
  <c r="AV29" i="43" s="1"/>
  <c r="AT30" i="43"/>
  <c r="AV30" i="43" s="1"/>
  <c r="AT31" i="43"/>
  <c r="AV31" i="43" s="1"/>
  <c r="AT32" i="43"/>
  <c r="AV32" i="43" s="1"/>
  <c r="AT33" i="43"/>
  <c r="AV33" i="43" s="1"/>
  <c r="AT34" i="43"/>
  <c r="AV34" i="43" s="1"/>
  <c r="AT35" i="43"/>
  <c r="AV35" i="43" s="1"/>
  <c r="AT36" i="43"/>
  <c r="AV36" i="43" s="1"/>
  <c r="AT37" i="43"/>
  <c r="AV37" i="43" s="1"/>
  <c r="AT38" i="43"/>
  <c r="AV38" i="43" s="1"/>
  <c r="AT39" i="43"/>
  <c r="AV39" i="43" s="1"/>
  <c r="AT40" i="43"/>
  <c r="AV40" i="43" s="1"/>
  <c r="AT41" i="43"/>
  <c r="AV41" i="43" s="1"/>
  <c r="AT42" i="43"/>
  <c r="AV42" i="43" s="1"/>
  <c r="AT43" i="43"/>
  <c r="AV43" i="43" s="1"/>
  <c r="AT44" i="43"/>
  <c r="AV44" i="43" s="1"/>
  <c r="AT45" i="43"/>
  <c r="AV45" i="43" s="1"/>
  <c r="AT46" i="43"/>
  <c r="AV46" i="43" s="1"/>
  <c r="AT20" i="43"/>
  <c r="AV20" i="43" s="1"/>
  <c r="AS3" i="41"/>
  <c r="AS4" i="41"/>
  <c r="AS5" i="41"/>
  <c r="AS6" i="41"/>
  <c r="AS7" i="41"/>
  <c r="AS8" i="41"/>
  <c r="AS9" i="41"/>
  <c r="AS10" i="41"/>
  <c r="AS11" i="41"/>
  <c r="AS12" i="41"/>
  <c r="AS13" i="41"/>
  <c r="AS14" i="41"/>
  <c r="AS15" i="41"/>
  <c r="AS16" i="41"/>
  <c r="AS17" i="41"/>
  <c r="AS18" i="41"/>
  <c r="AS19" i="41"/>
  <c r="AS20" i="41"/>
  <c r="AS21" i="41"/>
  <c r="AS22" i="41"/>
  <c r="AS23" i="41"/>
  <c r="AS24" i="41"/>
  <c r="AS25" i="41"/>
  <c r="AS26" i="41"/>
  <c r="AS27" i="41"/>
  <c r="AS28" i="41"/>
  <c r="AS29" i="41"/>
  <c r="AS30" i="41"/>
  <c r="AS31" i="41"/>
  <c r="AS32" i="41"/>
  <c r="AS33" i="41"/>
  <c r="AS34" i="41"/>
  <c r="AS35" i="41"/>
  <c r="AS36" i="41"/>
  <c r="AS37" i="41"/>
  <c r="AS38" i="41"/>
  <c r="AS39" i="41"/>
  <c r="AS40" i="41"/>
  <c r="AS41" i="41"/>
  <c r="AS42" i="41"/>
  <c r="AS43" i="41"/>
  <c r="AS44" i="41"/>
  <c r="AS45" i="41"/>
  <c r="AS46" i="41"/>
  <c r="AS47" i="41"/>
  <c r="AS48" i="41"/>
  <c r="AS49" i="41"/>
  <c r="AS50" i="41"/>
  <c r="AS51" i="41"/>
  <c r="AS52" i="41"/>
  <c r="AS53" i="41"/>
  <c r="AS54" i="41"/>
  <c r="AS55" i="41"/>
  <c r="AS56" i="41"/>
  <c r="AS57" i="41"/>
  <c r="AS58" i="41"/>
  <c r="AS59" i="41"/>
  <c r="AS60" i="41"/>
  <c r="AS61" i="41"/>
  <c r="AS62" i="41"/>
  <c r="AS63" i="41"/>
  <c r="AS64" i="41"/>
  <c r="AS65" i="41"/>
  <c r="AS66" i="41"/>
  <c r="AS67" i="41"/>
  <c r="AS68" i="41"/>
  <c r="AS69" i="41"/>
  <c r="AS70" i="41"/>
  <c r="AS71" i="41"/>
  <c r="AS72" i="41"/>
  <c r="AS73" i="41"/>
  <c r="AS74" i="41"/>
  <c r="AS75" i="41"/>
  <c r="AS76" i="41"/>
  <c r="AS77" i="41"/>
  <c r="AS78" i="41"/>
  <c r="AS79" i="41"/>
  <c r="AS80" i="41"/>
  <c r="AS81" i="41"/>
  <c r="AS82" i="41"/>
  <c r="AS83" i="41"/>
  <c r="AS84" i="41"/>
  <c r="AS85" i="41"/>
  <c r="AS86" i="41"/>
  <c r="AS87" i="41"/>
  <c r="AS88" i="41"/>
  <c r="AS89" i="41"/>
  <c r="AS90" i="41"/>
  <c r="AS91" i="41"/>
  <c r="AS92" i="41"/>
  <c r="AS93" i="41"/>
  <c r="AS94" i="41"/>
  <c r="AS95" i="41"/>
  <c r="AS96" i="41"/>
  <c r="AS97" i="41"/>
  <c r="AS98" i="41"/>
  <c r="AS99" i="41"/>
  <c r="AS100" i="41"/>
  <c r="AS101" i="41"/>
  <c r="AS102" i="41"/>
  <c r="AS103" i="41"/>
  <c r="AS104" i="41"/>
  <c r="AS105" i="41"/>
  <c r="AS106" i="41"/>
  <c r="AS107" i="41"/>
  <c r="AS108" i="41"/>
  <c r="AS109" i="41"/>
  <c r="AS110" i="41"/>
  <c r="AS111" i="41"/>
  <c r="AS112" i="41"/>
  <c r="AS113" i="41"/>
  <c r="AS114" i="41"/>
  <c r="AS115" i="41"/>
  <c r="AS116" i="41"/>
  <c r="AS117" i="41"/>
  <c r="AS118" i="41"/>
  <c r="AS119" i="41"/>
  <c r="AS120" i="41"/>
  <c r="AS121" i="41"/>
  <c r="AS122" i="41"/>
  <c r="AS123" i="41"/>
  <c r="AS124" i="41"/>
  <c r="AS125" i="41"/>
  <c r="AS126" i="41"/>
  <c r="AS127" i="41"/>
  <c r="AS128" i="41"/>
  <c r="AS129" i="41"/>
  <c r="AS130" i="41"/>
  <c r="AS131" i="41"/>
  <c r="AS132" i="41"/>
  <c r="AS133" i="41"/>
  <c r="AS134" i="41"/>
  <c r="AS135" i="41"/>
  <c r="AS136" i="41"/>
  <c r="AS137" i="41"/>
  <c r="AS138" i="41"/>
  <c r="AS139" i="41"/>
  <c r="AS140" i="41"/>
  <c r="AS141" i="41"/>
  <c r="AS142" i="41"/>
  <c r="AS143" i="41"/>
  <c r="AS144" i="41"/>
  <c r="AS145" i="41"/>
  <c r="AS146" i="41"/>
  <c r="AS147" i="41"/>
  <c r="AS148" i="41"/>
  <c r="AS149" i="41"/>
  <c r="AS150" i="41"/>
  <c r="AS151" i="41"/>
  <c r="AS152" i="41"/>
  <c r="AS153" i="41"/>
  <c r="AS154" i="41"/>
  <c r="AS155" i="41"/>
  <c r="AS156" i="41"/>
  <c r="AS157" i="41"/>
  <c r="AS158" i="41"/>
  <c r="AS159" i="41"/>
  <c r="AS160" i="41"/>
  <c r="AS161" i="41"/>
  <c r="AS162" i="41"/>
  <c r="AS163" i="41"/>
  <c r="AS164" i="41"/>
  <c r="AS165" i="41"/>
  <c r="AS166" i="41"/>
  <c r="AS167" i="41"/>
  <c r="AS168" i="41"/>
  <c r="AS169" i="41"/>
  <c r="AS170" i="41"/>
  <c r="AS171" i="41"/>
  <c r="AS172" i="41"/>
  <c r="AS173" i="41"/>
  <c r="AS174" i="41"/>
  <c r="AS175" i="41"/>
  <c r="AS176" i="41"/>
  <c r="AS177" i="41"/>
  <c r="AS178" i="41"/>
  <c r="AS179" i="41"/>
  <c r="AS180" i="41"/>
  <c r="AS181" i="41"/>
  <c r="AS182" i="41"/>
  <c r="AS183" i="41"/>
  <c r="AS184" i="41"/>
  <c r="AS185" i="41"/>
  <c r="AS186" i="41"/>
  <c r="AS187" i="41"/>
  <c r="AS188" i="41"/>
  <c r="AS189" i="41"/>
  <c r="AS190" i="41"/>
  <c r="AS191" i="41"/>
  <c r="AS192" i="41"/>
  <c r="AS193" i="41"/>
  <c r="AS194" i="41"/>
  <c r="AS195" i="41"/>
  <c r="AS196" i="41"/>
  <c r="AS197" i="41"/>
  <c r="AS198" i="41"/>
  <c r="AS199" i="41"/>
  <c r="AS200" i="41"/>
  <c r="AS201" i="41"/>
  <c r="AS202" i="41"/>
  <c r="AS203" i="41"/>
  <c r="AS204" i="41"/>
  <c r="AS205" i="41"/>
  <c r="AS206" i="41"/>
  <c r="AS207" i="41"/>
  <c r="AS208" i="41"/>
  <c r="AS209" i="41"/>
  <c r="AS210" i="41"/>
  <c r="AS211" i="41"/>
  <c r="AS212" i="41"/>
  <c r="AS213" i="41"/>
  <c r="AS214" i="41"/>
  <c r="AS215" i="41"/>
  <c r="AS216" i="41"/>
  <c r="AS217" i="41"/>
  <c r="AS218" i="41"/>
  <c r="AS219" i="41"/>
  <c r="AS220" i="41"/>
  <c r="AS221" i="41"/>
  <c r="AS2" i="41"/>
  <c r="AC14" i="43"/>
  <c r="AT47" i="43" l="1"/>
  <c r="AY198" i="41" l="1"/>
  <c r="AY199" i="41"/>
  <c r="AY200" i="41"/>
  <c r="AY201" i="41"/>
  <c r="AY202" i="41"/>
  <c r="AY203" i="41"/>
  <c r="AY204" i="41"/>
  <c r="AY205" i="41"/>
  <c r="AY206" i="41"/>
  <c r="AY207" i="41"/>
  <c r="AY208" i="41"/>
  <c r="AY209" i="41"/>
  <c r="AY210" i="41"/>
  <c r="AY211" i="41"/>
  <c r="AY212" i="41"/>
  <c r="AY213" i="41"/>
  <c r="AY214" i="41"/>
  <c r="AY215" i="41"/>
  <c r="AY216" i="41"/>
  <c r="AY217" i="41"/>
  <c r="AY218" i="41"/>
  <c r="AY219" i="41"/>
  <c r="AY220" i="41"/>
  <c r="AY221" i="41"/>
  <c r="AR198" i="41"/>
  <c r="AT198" i="41" s="1"/>
  <c r="AR199" i="41"/>
  <c r="AT199" i="41" s="1"/>
  <c r="AR200" i="41"/>
  <c r="AT200" i="41" s="1"/>
  <c r="AR201" i="41"/>
  <c r="AT201" i="41" s="1"/>
  <c r="AR202" i="41"/>
  <c r="AT202" i="41" s="1"/>
  <c r="AR203" i="41"/>
  <c r="AT203" i="41" s="1"/>
  <c r="AR204" i="41"/>
  <c r="AT204" i="41" s="1"/>
  <c r="AR205" i="41"/>
  <c r="AT205" i="41" s="1"/>
  <c r="AR206" i="41"/>
  <c r="AT206" i="41" s="1"/>
  <c r="AR207" i="41"/>
  <c r="AT207" i="41" s="1"/>
  <c r="AR208" i="41"/>
  <c r="AT208" i="41" s="1"/>
  <c r="AR209" i="41"/>
  <c r="AT209" i="41" s="1"/>
  <c r="AR210" i="41"/>
  <c r="AT210" i="41" s="1"/>
  <c r="AR211" i="41"/>
  <c r="AT211" i="41" s="1"/>
  <c r="AR212" i="41"/>
  <c r="AT212" i="41" s="1"/>
  <c r="AR213" i="41"/>
  <c r="AT213" i="41" s="1"/>
  <c r="AR214" i="41"/>
  <c r="AT214" i="41" s="1"/>
  <c r="AR215" i="41"/>
  <c r="AT215" i="41" s="1"/>
  <c r="AR216" i="41"/>
  <c r="AT216" i="41" s="1"/>
  <c r="AR217" i="41"/>
  <c r="AT217" i="41" s="1"/>
  <c r="AR218" i="41"/>
  <c r="AT218" i="41" s="1"/>
  <c r="AR219" i="41"/>
  <c r="AT219" i="41" s="1"/>
  <c r="AR220" i="41"/>
  <c r="AT220" i="41" s="1"/>
  <c r="AR221" i="41"/>
  <c r="AT221" i="41" s="1"/>
  <c r="AT2" i="41" l="1"/>
  <c r="AG14" i="43"/>
  <c r="AD10" i="43"/>
  <c r="AG10" i="43"/>
  <c r="AF14" i="43"/>
  <c r="AE14" i="43"/>
  <c r="AH14" i="43"/>
  <c r="AJ10" i="43"/>
  <c r="AE10" i="43"/>
  <c r="AJ14" i="43"/>
  <c r="AD14" i="43"/>
  <c r="AI10" i="43"/>
  <c r="AF10" i="43"/>
  <c r="AH10" i="43"/>
  <c r="AC10" i="43"/>
  <c r="AI14" i="43"/>
  <c r="E23" i="36"/>
  <c r="AR3" i="41" l="1"/>
  <c r="AR4" i="41"/>
  <c r="AR5" i="41"/>
  <c r="AR6" i="41"/>
  <c r="AR7" i="41"/>
  <c r="AR8" i="41"/>
  <c r="AT8" i="41" s="1"/>
  <c r="AR9" i="41"/>
  <c r="AR10" i="41"/>
  <c r="AR11" i="41"/>
  <c r="AR12" i="41"/>
  <c r="AR13" i="41"/>
  <c r="AR14" i="41"/>
  <c r="AR15" i="41"/>
  <c r="AR16" i="41"/>
  <c r="AR17" i="41"/>
  <c r="AR18" i="41"/>
  <c r="AR19" i="41"/>
  <c r="AR20" i="41"/>
  <c r="AR21" i="41"/>
  <c r="AR22" i="41"/>
  <c r="AR23" i="41"/>
  <c r="AR24" i="41"/>
  <c r="AR25" i="41"/>
  <c r="AR26" i="41"/>
  <c r="AR27" i="41"/>
  <c r="AR28" i="41"/>
  <c r="AR29" i="41"/>
  <c r="AR30" i="41"/>
  <c r="AR31" i="41"/>
  <c r="AR32" i="41"/>
  <c r="AR33" i="41"/>
  <c r="AR34" i="41"/>
  <c r="AR35" i="41"/>
  <c r="AR36" i="41"/>
  <c r="AR37" i="41"/>
  <c r="AR38" i="41"/>
  <c r="AR39" i="41"/>
  <c r="AR40" i="41"/>
  <c r="AR41" i="41"/>
  <c r="AR42" i="41"/>
  <c r="AR43" i="41"/>
  <c r="AR44" i="41"/>
  <c r="AR45" i="41"/>
  <c r="AR46" i="41"/>
  <c r="AR47" i="41"/>
  <c r="AR48" i="41"/>
  <c r="AR49" i="41"/>
  <c r="AR50" i="41"/>
  <c r="AR52" i="41"/>
  <c r="AR53" i="41"/>
  <c r="AR54" i="41"/>
  <c r="AR55" i="41"/>
  <c r="AR56" i="41"/>
  <c r="AR57" i="41"/>
  <c r="AR58" i="41"/>
  <c r="AR59" i="41"/>
  <c r="AR60" i="41"/>
  <c r="AR61" i="41"/>
  <c r="AR62" i="41"/>
  <c r="AR63" i="41"/>
  <c r="AR64" i="41"/>
  <c r="AR65" i="41"/>
  <c r="AR66" i="41"/>
  <c r="AR67" i="41"/>
  <c r="AR68" i="41"/>
  <c r="AR69" i="41"/>
  <c r="AR70" i="41"/>
  <c r="AR71" i="41"/>
  <c r="AR72" i="41"/>
  <c r="AR73" i="41"/>
  <c r="AR74" i="41"/>
  <c r="AR75" i="41"/>
  <c r="AR76" i="41"/>
  <c r="AR77" i="41"/>
  <c r="AR78" i="41"/>
  <c r="AR79" i="41"/>
  <c r="AR80" i="41"/>
  <c r="AR81" i="41"/>
  <c r="AR82" i="41"/>
  <c r="AR83" i="41"/>
  <c r="AR84" i="41"/>
  <c r="AR85" i="41"/>
  <c r="AR86" i="41"/>
  <c r="AR87" i="41"/>
  <c r="AR88" i="41"/>
  <c r="AR89" i="41"/>
  <c r="AR90" i="41"/>
  <c r="AR91" i="41"/>
  <c r="AR92" i="41"/>
  <c r="AR93" i="41"/>
  <c r="AR94" i="41"/>
  <c r="AR95" i="41"/>
  <c r="AR96" i="41"/>
  <c r="AR97" i="41"/>
  <c r="AR98" i="41"/>
  <c r="AR99" i="41"/>
  <c r="AR100" i="41"/>
  <c r="AR101" i="41"/>
  <c r="AR102" i="41"/>
  <c r="AR103" i="41"/>
  <c r="AR104" i="41"/>
  <c r="AR105" i="41"/>
  <c r="AR106" i="41"/>
  <c r="AR107" i="41"/>
  <c r="AR108" i="41"/>
  <c r="AR109" i="41"/>
  <c r="AR110" i="41"/>
  <c r="AR111" i="41"/>
  <c r="AR112" i="41"/>
  <c r="AR113" i="41"/>
  <c r="AR114" i="41"/>
  <c r="AR115" i="41"/>
  <c r="AR116" i="41"/>
  <c r="AR117" i="41"/>
  <c r="AR118" i="41"/>
  <c r="AR119" i="41"/>
  <c r="AR120" i="41"/>
  <c r="AR121" i="41"/>
  <c r="AR122" i="41"/>
  <c r="AR123" i="41"/>
  <c r="AR124" i="41"/>
  <c r="AR125" i="41"/>
  <c r="AR126" i="41"/>
  <c r="AR127" i="41"/>
  <c r="AR128" i="41"/>
  <c r="AR129" i="41"/>
  <c r="AR130" i="41"/>
  <c r="AR131" i="41"/>
  <c r="AR132" i="41"/>
  <c r="AR133" i="41"/>
  <c r="AR134" i="41"/>
  <c r="AR135" i="41"/>
  <c r="AR136" i="41"/>
  <c r="AR137" i="41"/>
  <c r="AR138" i="41"/>
  <c r="AR139" i="41"/>
  <c r="AR140" i="41"/>
  <c r="AR141" i="41"/>
  <c r="AR142" i="41"/>
  <c r="AR143" i="41"/>
  <c r="AR144" i="41"/>
  <c r="AR145" i="41"/>
  <c r="AR146" i="41"/>
  <c r="AR147" i="41"/>
  <c r="AR148" i="41"/>
  <c r="AR149" i="41"/>
  <c r="AR150" i="41"/>
  <c r="AR151" i="41"/>
  <c r="AR152" i="41"/>
  <c r="AR153" i="41"/>
  <c r="AR154" i="41"/>
  <c r="AR155" i="41"/>
  <c r="AR156" i="41"/>
  <c r="AR157" i="41"/>
  <c r="AR158" i="41"/>
  <c r="AR159" i="41"/>
  <c r="AR160" i="41"/>
  <c r="AR161" i="41"/>
  <c r="AR162" i="41"/>
  <c r="AR163" i="41"/>
  <c r="AR164" i="41"/>
  <c r="AR165" i="41"/>
  <c r="AR166" i="41"/>
  <c r="AR167" i="41"/>
  <c r="AR168" i="41"/>
  <c r="AR169" i="41"/>
  <c r="AR170" i="41"/>
  <c r="AR171" i="41"/>
  <c r="AR172" i="41"/>
  <c r="AR173" i="41"/>
  <c r="AR174" i="41"/>
  <c r="AR175" i="41"/>
  <c r="AR176" i="41"/>
  <c r="AR177" i="41"/>
  <c r="AR178" i="41"/>
  <c r="AR179" i="41"/>
  <c r="AR180" i="41"/>
  <c r="AR181" i="41"/>
  <c r="AR182" i="41"/>
  <c r="AR183" i="41"/>
  <c r="AR184" i="41"/>
  <c r="AR185" i="41"/>
  <c r="AR186" i="41"/>
  <c r="AR187" i="41"/>
  <c r="AR188" i="41"/>
  <c r="AR189" i="41"/>
  <c r="AR190" i="41"/>
  <c r="AR191" i="41"/>
  <c r="AR192" i="41"/>
  <c r="AR193" i="41"/>
  <c r="AR194" i="41"/>
  <c r="AR195" i="41"/>
  <c r="AR196" i="41"/>
  <c r="AR197" i="41"/>
  <c r="AY174" i="41"/>
  <c r="AY175" i="41"/>
  <c r="AY176" i="41"/>
  <c r="AY177" i="41"/>
  <c r="AY178" i="41"/>
  <c r="AY179" i="41"/>
  <c r="AY180" i="41"/>
  <c r="AY181" i="41"/>
  <c r="AY182" i="41"/>
  <c r="AY183" i="41"/>
  <c r="AY184" i="41"/>
  <c r="AY185" i="41"/>
  <c r="AY186" i="41"/>
  <c r="AY187" i="41"/>
  <c r="AY188" i="41"/>
  <c r="AY189" i="41"/>
  <c r="AY190" i="41"/>
  <c r="AY191" i="41"/>
  <c r="AY192" i="41"/>
  <c r="AY193" i="41"/>
  <c r="AY194" i="41"/>
  <c r="AY195" i="41"/>
  <c r="AY196" i="41"/>
  <c r="AY197" i="41"/>
  <c r="AT152" i="41" l="1"/>
  <c r="AT56" i="41"/>
  <c r="AT4" i="41"/>
  <c r="AT5" i="41"/>
  <c r="AT6" i="41"/>
  <c r="AT7" i="41"/>
  <c r="AT9" i="41"/>
  <c r="AT10" i="41"/>
  <c r="AT11" i="41"/>
  <c r="AT12" i="41"/>
  <c r="AT14" i="41"/>
  <c r="AT16" i="41"/>
  <c r="AT18" i="41"/>
  <c r="AT19" i="41"/>
  <c r="AT20" i="41"/>
  <c r="AT22" i="41"/>
  <c r="AT23" i="41"/>
  <c r="AT24" i="41"/>
  <c r="AT26" i="41"/>
  <c r="AT27" i="41"/>
  <c r="AT28" i="41"/>
  <c r="AT30" i="41"/>
  <c r="AT31" i="41"/>
  <c r="AT33" i="41"/>
  <c r="AT34" i="41"/>
  <c r="AT35" i="41"/>
  <c r="AT36" i="41"/>
  <c r="AT37" i="41"/>
  <c r="AT38" i="41"/>
  <c r="AT40" i="41"/>
  <c r="AT42" i="41"/>
  <c r="AT44" i="41"/>
  <c r="AT45" i="41"/>
  <c r="AT46" i="41"/>
  <c r="AT48" i="41"/>
  <c r="AT49" i="41"/>
  <c r="AT50" i="41"/>
  <c r="AT52" i="41"/>
  <c r="AT53" i="41"/>
  <c r="AT54" i="41"/>
  <c r="AT57" i="41"/>
  <c r="AT58" i="41"/>
  <c r="AT59" i="41"/>
  <c r="AT60" i="41"/>
  <c r="AT61" i="41"/>
  <c r="AT62" i="41"/>
  <c r="AT63" i="41"/>
  <c r="AT64" i="41"/>
  <c r="AT66" i="41"/>
  <c r="AT67" i="41"/>
  <c r="AT68" i="41"/>
  <c r="AT70" i="41"/>
  <c r="AT71" i="41"/>
  <c r="AT72" i="41"/>
  <c r="AT73" i="41"/>
  <c r="AT74" i="41"/>
  <c r="AT76" i="41"/>
  <c r="AT77" i="41"/>
  <c r="AT78" i="41"/>
  <c r="AT80" i="41"/>
  <c r="AT81" i="41"/>
  <c r="AT82" i="41"/>
  <c r="AT83" i="41"/>
  <c r="AT84" i="41"/>
  <c r="AT85" i="41"/>
  <c r="AT86" i="41"/>
  <c r="AT87" i="41"/>
  <c r="AT88" i="41"/>
  <c r="AT89" i="41"/>
  <c r="AT90" i="41"/>
  <c r="AT91" i="41"/>
  <c r="AT92" i="41"/>
  <c r="AT93" i="41"/>
  <c r="AT94" i="41"/>
  <c r="AT95" i="41"/>
  <c r="AT96" i="41"/>
  <c r="AT97" i="41"/>
  <c r="AT98" i="41"/>
  <c r="AT99" i="41"/>
  <c r="AT100" i="41"/>
  <c r="AT101" i="41"/>
  <c r="AT102" i="41"/>
  <c r="AT104" i="41"/>
  <c r="AT105" i="41"/>
  <c r="AT106" i="41"/>
  <c r="AT107" i="41"/>
  <c r="AT108" i="41"/>
  <c r="AT109" i="41"/>
  <c r="AT110" i="41"/>
  <c r="AT111" i="41"/>
  <c r="AT112" i="41"/>
  <c r="AT114" i="41"/>
  <c r="AT115" i="41"/>
  <c r="AT116" i="41"/>
  <c r="AT117" i="41"/>
  <c r="AT118" i="41"/>
  <c r="AT119" i="41"/>
  <c r="AT120" i="41"/>
  <c r="AT121" i="41"/>
  <c r="AT122" i="41"/>
  <c r="AT123" i="41"/>
  <c r="AT124" i="41"/>
  <c r="AT125" i="41"/>
  <c r="AT126" i="41"/>
  <c r="AT128" i="41"/>
  <c r="AT129" i="41"/>
  <c r="AT130" i="41"/>
  <c r="AT131" i="41"/>
  <c r="AT132" i="41"/>
  <c r="AT133" i="41"/>
  <c r="AT134" i="41"/>
  <c r="AT135" i="41"/>
  <c r="AT136" i="41"/>
  <c r="AT137" i="41"/>
  <c r="AT138" i="41"/>
  <c r="AT139" i="41"/>
  <c r="AT140" i="41"/>
  <c r="AT141" i="41"/>
  <c r="AT142" i="41"/>
  <c r="AT143" i="41"/>
  <c r="AT144" i="41"/>
  <c r="AT145" i="41"/>
  <c r="AT146" i="41"/>
  <c r="AT147" i="41"/>
  <c r="AT148" i="41"/>
  <c r="AT149" i="41"/>
  <c r="AT150" i="41"/>
  <c r="AT153" i="41"/>
  <c r="AT154" i="41"/>
  <c r="AT155" i="41"/>
  <c r="AT156" i="41"/>
  <c r="AT157" i="41"/>
  <c r="AT158" i="41"/>
  <c r="AT159" i="41"/>
  <c r="AT160" i="41"/>
  <c r="AT161" i="41"/>
  <c r="AT162" i="41"/>
  <c r="AT163" i="41"/>
  <c r="AT164" i="41"/>
  <c r="AT165" i="41"/>
  <c r="AT166" i="41"/>
  <c r="AT167" i="41"/>
  <c r="AT168" i="41"/>
  <c r="AT169" i="41"/>
  <c r="AT170" i="41"/>
  <c r="AT171" i="41"/>
  <c r="AT172" i="41"/>
  <c r="AT173" i="41"/>
  <c r="AT174" i="41"/>
  <c r="AT175" i="41"/>
  <c r="AT176" i="41"/>
  <c r="AT177" i="41"/>
  <c r="AT178" i="41"/>
  <c r="AT179" i="41"/>
  <c r="AT180" i="41"/>
  <c r="AT181" i="41"/>
  <c r="AT182" i="41"/>
  <c r="AT183" i="41"/>
  <c r="AT184" i="41"/>
  <c r="AT185" i="41"/>
  <c r="AT186" i="41"/>
  <c r="AT187" i="41"/>
  <c r="AT188" i="41"/>
  <c r="AT189" i="41"/>
  <c r="AT190" i="41"/>
  <c r="AT191" i="41"/>
  <c r="AT192" i="41"/>
  <c r="AT193" i="41"/>
  <c r="AT194" i="41"/>
  <c r="AT195" i="41"/>
  <c r="AT196" i="41"/>
  <c r="AT197" i="41"/>
  <c r="E27" i="36"/>
  <c r="AY150" i="41" l="1"/>
  <c r="AY152" i="41"/>
  <c r="AY153" i="41"/>
  <c r="AY154" i="41"/>
  <c r="AY155" i="41"/>
  <c r="AY156" i="41"/>
  <c r="AY157" i="41"/>
  <c r="AY158" i="41"/>
  <c r="AY159" i="41"/>
  <c r="AY160" i="41"/>
  <c r="AY161" i="41"/>
  <c r="AY162" i="41"/>
  <c r="AY163" i="41"/>
  <c r="AY164" i="41"/>
  <c r="AY165" i="41"/>
  <c r="AY166" i="41"/>
  <c r="AY167" i="41"/>
  <c r="AY168" i="41"/>
  <c r="AY169" i="41"/>
  <c r="AY170" i="41"/>
  <c r="AY171" i="41"/>
  <c r="AY172" i="41"/>
  <c r="AY173" i="41"/>
  <c r="P78" i="36"/>
  <c r="AY4" i="41" l="1"/>
  <c r="AY5" i="41"/>
  <c r="AY6" i="41"/>
  <c r="AY7" i="41"/>
  <c r="AY8" i="41"/>
  <c r="AY9" i="41"/>
  <c r="AY10" i="41"/>
  <c r="AY11" i="41"/>
  <c r="AY12" i="41"/>
  <c r="AY14" i="41"/>
  <c r="AY16" i="41"/>
  <c r="AY17" i="41"/>
  <c r="AY18" i="41"/>
  <c r="AY19" i="41"/>
  <c r="AY20" i="41"/>
  <c r="AY21" i="41"/>
  <c r="AY22" i="41"/>
  <c r="AY23" i="41"/>
  <c r="AY24" i="41"/>
  <c r="AY26" i="41"/>
  <c r="AY27" i="41"/>
  <c r="AY28" i="41"/>
  <c r="AY30" i="41"/>
  <c r="AY31" i="41"/>
  <c r="AY32" i="41"/>
  <c r="AY33" i="41"/>
  <c r="AY34" i="41"/>
  <c r="AY35" i="41"/>
  <c r="AY36" i="41"/>
  <c r="AY37" i="41"/>
  <c r="AY38" i="41"/>
  <c r="AY40" i="41"/>
  <c r="AY42" i="41"/>
  <c r="AY43" i="41"/>
  <c r="AY44" i="41"/>
  <c r="AY45" i="41"/>
  <c r="AY46" i="41"/>
  <c r="AY48" i="41"/>
  <c r="AY49" i="41"/>
  <c r="AY50" i="41"/>
  <c r="AY52" i="41"/>
  <c r="AY53" i="41"/>
  <c r="AY54" i="41"/>
  <c r="AY56" i="41"/>
  <c r="AY57" i="41"/>
  <c r="AY58" i="41"/>
  <c r="AY59" i="41"/>
  <c r="AY60" i="41"/>
  <c r="AY61" i="41"/>
  <c r="AY62" i="41"/>
  <c r="AY63" i="41"/>
  <c r="AY64" i="41"/>
  <c r="AY66" i="41"/>
  <c r="AY67" i="41"/>
  <c r="AY68" i="41"/>
  <c r="AY69" i="41"/>
  <c r="AY70" i="41"/>
  <c r="AY71" i="41"/>
  <c r="AY72" i="41"/>
  <c r="AY73" i="41"/>
  <c r="AY74" i="41"/>
  <c r="AY75" i="41"/>
  <c r="AY76" i="41"/>
  <c r="AY77" i="41"/>
  <c r="AY78" i="41"/>
  <c r="AY80" i="41"/>
  <c r="AY81" i="41"/>
  <c r="AY82" i="41"/>
  <c r="AY83" i="41"/>
  <c r="AY84" i="41"/>
  <c r="AY85" i="41"/>
  <c r="AY86" i="41"/>
  <c r="AY87" i="41"/>
  <c r="AY88" i="41"/>
  <c r="AY89" i="41"/>
  <c r="AY90" i="41"/>
  <c r="AY91" i="41"/>
  <c r="AY92" i="41"/>
  <c r="AY93" i="41"/>
  <c r="AY94" i="41"/>
  <c r="AY95" i="41"/>
  <c r="AY96" i="41"/>
  <c r="AY97" i="41"/>
  <c r="AY98" i="41"/>
  <c r="AY99" i="41"/>
  <c r="AY100" i="41"/>
  <c r="AY101" i="41"/>
  <c r="AY102" i="41"/>
  <c r="AY104" i="41"/>
  <c r="AY105" i="41"/>
  <c r="AY106" i="41"/>
  <c r="AY107" i="41"/>
  <c r="AY108" i="41"/>
  <c r="AY109" i="41"/>
  <c r="AY110" i="41"/>
  <c r="AY111" i="41"/>
  <c r="AY112" i="41"/>
  <c r="AY114" i="41"/>
  <c r="AY115" i="41"/>
  <c r="AY116" i="41"/>
  <c r="AY117" i="41"/>
  <c r="AY118" i="41"/>
  <c r="AY119" i="41"/>
  <c r="AY120" i="41"/>
  <c r="AY121" i="41"/>
  <c r="AY122" i="41"/>
  <c r="AY123" i="41"/>
  <c r="AY124" i="41"/>
  <c r="AY125" i="41"/>
  <c r="AY126" i="41"/>
  <c r="AY128" i="41"/>
  <c r="AY129" i="41"/>
  <c r="AY130" i="41"/>
  <c r="AY131" i="41"/>
  <c r="AY132" i="41"/>
  <c r="AY133" i="41"/>
  <c r="AY134" i="41"/>
  <c r="AY135" i="41"/>
  <c r="AY136" i="41"/>
  <c r="AY137" i="41"/>
  <c r="AY138" i="41"/>
  <c r="AY139" i="41"/>
  <c r="AY140" i="41"/>
  <c r="AY141" i="41"/>
  <c r="AY142" i="41"/>
  <c r="AY143" i="41"/>
  <c r="AY144" i="41"/>
  <c r="AY145" i="41"/>
  <c r="AY146" i="41"/>
  <c r="AY147" i="41"/>
  <c r="AY148" i="41"/>
  <c r="AY149" i="41"/>
  <c r="P38" i="36"/>
  <c r="D38" i="36"/>
  <c r="AY2" i="41" l="1"/>
  <c r="L72" i="41"/>
  <c r="L73" i="41"/>
  <c r="L74" i="41"/>
  <c r="L75" i="41"/>
  <c r="L76" i="41"/>
  <c r="L77" i="41"/>
  <c r="L3" i="41"/>
  <c r="L4" i="41"/>
  <c r="L5" i="41"/>
  <c r="L6" i="41"/>
  <c r="L7" i="41"/>
  <c r="L8" i="41"/>
  <c r="L9" i="41"/>
  <c r="L10" i="41"/>
  <c r="L11" i="41"/>
  <c r="L12" i="41"/>
  <c r="L13" i="41"/>
  <c r="L14" i="41"/>
  <c r="L15" i="41"/>
  <c r="L16" i="41"/>
  <c r="L17" i="41"/>
  <c r="L18" i="41"/>
  <c r="L19" i="41"/>
  <c r="L20" i="41"/>
  <c r="L21" i="41"/>
  <c r="L22" i="41"/>
  <c r="L23" i="41"/>
  <c r="L24" i="41"/>
  <c r="L25" i="41"/>
  <c r="L26" i="41"/>
  <c r="L27" i="41"/>
  <c r="L28" i="41"/>
  <c r="L29" i="41"/>
  <c r="L30" i="41"/>
  <c r="L31" i="41"/>
  <c r="L32" i="41"/>
  <c r="L33" i="41"/>
  <c r="L34" i="41"/>
  <c r="L35" i="41"/>
  <c r="L36" i="41"/>
  <c r="L37" i="41"/>
  <c r="L38" i="41"/>
  <c r="L39" i="41"/>
  <c r="L40" i="41"/>
  <c r="L41" i="41"/>
  <c r="L42" i="41"/>
  <c r="L43" i="41"/>
  <c r="L44" i="41"/>
  <c r="L45" i="41"/>
  <c r="L46" i="41"/>
  <c r="L47" i="41"/>
  <c r="L48" i="41"/>
  <c r="L49" i="41"/>
  <c r="L50" i="41"/>
  <c r="L51" i="41"/>
  <c r="L52" i="41"/>
  <c r="L53" i="41"/>
  <c r="L54" i="41"/>
  <c r="L55" i="41"/>
  <c r="L56" i="41"/>
  <c r="L57" i="41"/>
  <c r="L58" i="41"/>
  <c r="L59" i="41"/>
  <c r="L60" i="41"/>
  <c r="L61" i="41"/>
  <c r="L62" i="41"/>
  <c r="L63" i="41"/>
  <c r="L64" i="41"/>
  <c r="L65" i="41"/>
  <c r="L66" i="41"/>
  <c r="L67" i="41"/>
  <c r="L68" i="41"/>
  <c r="L69" i="41"/>
  <c r="L70" i="41"/>
  <c r="L71" i="41"/>
  <c r="L2" i="41"/>
  <c r="S46" i="7" l="1"/>
  <c r="W10" i="7"/>
  <c r="S9" i="7"/>
  <c r="S8" i="7"/>
  <c r="S7" i="7"/>
  <c r="T6" i="7" s="1"/>
  <c r="S6" i="7"/>
  <c r="S5" i="7"/>
  <c r="S4" i="7"/>
  <c r="S32" i="7"/>
  <c r="S55" i="7"/>
  <c r="S54" i="7"/>
  <c r="S53" i="7"/>
  <c r="S52" i="7"/>
  <c r="S51" i="7"/>
  <c r="S50" i="7"/>
  <c r="T50" i="7" s="1"/>
  <c r="S49" i="7"/>
  <c r="S48" i="7"/>
  <c r="S47" i="7"/>
  <c r="T46" i="7" s="1"/>
  <c r="S45" i="7"/>
  <c r="S44" i="7"/>
  <c r="S43" i="7"/>
  <c r="S42" i="7"/>
  <c r="S41" i="7"/>
  <c r="S40" i="7"/>
  <c r="S39" i="7"/>
  <c r="S38" i="7"/>
  <c r="S37" i="7"/>
  <c r="S36" i="7"/>
  <c r="S35" i="7"/>
  <c r="S34" i="7"/>
  <c r="S33" i="7"/>
  <c r="T32" i="7" s="1"/>
  <c r="S31" i="7"/>
  <c r="S30" i="7"/>
  <c r="S29" i="7"/>
  <c r="S28" i="7"/>
  <c r="S27" i="7"/>
  <c r="S26" i="7"/>
  <c r="S25" i="7"/>
  <c r="S24" i="7"/>
  <c r="S23" i="7"/>
  <c r="S22" i="7"/>
  <c r="S21" i="7"/>
  <c r="S20" i="7"/>
  <c r="S19" i="7"/>
  <c r="S18" i="7"/>
  <c r="T18" i="7" s="1"/>
  <c r="S17" i="7"/>
  <c r="S16" i="7"/>
  <c r="T16" i="7" s="1"/>
  <c r="S15" i="7"/>
  <c r="S14" i="7"/>
  <c r="S13" i="7"/>
  <c r="S12" i="7"/>
  <c r="S11" i="7"/>
  <c r="S10" i="7"/>
  <c r="T10" i="7" s="1"/>
  <c r="S27" i="6"/>
  <c r="S5" i="6"/>
  <c r="S4" i="6"/>
  <c r="S7" i="6"/>
  <c r="S6" i="6"/>
  <c r="S23" i="6"/>
  <c r="S22" i="6"/>
  <c r="S55" i="6"/>
  <c r="S54" i="6"/>
  <c r="S53" i="6"/>
  <c r="S52" i="6"/>
  <c r="S51" i="6"/>
  <c r="S50" i="6"/>
  <c r="S49" i="6"/>
  <c r="S48" i="6"/>
  <c r="S47" i="6"/>
  <c r="S46" i="6"/>
  <c r="T46" i="6" s="1"/>
  <c r="S45" i="6"/>
  <c r="S44" i="6"/>
  <c r="S43" i="6"/>
  <c r="S42" i="6"/>
  <c r="S41" i="6"/>
  <c r="S40" i="6"/>
  <c r="S39" i="6"/>
  <c r="S38" i="6"/>
  <c r="S37" i="6"/>
  <c r="S36" i="6"/>
  <c r="S35" i="6"/>
  <c r="S34" i="6"/>
  <c r="T34" i="6" s="1"/>
  <c r="S33" i="6"/>
  <c r="S32" i="6"/>
  <c r="S31" i="6"/>
  <c r="S30" i="6"/>
  <c r="S29" i="6"/>
  <c r="S28" i="6"/>
  <c r="S26" i="6"/>
  <c r="S25" i="6"/>
  <c r="S24" i="6"/>
  <c r="S21" i="6"/>
  <c r="S20" i="6"/>
  <c r="S19" i="6"/>
  <c r="S18" i="6"/>
  <c r="S17" i="6"/>
  <c r="S16" i="6"/>
  <c r="S15" i="6"/>
  <c r="S14" i="6"/>
  <c r="S13" i="6"/>
  <c r="S12" i="6"/>
  <c r="S11" i="6"/>
  <c r="S10" i="6"/>
  <c r="S9" i="6"/>
  <c r="S8" i="6"/>
  <c r="T6" i="6"/>
  <c r="S18" i="5"/>
  <c r="S19" i="5"/>
  <c r="T18" i="5" s="1"/>
  <c r="S15" i="5"/>
  <c r="S14" i="5"/>
  <c r="S29" i="5"/>
  <c r="S28" i="5"/>
  <c r="S26" i="5"/>
  <c r="S25" i="5"/>
  <c r="S24" i="5"/>
  <c r="S35" i="5"/>
  <c r="T34" i="5" s="1"/>
  <c r="S34" i="5"/>
  <c r="I30" i="5"/>
  <c r="J30" i="5"/>
  <c r="S7" i="5"/>
  <c r="S4" i="5"/>
  <c r="S55" i="5"/>
  <c r="S54" i="5"/>
  <c r="S53" i="5"/>
  <c r="S52" i="5"/>
  <c r="S51" i="5"/>
  <c r="S50" i="5"/>
  <c r="S49" i="5"/>
  <c r="S48" i="5"/>
  <c r="S47" i="5"/>
  <c r="S46" i="5"/>
  <c r="T46" i="5" s="1"/>
  <c r="S45" i="5"/>
  <c r="S44" i="5"/>
  <c r="S43" i="5"/>
  <c r="S42" i="5"/>
  <c r="S41" i="5"/>
  <c r="S40" i="5"/>
  <c r="S39" i="5"/>
  <c r="S38" i="5"/>
  <c r="T38" i="5" s="1"/>
  <c r="S37" i="5"/>
  <c r="S36" i="5"/>
  <c r="S33" i="5"/>
  <c r="S32" i="5"/>
  <c r="S31" i="5"/>
  <c r="S27" i="5"/>
  <c r="T24" i="5"/>
  <c r="S23" i="5"/>
  <c r="S22" i="5"/>
  <c r="S21" i="5"/>
  <c r="S20" i="5"/>
  <c r="S17" i="5"/>
  <c r="S16" i="5"/>
  <c r="S13" i="5"/>
  <c r="S12" i="5"/>
  <c r="S11" i="5"/>
  <c r="S10" i="5"/>
  <c r="S9" i="5"/>
  <c r="S8" i="5"/>
  <c r="S6" i="5"/>
  <c r="S5" i="5"/>
  <c r="S37" i="4"/>
  <c r="S36" i="4"/>
  <c r="S39" i="4"/>
  <c r="S38" i="4"/>
  <c r="S41" i="4"/>
  <c r="S40" i="4"/>
  <c r="S42" i="4"/>
  <c r="S55" i="4"/>
  <c r="S54" i="4"/>
  <c r="S53" i="4"/>
  <c r="S52" i="4"/>
  <c r="S51" i="4"/>
  <c r="S50" i="4"/>
  <c r="S49" i="4"/>
  <c r="S48" i="4"/>
  <c r="S47" i="4"/>
  <c r="S46" i="4"/>
  <c r="S45" i="4"/>
  <c r="S44" i="4"/>
  <c r="S43" i="4"/>
  <c r="S20" i="4"/>
  <c r="S19" i="4"/>
  <c r="S18" i="4"/>
  <c r="S17" i="4"/>
  <c r="S16" i="4"/>
  <c r="S21" i="4"/>
  <c r="S13" i="4"/>
  <c r="S12" i="4"/>
  <c r="S22" i="4"/>
  <c r="S23" i="4"/>
  <c r="S9" i="4"/>
  <c r="S8" i="4"/>
  <c r="S5" i="4"/>
  <c r="S4" i="4"/>
  <c r="S10" i="4"/>
  <c r="S11" i="4"/>
  <c r="S7" i="4"/>
  <c r="S6" i="4"/>
  <c r="S32" i="4"/>
  <c r="S33" i="4"/>
  <c r="S34" i="4"/>
  <c r="S35" i="4"/>
  <c r="T28" i="4"/>
  <c r="T24" i="4"/>
  <c r="S31" i="4"/>
  <c r="T30" i="4" s="1"/>
  <c r="S27" i="4"/>
  <c r="T26" i="4" s="1"/>
  <c r="J82" i="3"/>
  <c r="K82" i="3"/>
  <c r="L82" i="3"/>
  <c r="M82" i="3"/>
  <c r="N82" i="3"/>
  <c r="I82" i="3"/>
  <c r="I68" i="3"/>
  <c r="J68" i="3"/>
  <c r="K68" i="3"/>
  <c r="L68" i="3"/>
  <c r="M68" i="3"/>
  <c r="N68" i="3"/>
  <c r="H68" i="3"/>
  <c r="S22" i="3"/>
  <c r="S23" i="3"/>
  <c r="S5" i="3"/>
  <c r="S4" i="3"/>
  <c r="S55" i="3"/>
  <c r="S54" i="3"/>
  <c r="S53" i="3"/>
  <c r="S52" i="3"/>
  <c r="T52" i="3" s="1"/>
  <c r="S51" i="3"/>
  <c r="S50" i="3"/>
  <c r="S49" i="3"/>
  <c r="S48" i="3"/>
  <c r="S47" i="3"/>
  <c r="S46" i="3"/>
  <c r="S45" i="3"/>
  <c r="S44" i="3"/>
  <c r="T44" i="3" s="1"/>
  <c r="S43" i="3"/>
  <c r="S42" i="3"/>
  <c r="S41" i="3"/>
  <c r="S40" i="3"/>
  <c r="S39" i="3"/>
  <c r="S38" i="3"/>
  <c r="S37" i="3"/>
  <c r="S36" i="3"/>
  <c r="S35" i="3"/>
  <c r="S34" i="3"/>
  <c r="S33" i="3"/>
  <c r="S32" i="3"/>
  <c r="S31" i="3"/>
  <c r="S30" i="3"/>
  <c r="S29" i="3"/>
  <c r="S28" i="3"/>
  <c r="S27" i="3"/>
  <c r="S26" i="3"/>
  <c r="S25" i="3"/>
  <c r="S24" i="3"/>
  <c r="S21" i="3"/>
  <c r="S20" i="3"/>
  <c r="S19" i="3"/>
  <c r="S18" i="3"/>
  <c r="T18" i="3" s="1"/>
  <c r="S17" i="3"/>
  <c r="S16" i="3"/>
  <c r="S15" i="3"/>
  <c r="S14" i="3"/>
  <c r="S13" i="3"/>
  <c r="S12" i="3"/>
  <c r="S11" i="3"/>
  <c r="S10" i="3"/>
  <c r="T10" i="3" s="1"/>
  <c r="S9" i="3"/>
  <c r="S8" i="3"/>
  <c r="S7" i="3"/>
  <c r="S6" i="3"/>
  <c r="S28" i="2"/>
  <c r="S6" i="2"/>
  <c r="S5" i="2"/>
  <c r="S4" i="2"/>
  <c r="S12" i="2"/>
  <c r="S13" i="2"/>
  <c r="S14" i="2"/>
  <c r="S15" i="2"/>
  <c r="S16" i="2"/>
  <c r="S17" i="2"/>
  <c r="S18" i="2"/>
  <c r="S19" i="2"/>
  <c r="T18" i="2" s="1"/>
  <c r="S20" i="2"/>
  <c r="S21" i="2"/>
  <c r="S22" i="2"/>
  <c r="S23" i="2"/>
  <c r="S24" i="2"/>
  <c r="S25" i="2"/>
  <c r="S26" i="2"/>
  <c r="S27" i="2"/>
  <c r="T26" i="2" s="1"/>
  <c r="S29" i="2"/>
  <c r="S30" i="2"/>
  <c r="S31" i="2"/>
  <c r="S32" i="2"/>
  <c r="S33" i="2"/>
  <c r="S34" i="2"/>
  <c r="S35" i="2"/>
  <c r="S36" i="2"/>
  <c r="S37" i="2"/>
  <c r="S38" i="2"/>
  <c r="S39" i="2"/>
  <c r="S40" i="2"/>
  <c r="S41" i="2"/>
  <c r="S42" i="2"/>
  <c r="S43" i="2"/>
  <c r="S44" i="2"/>
  <c r="S45" i="2"/>
  <c r="S46" i="2"/>
  <c r="S47" i="2"/>
  <c r="S48" i="2"/>
  <c r="S49" i="2"/>
  <c r="T48" i="2" s="1"/>
  <c r="S50" i="2"/>
  <c r="S51" i="2"/>
  <c r="T50" i="2" s="1"/>
  <c r="S52" i="2"/>
  <c r="S53" i="2"/>
  <c r="S54" i="2"/>
  <c r="S55" i="2"/>
  <c r="S7" i="2"/>
  <c r="T6" i="2" s="1"/>
  <c r="S8" i="2"/>
  <c r="S9" i="2"/>
  <c r="S11" i="2"/>
  <c r="S10" i="2"/>
  <c r="T28" i="5" l="1"/>
  <c r="T30" i="6"/>
  <c r="T38" i="6"/>
  <c r="T54" i="6"/>
  <c r="T40" i="5"/>
  <c r="T48" i="5"/>
  <c r="T8" i="6"/>
  <c r="T10" i="4"/>
  <c r="T10" i="5"/>
  <c r="T22" i="5"/>
  <c r="T34" i="7"/>
  <c r="T42" i="7"/>
  <c r="T8" i="7"/>
  <c r="T52" i="2"/>
  <c r="T44" i="2"/>
  <c r="U37" i="4"/>
  <c r="T32" i="2"/>
  <c r="T16" i="5"/>
  <c r="T26" i="5"/>
  <c r="T22" i="2"/>
  <c r="T14" i="2"/>
  <c r="T6" i="3"/>
  <c r="U25" i="5"/>
  <c r="T44" i="6"/>
  <c r="T22" i="4"/>
  <c r="T8" i="5"/>
  <c r="T32" i="5"/>
  <c r="T42" i="2"/>
  <c r="T34" i="2"/>
  <c r="T52" i="4"/>
  <c r="V5" i="6"/>
  <c r="T52" i="5"/>
  <c r="T12" i="6"/>
  <c r="T20" i="6"/>
  <c r="T26" i="7"/>
  <c r="U24" i="3"/>
  <c r="T32" i="3"/>
  <c r="T40" i="3"/>
  <c r="T48" i="3"/>
  <c r="T22" i="6"/>
  <c r="U37" i="5"/>
  <c r="V5" i="4"/>
  <c r="T6" i="5"/>
  <c r="T42" i="6"/>
  <c r="T16" i="6"/>
  <c r="T52" i="6"/>
  <c r="T40" i="7"/>
  <c r="T42" i="4"/>
  <c r="U25" i="6"/>
  <c r="T50" i="6"/>
  <c r="T54" i="2"/>
  <c r="T46" i="2"/>
  <c r="T38" i="2"/>
  <c r="T30" i="2"/>
  <c r="V5" i="3"/>
  <c r="U25" i="3"/>
  <c r="T34" i="4"/>
  <c r="T20" i="4"/>
  <c r="T12" i="5"/>
  <c r="T42" i="5"/>
  <c r="T50" i="5"/>
  <c r="T26" i="6"/>
  <c r="T12" i="7"/>
  <c r="T20" i="7"/>
  <c r="T28" i="7"/>
  <c r="T44" i="7"/>
  <c r="T52" i="7"/>
  <c r="U36" i="2"/>
  <c r="T20" i="2"/>
  <c r="T12" i="2"/>
  <c r="T8" i="3"/>
  <c r="T16" i="3"/>
  <c r="T26" i="3"/>
  <c r="T34" i="3"/>
  <c r="T42" i="3"/>
  <c r="T50" i="3"/>
  <c r="T22" i="3"/>
  <c r="U25" i="4"/>
  <c r="T10" i="6"/>
  <c r="T18" i="6"/>
  <c r="T28" i="6"/>
  <c r="U37" i="6"/>
  <c r="T22" i="7"/>
  <c r="T30" i="7"/>
  <c r="T38" i="7"/>
  <c r="T54" i="7"/>
  <c r="T10" i="2"/>
  <c r="P68" i="3"/>
  <c r="W7" i="7"/>
  <c r="U37" i="3"/>
  <c r="T54" i="5"/>
  <c r="S56" i="6"/>
  <c r="T48" i="7"/>
  <c r="T28" i="2"/>
  <c r="T8" i="2"/>
  <c r="T16" i="2"/>
  <c r="T12" i="3"/>
  <c r="T20" i="3"/>
  <c r="T38" i="3"/>
  <c r="T46" i="3"/>
  <c r="T54" i="3"/>
  <c r="T20" i="5"/>
  <c r="T14" i="6"/>
  <c r="T32" i="6"/>
  <c r="T40" i="6"/>
  <c r="T48" i="6"/>
  <c r="W6" i="7"/>
  <c r="S56" i="5"/>
  <c r="T4" i="5"/>
  <c r="V5" i="5"/>
  <c r="V8" i="5"/>
  <c r="V4" i="5"/>
  <c r="S30" i="5"/>
  <c r="T14" i="5"/>
  <c r="S56" i="4"/>
  <c r="T44" i="4"/>
  <c r="T46" i="4"/>
  <c r="T48" i="4"/>
  <c r="T50" i="4"/>
  <c r="T54" i="4"/>
  <c r="T40" i="4"/>
  <c r="T38" i="4"/>
  <c r="T36" i="4"/>
  <c r="T4" i="7"/>
  <c r="S56" i="7"/>
  <c r="T24" i="7"/>
  <c r="T36" i="7"/>
  <c r="V8" i="6"/>
  <c r="V4" i="6"/>
  <c r="T4" i="6"/>
  <c r="U24" i="6"/>
  <c r="T24" i="6"/>
  <c r="U36" i="6"/>
  <c r="T36" i="6"/>
  <c r="U36" i="5"/>
  <c r="V36" i="5" s="1"/>
  <c r="T36" i="5"/>
  <c r="V4" i="4"/>
  <c r="V6" i="4" s="1"/>
  <c r="T12" i="4"/>
  <c r="T16" i="4"/>
  <c r="T18" i="4"/>
  <c r="T6" i="4"/>
  <c r="T4" i="4"/>
  <c r="T8" i="4"/>
  <c r="T32" i="4"/>
  <c r="U24" i="4"/>
  <c r="U36" i="4"/>
  <c r="V4" i="3"/>
  <c r="T28" i="3"/>
  <c r="T30" i="3"/>
  <c r="T4" i="3"/>
  <c r="T24" i="3"/>
  <c r="U36" i="3"/>
  <c r="V36" i="3" s="1"/>
  <c r="T36" i="3"/>
  <c r="T36" i="2"/>
  <c r="U37" i="2"/>
  <c r="T24" i="2"/>
  <c r="U25" i="2"/>
  <c r="U24" i="2"/>
  <c r="V4" i="2"/>
  <c r="T4" i="2"/>
  <c r="V5" i="2"/>
  <c r="T40" i="2"/>
  <c r="V36" i="4" l="1"/>
  <c r="U26" i="3"/>
  <c r="V6" i="3"/>
  <c r="V6" i="6"/>
  <c r="U26" i="4"/>
  <c r="V6" i="5"/>
  <c r="W8" i="7"/>
  <c r="U26" i="6"/>
  <c r="V36" i="6"/>
  <c r="V6" i="2"/>
  <c r="U24" i="5"/>
  <c r="U26" i="5" s="1"/>
  <c r="T30" i="5"/>
  <c r="U26" i="2"/>
  <c r="V36" i="2"/>
  <c r="AB22" i="41"/>
  <c r="AU22" i="41" s="1"/>
  <c r="AW22"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 Hoang Son</author>
  </authors>
  <commentList>
    <comment ref="D12" authorId="0" shapeId="0" xr:uid="{CAC7D52B-0F47-4948-B1B2-DB62F25E1556}">
      <text>
        <r>
          <rPr>
            <sz val="11"/>
            <color theme="1"/>
            <rFont val="Calibri"/>
            <family val="2"/>
            <scheme val="minor"/>
          </rPr>
          <t>BL + Tồn HĐ (BC Loan 31/12)</t>
        </r>
      </text>
    </comment>
    <comment ref="R12" authorId="0" shapeId="0" xr:uid="{B9A77455-63A7-4669-999A-DB36771A66EE}">
      <text>
        <r>
          <rPr>
            <sz val="11"/>
            <color theme="1"/>
            <rFont val="Calibri"/>
            <family val="2"/>
            <scheme val="minor"/>
          </rPr>
          <t>trong BC 4 tuần</t>
        </r>
      </text>
    </comment>
    <comment ref="R13" authorId="0" shapeId="0" xr:uid="{0006E173-C4A2-4C67-9020-C108B0CC6A1A}">
      <text>
        <r>
          <rPr>
            <sz val="11"/>
            <color theme="1"/>
            <rFont val="Calibri"/>
            <family val="2"/>
            <scheme val="minor"/>
          </rPr>
          <t>= các tháng trc</t>
        </r>
      </text>
    </comment>
  </commentList>
</comments>
</file>

<file path=xl/sharedStrings.xml><?xml version="1.0" encoding="utf-8"?>
<sst xmlns="http://schemas.openxmlformats.org/spreadsheetml/2006/main" count="2725" uniqueCount="314">
  <si>
    <t>Chất lượng</t>
  </si>
  <si>
    <t>Nguồn KH</t>
  </si>
  <si>
    <t>STT</t>
  </si>
  <si>
    <t>ĐL</t>
  </si>
  <si>
    <t>KV</t>
  </si>
  <si>
    <t>SL</t>
  </si>
  <si>
    <t>Nóng</t>
  </si>
  <si>
    <t>Nguội</t>
  </si>
  <si>
    <t>Lạnh</t>
  </si>
  <si>
    <t>HĐ</t>
  </si>
  <si>
    <t>Website</t>
  </si>
  <si>
    <t>FB</t>
  </si>
  <si>
    <t>GDN</t>
  </si>
  <si>
    <t>zalo</t>
  </si>
  <si>
    <t>Youtube</t>
  </si>
  <si>
    <t>Sự kiện</t>
  </si>
  <si>
    <t>POSM</t>
  </si>
  <si>
    <t>Khác
(KH đến showroom, Hotline)</t>
  </si>
  <si>
    <t>Chi phí</t>
  </si>
  <si>
    <t>Chi phí/ data</t>
  </si>
  <si>
    <t>Ngọc An</t>
  </si>
  <si>
    <t>HCM</t>
  </si>
  <si>
    <t>169.708.000 đ</t>
  </si>
  <si>
    <t>1.305.446 đ</t>
  </si>
  <si>
    <t>Việt Hàn</t>
  </si>
  <si>
    <t>59.736.000 đ</t>
  </si>
  <si>
    <t>485.659 đ</t>
  </si>
  <si>
    <t>Gia Định</t>
  </si>
  <si>
    <t>125.000.000 đ</t>
  </si>
  <si>
    <t>1.984.127 đ</t>
  </si>
  <si>
    <t>Kinh Dương Vương</t>
  </si>
  <si>
    <t>10.000.000 đ</t>
  </si>
  <si>
    <t>625.000 đ</t>
  </si>
  <si>
    <t>Trường Chinh</t>
  </si>
  <si>
    <t>75.000.000 đ</t>
  </si>
  <si>
    <t>914.634 đ</t>
  </si>
  <si>
    <t>An Phú</t>
  </si>
  <si>
    <t>40.800.000 đ</t>
  </si>
  <si>
    <t>400.000 đ</t>
  </si>
  <si>
    <t>Sài Gòn</t>
  </si>
  <si>
    <t>41.500.000 đ</t>
  </si>
  <si>
    <t>247.024 đ</t>
  </si>
  <si>
    <t>Sài Thành</t>
  </si>
  <si>
    <t>52.400.000 đ</t>
  </si>
  <si>
    <t>513.725 đ</t>
  </si>
  <si>
    <t>Miền Nam</t>
  </si>
  <si>
    <t>100.000.000 đ</t>
  </si>
  <si>
    <t>1.052.632 đ</t>
  </si>
  <si>
    <t>Đông Sài Gòn</t>
  </si>
  <si>
    <t>185.185 đ</t>
  </si>
  <si>
    <t>Tây Ninh</t>
  </si>
  <si>
    <t>ĐNB</t>
  </si>
  <si>
    <t>6.500.000 đ</t>
  </si>
  <si>
    <t>216.667 đ</t>
  </si>
  <si>
    <t>Ngọc Phát</t>
  </si>
  <si>
    <t>13.000.000 đ</t>
  </si>
  <si>
    <t>188.406 đ</t>
  </si>
  <si>
    <t>Bình Phước</t>
  </si>
  <si>
    <t>135.646.008 đ</t>
  </si>
  <si>
    <t>1.577.279 đ</t>
  </si>
  <si>
    <t>Bình Dương</t>
  </si>
  <si>
    <t>99.203.000 đ</t>
  </si>
  <si>
    <t>1.653.383 đ</t>
  </si>
  <si>
    <t>Bà Rịa</t>
  </si>
  <si>
    <t>250.000.000 đ</t>
  </si>
  <si>
    <t>1.213.592 đ</t>
  </si>
  <si>
    <t>Bình Thuận</t>
  </si>
  <si>
    <t>93.385.000 đ</t>
  </si>
  <si>
    <t>518.806 đ</t>
  </si>
  <si>
    <t>An Giang</t>
  </si>
  <si>
    <t>TNB</t>
  </si>
  <si>
    <t>50.000.000 đ</t>
  </si>
  <si>
    <t>641.026 đ</t>
  </si>
  <si>
    <t>Kiên Giang</t>
  </si>
  <si>
    <t>25.000.000 đ</t>
  </si>
  <si>
    <t>1.666.667 đ</t>
  </si>
  <si>
    <t>Đồng Tháp</t>
  </si>
  <si>
    <t>11.363.500 đ</t>
  </si>
  <si>
    <t>378.783 đ</t>
  </si>
  <si>
    <t>Bến Tre</t>
  </si>
  <si>
    <t>20.000.000 đ</t>
  </si>
  <si>
    <t>217.391 đ</t>
  </si>
  <si>
    <t>Cà Mau</t>
  </si>
  <si>
    <t>30.000.000 đ</t>
  </si>
  <si>
    <t>394.737 đ</t>
  </si>
  <si>
    <t>Long An</t>
  </si>
  <si>
    <t>Tây Đô</t>
  </si>
  <si>
    <t>208.333 đ</t>
  </si>
  <si>
    <t>Tiền Giang</t>
  </si>
  <si>
    <t>256.410 đ</t>
  </si>
  <si>
    <t>Bạc Liêu</t>
  </si>
  <si>
    <t>384.615 đ</t>
  </si>
  <si>
    <t>Vĩnh Long</t>
  </si>
  <si>
    <t>491.803 đ</t>
  </si>
  <si>
    <t>KH mua xe trong tháng</t>
  </si>
  <si>
    <t>Nguồn KH (MKT)</t>
  </si>
  <si>
    <t>Tổng kết</t>
  </si>
  <si>
    <t>KH từ nguồn TVBH</t>
  </si>
  <si>
    <t>KH từ nguồn MKT</t>
  </si>
  <si>
    <t>Sự kiện offline (lái thử/ roadshow/...)</t>
  </si>
  <si>
    <t>Online banner</t>
  </si>
  <si>
    <t>Google Adwords</t>
  </si>
  <si>
    <t>Facebook</t>
  </si>
  <si>
    <t>Zalo</t>
  </si>
  <si>
    <t>SMS brandname</t>
  </si>
  <si>
    <t>Direct mail</t>
  </si>
  <si>
    <t>Biển bảng/ OOH</t>
  </si>
  <si>
    <t>Print Ads/ PR Articles</t>
  </si>
  <si>
    <t>Promotional Gift/ CSR/ Car club</t>
  </si>
  <si>
    <t>Khác</t>
  </si>
  <si>
    <t>Tổng</t>
  </si>
  <si>
    <t>Chi phí/ KH</t>
  </si>
  <si>
    <t>Số lượng</t>
  </si>
  <si>
    <t>4,5</t>
  </si>
  <si>
    <t> </t>
  </si>
  <si>
    <t xml:space="preserve"> </t>
  </si>
  <si>
    <t>Sự kiện offline</t>
  </si>
  <si>
    <t>Google Ads</t>
  </si>
  <si>
    <t>Google adword</t>
  </si>
  <si>
    <t>Facebook ads</t>
  </si>
  <si>
    <t>Biển bảng</t>
  </si>
  <si>
    <t xml:space="preserve">An Phú </t>
  </si>
  <si>
    <t>Đông SG</t>
  </si>
  <si>
    <t>KDV</t>
  </si>
  <si>
    <t>Quan tâm</t>
  </si>
  <si>
    <t>Ko quan tâm</t>
  </si>
  <si>
    <t>Chưa có nhu cầu</t>
  </si>
  <si>
    <t xml:space="preserve"> -   </t>
  </si>
  <si>
    <t>CP</t>
  </si>
  <si>
    <t>Số lượng lead</t>
  </si>
  <si>
    <t>KPI tối thiểu</t>
  </si>
  <si>
    <t>KPI thách thức</t>
  </si>
  <si>
    <t>HT KPI tối thiểu</t>
  </si>
  <si>
    <t>HT KPI thách thức</t>
  </si>
  <si>
    <t>HCm</t>
  </si>
  <si>
    <t xml:space="preserve">                -</t>
  </si>
  <si>
    <t>-</t>
  </si>
  <si>
    <t xml:space="preserve"> - </t>
  </si>
  <si>
    <t>Đại lý</t>
  </si>
  <si>
    <t>DNB</t>
  </si>
  <si>
    <t>Khu vực</t>
  </si>
  <si>
    <t>Hoàn thành</t>
  </si>
  <si>
    <t>Hệ số Mi</t>
  </si>
  <si>
    <t>Grand Total</t>
  </si>
  <si>
    <t>Row Labels</t>
  </si>
  <si>
    <t>Event</t>
  </si>
  <si>
    <t>QC Website ĐL</t>
  </si>
  <si>
    <t>KH Showroom</t>
  </si>
  <si>
    <t>TV/Radio</t>
  </si>
  <si>
    <t>Bà Rịa Vũng Tàu</t>
  </si>
  <si>
    <t>KM_BH</t>
  </si>
  <si>
    <t>KM_DV</t>
  </si>
  <si>
    <t>QC_Online</t>
  </si>
  <si>
    <t>Test-drive</t>
  </si>
  <si>
    <t>QC_Thương hiệu</t>
  </si>
  <si>
    <t>QC_Website</t>
  </si>
  <si>
    <t>Tháng</t>
    <phoneticPr fontId="25"/>
  </si>
  <si>
    <t>Data KH</t>
    <phoneticPr fontId="25"/>
  </si>
  <si>
    <t>Chi phí MKT</t>
    <phoneticPr fontId="25"/>
  </si>
  <si>
    <t>HĐ MKT</t>
    <phoneticPr fontId="25"/>
  </si>
  <si>
    <t>HĐ TVBH</t>
    <phoneticPr fontId="25"/>
  </si>
  <si>
    <t>CTR</t>
    <phoneticPr fontId="25"/>
  </si>
  <si>
    <t>KMBH</t>
    <phoneticPr fontId="25"/>
  </si>
  <si>
    <t>KMDV</t>
    <phoneticPr fontId="25"/>
  </si>
  <si>
    <t>QC Online</t>
    <phoneticPr fontId="25"/>
  </si>
  <si>
    <t>Testdrive</t>
    <phoneticPr fontId="25"/>
  </si>
  <si>
    <t>TTTH/CSR</t>
    <phoneticPr fontId="25"/>
  </si>
  <si>
    <r>
      <t>QC Th</t>
    </r>
    <r>
      <rPr>
        <sz val="11"/>
        <rFont val="游ゴシック"/>
        <family val="2"/>
      </rPr>
      <t>ươ</t>
    </r>
    <r>
      <rPr>
        <sz val="11"/>
        <rFont val="Hyundai Sans Head"/>
        <family val="2"/>
      </rPr>
      <t>ng hiệu</t>
    </r>
  </si>
  <si>
    <r>
      <t>Th</t>
    </r>
    <r>
      <rPr>
        <b/>
        <sz val="11"/>
        <color theme="1"/>
        <rFont val="Hyundai Sans Text"/>
        <family val="2"/>
      </rPr>
      <t>ư</t>
    </r>
    <r>
      <rPr>
        <b/>
        <sz val="11"/>
        <color theme="1"/>
        <rFont val="Hyundai Sans Head"/>
        <family val="2"/>
      </rPr>
      <t>ởng MKT</t>
    </r>
  </si>
  <si>
    <t>TTTH_CSR</t>
  </si>
  <si>
    <t>HĐ_MKT</t>
  </si>
  <si>
    <t>HĐ_TVBH</t>
  </si>
  <si>
    <t>Sum of HĐ MKT</t>
  </si>
  <si>
    <t>Chtrình MKT</t>
    <phoneticPr fontId="25"/>
  </si>
  <si>
    <t>% HĐMKT đóng góp</t>
    <phoneticPr fontId="25"/>
  </si>
  <si>
    <t>Sum of Chtrình MKT</t>
  </si>
  <si>
    <t>Sum of Data KH</t>
  </si>
  <si>
    <t>Event.</t>
  </si>
  <si>
    <t>Average of Hoàn thành</t>
  </si>
  <si>
    <t>Sum of Thưởng MKT</t>
  </si>
  <si>
    <t>D_Sự kiện (lái thử/ roadshow/...)</t>
    <phoneticPr fontId="25"/>
  </si>
  <si>
    <t>D_KH Showroom</t>
    <phoneticPr fontId="25"/>
  </si>
  <si>
    <t>D_Online banner</t>
    <phoneticPr fontId="25"/>
  </si>
  <si>
    <t>D_Google Adwords</t>
    <phoneticPr fontId="25"/>
  </si>
  <si>
    <t>D_Facebook</t>
    <phoneticPr fontId="25"/>
  </si>
  <si>
    <t>D_Youtube</t>
    <phoneticPr fontId="25"/>
  </si>
  <si>
    <t>D_Zalo</t>
    <phoneticPr fontId="25"/>
  </si>
  <si>
    <t>D_SMS brandname</t>
    <phoneticPr fontId="25"/>
  </si>
  <si>
    <t>D_Direct mail</t>
    <phoneticPr fontId="25"/>
  </si>
  <si>
    <t>D_Biển bảng/ OOH</t>
    <phoneticPr fontId="25"/>
  </si>
  <si>
    <t>D_TV/Radio</t>
    <phoneticPr fontId="25"/>
  </si>
  <si>
    <t>D_Print Ads/ PR Articles</t>
    <phoneticPr fontId="25"/>
  </si>
  <si>
    <t>D_CSR/ Gifts</t>
    <phoneticPr fontId="25"/>
  </si>
  <si>
    <t>D_Car club/Sponsorship</t>
    <phoneticPr fontId="25"/>
  </si>
  <si>
    <t>D_Khác</t>
    <phoneticPr fontId="25"/>
  </si>
  <si>
    <t>C_Sự kiện (lái thử/ roadshow/...)</t>
    <phoneticPr fontId="25"/>
  </si>
  <si>
    <t>C_KH Showroom</t>
    <phoneticPr fontId="25"/>
  </si>
  <si>
    <t>C_Online banner</t>
    <phoneticPr fontId="25"/>
  </si>
  <si>
    <t>C_Google Adwords</t>
    <phoneticPr fontId="25"/>
  </si>
  <si>
    <t>C_Facebook</t>
    <phoneticPr fontId="25"/>
  </si>
  <si>
    <t>C_Youtube</t>
    <phoneticPr fontId="25"/>
  </si>
  <si>
    <t>C_Zalo</t>
    <phoneticPr fontId="25"/>
  </si>
  <si>
    <t>C_SMS brandname</t>
    <phoneticPr fontId="25"/>
  </si>
  <si>
    <t>C_Direct mail</t>
    <phoneticPr fontId="25"/>
  </si>
  <si>
    <t>C_Biển bảng/ OOH</t>
    <phoneticPr fontId="25"/>
  </si>
  <si>
    <t>C_TV/Radio</t>
    <phoneticPr fontId="25"/>
  </si>
  <si>
    <t>C_Print Ads/ PR Articles</t>
    <phoneticPr fontId="25"/>
  </si>
  <si>
    <t>C_CSR/ Gifts</t>
    <phoneticPr fontId="25"/>
  </si>
  <si>
    <t>C_Car club/Sponsorship</t>
    <phoneticPr fontId="25"/>
  </si>
  <si>
    <t>C_Khác</t>
    <phoneticPr fontId="25"/>
  </si>
  <si>
    <t>Data Kênh MKT</t>
    <phoneticPr fontId="25"/>
  </si>
  <si>
    <t xml:space="preserve">    </t>
  </si>
  <si>
    <t>Sự kiện(lái thử/ roadshow)</t>
  </si>
  <si>
    <t>E mail</t>
  </si>
  <si>
    <t>Biển bảng/OOH</t>
  </si>
  <si>
    <t>Print Ads/ PR</t>
  </si>
  <si>
    <t>Gifts</t>
  </si>
  <si>
    <t>Car club/Sponsor</t>
  </si>
  <si>
    <t>SMS</t>
  </si>
  <si>
    <t>SL kênh triển khai MKT</t>
    <phoneticPr fontId="25"/>
  </si>
  <si>
    <t>Sum of SL kênh triển khai MKT</t>
  </si>
  <si>
    <t>Chí phí TB của HĐ MKT</t>
    <phoneticPr fontId="25"/>
  </si>
  <si>
    <t>Average of Chí phí TB của HĐ MKT</t>
  </si>
  <si>
    <t>Chi phí kênh MKT thu data</t>
    <phoneticPr fontId="25"/>
  </si>
  <si>
    <t>Count of C_CSR/ Gifts</t>
  </si>
  <si>
    <t>Sum of Chi phí MKT</t>
  </si>
  <si>
    <t>Car club/Sponsorship</t>
  </si>
  <si>
    <t>CSR</t>
  </si>
  <si>
    <t>Facebook Ads</t>
  </si>
  <si>
    <t>Offline (Event,Lái thử...)</t>
  </si>
  <si>
    <t>Sum of CTR1</t>
  </si>
  <si>
    <t>Average of Đóng góp MKT</t>
  </si>
  <si>
    <t>HCM</t>
    <phoneticPr fontId="25"/>
  </si>
  <si>
    <t>Data</t>
    <phoneticPr fontId="25"/>
  </si>
  <si>
    <r>
      <t>H</t>
    </r>
    <r>
      <rPr>
        <sz val="11"/>
        <color theme="1"/>
        <rFont val="Calibri"/>
        <family val="2"/>
        <charset val="163"/>
      </rPr>
      <t>ợ</t>
    </r>
    <r>
      <rPr>
        <sz val="11"/>
        <color theme="1"/>
        <rFont val="Calibri"/>
        <family val="2"/>
        <scheme val="minor"/>
      </rPr>
      <t>p đ</t>
    </r>
    <r>
      <rPr>
        <sz val="11"/>
        <color theme="1"/>
        <rFont val="Calibri"/>
        <family val="2"/>
        <charset val="163"/>
      </rPr>
      <t>ồ</t>
    </r>
    <r>
      <rPr>
        <sz val="11"/>
        <color theme="1"/>
        <rFont val="Calibri"/>
        <family val="2"/>
        <scheme val="minor"/>
      </rPr>
      <t>ng MKT</t>
    </r>
    <phoneticPr fontId="25"/>
  </si>
  <si>
    <r>
      <t>T</t>
    </r>
    <r>
      <rPr>
        <sz val="11"/>
        <color theme="1"/>
        <rFont val="Calibri"/>
        <family val="2"/>
        <charset val="163"/>
      </rPr>
      <t>ỷ</t>
    </r>
    <r>
      <rPr>
        <sz val="11"/>
        <color theme="1"/>
        <rFont val="Calibri"/>
        <family val="2"/>
        <scheme val="minor"/>
      </rPr>
      <t xml:space="preserve"> l</t>
    </r>
    <r>
      <rPr>
        <sz val="11"/>
        <color theme="1"/>
        <rFont val="Calibri"/>
        <family val="2"/>
        <charset val="163"/>
      </rPr>
      <t>ệ</t>
    </r>
    <r>
      <rPr>
        <sz val="11"/>
        <color theme="1"/>
        <rFont val="Calibri"/>
        <family val="2"/>
        <scheme val="minor"/>
      </rPr>
      <t xml:space="preserve"> chuy</t>
    </r>
    <r>
      <rPr>
        <sz val="11"/>
        <color theme="1"/>
        <rFont val="Calibri"/>
        <family val="2"/>
        <charset val="163"/>
      </rPr>
      <t>ể</t>
    </r>
    <r>
      <rPr>
        <sz val="11"/>
        <color theme="1"/>
        <rFont val="Calibri"/>
        <family val="2"/>
        <scheme val="minor"/>
      </rPr>
      <t>n đ</t>
    </r>
    <r>
      <rPr>
        <sz val="11"/>
        <color theme="1"/>
        <rFont val="Calibri"/>
        <family val="2"/>
        <charset val="163"/>
      </rPr>
      <t>ổ</t>
    </r>
    <r>
      <rPr>
        <sz val="11"/>
        <color theme="1"/>
        <rFont val="Calibri"/>
        <family val="2"/>
        <scheme val="minor"/>
      </rPr>
      <t>i</t>
    </r>
    <phoneticPr fontId="25"/>
  </si>
  <si>
    <r>
      <t>Ng</t>
    </r>
    <r>
      <rPr>
        <sz val="12"/>
        <color theme="1"/>
        <rFont val="Calibri"/>
        <family val="2"/>
        <charset val="163"/>
      </rPr>
      <t>ọ</t>
    </r>
    <r>
      <rPr>
        <sz val="12"/>
        <color theme="1"/>
        <rFont val="Hyundai Sans Text"/>
        <family val="2"/>
      </rPr>
      <t>c An</t>
    </r>
    <phoneticPr fontId="25"/>
  </si>
  <si>
    <r>
      <t>Ng</t>
    </r>
    <r>
      <rPr>
        <sz val="11"/>
        <color theme="1"/>
        <rFont val="Calibri"/>
        <family val="2"/>
        <charset val="163"/>
      </rPr>
      <t>ọ</t>
    </r>
    <r>
      <rPr>
        <sz val="11"/>
        <color theme="1"/>
        <rFont val="Hyundai Sans Text"/>
        <family val="2"/>
      </rPr>
      <t>c An</t>
    </r>
    <phoneticPr fontId="25"/>
  </si>
  <si>
    <t>Average of Hệ số Mi</t>
  </si>
  <si>
    <t>Sum of Chi phí kênh MKT thu data</t>
  </si>
  <si>
    <t>Chi phí</t>
    <phoneticPr fontId="25"/>
  </si>
  <si>
    <r>
      <t>S</t>
    </r>
    <r>
      <rPr>
        <b/>
        <sz val="11"/>
        <color theme="0"/>
        <rFont val="Calibri"/>
        <family val="2"/>
      </rPr>
      <t>ự</t>
    </r>
    <r>
      <rPr>
        <b/>
        <sz val="11"/>
        <color theme="0"/>
        <rFont val="Calibri"/>
        <family val="2"/>
        <charset val="128"/>
        <scheme val="minor"/>
      </rPr>
      <t xml:space="preserve"> ki</t>
    </r>
    <r>
      <rPr>
        <b/>
        <sz val="11"/>
        <color theme="0"/>
        <rFont val="Calibri"/>
        <family val="2"/>
      </rPr>
      <t>ệ</t>
    </r>
    <r>
      <rPr>
        <b/>
        <sz val="11"/>
        <color theme="0"/>
        <rFont val="Calibri"/>
        <family val="2"/>
        <charset val="128"/>
        <scheme val="minor"/>
      </rPr>
      <t>n/Lái th</t>
    </r>
    <r>
      <rPr>
        <b/>
        <sz val="11"/>
        <color theme="0"/>
        <rFont val="Calibri"/>
        <family val="2"/>
      </rPr>
      <t>ử</t>
    </r>
    <phoneticPr fontId="25"/>
  </si>
  <si>
    <t>Sum of Ty le chuyen doi</t>
  </si>
  <si>
    <t>Tháng</t>
  </si>
  <si>
    <t>(blank)</t>
  </si>
  <si>
    <t>Tháng 1</t>
  </si>
  <si>
    <t>Tháng 2</t>
  </si>
  <si>
    <t>Tháng 3</t>
  </si>
  <si>
    <t>Tháng 4</t>
  </si>
  <si>
    <t>Tháng 5</t>
  </si>
  <si>
    <t>Tháng 6</t>
  </si>
  <si>
    <t>Tháng 7</t>
  </si>
  <si>
    <t>Tháng 8</t>
  </si>
  <si>
    <t>Tháng 9</t>
  </si>
  <si>
    <t>Tháng 10</t>
  </si>
  <si>
    <t>Tháng 11</t>
  </si>
  <si>
    <t>Hoàn thành KPI</t>
  </si>
  <si>
    <t>Count of Đại lý</t>
  </si>
  <si>
    <t>ĐL Đạt/tổng số ĐL</t>
  </si>
  <si>
    <t>Số DL Không đạt</t>
  </si>
  <si>
    <t>Tổng số ĐL</t>
  </si>
  <si>
    <t>Tổng số DL trừ An Phú</t>
  </si>
  <si>
    <t>Tổng số DL Đạt</t>
  </si>
  <si>
    <t>T1-T11</t>
  </si>
  <si>
    <t>T11</t>
  </si>
  <si>
    <t>T12</t>
  </si>
  <si>
    <t>Hỗ trợ MKT theo chính sách</t>
  </si>
  <si>
    <t>Hỗ trợ theo chương trình riêng</t>
  </si>
  <si>
    <t>Hỗ trợ video clip nhận diện</t>
  </si>
  <si>
    <t>Zalo ads cho nhân sự</t>
  </si>
  <si>
    <t>Zalo ads cho ĐL</t>
  </si>
  <si>
    <t>Hỗ trợ ra mắt xe stargazer - elantra</t>
  </si>
  <si>
    <t>Hỗ trợ tăng cường  Stargazer cuối năm</t>
  </si>
  <si>
    <t>dự kiến</t>
  </si>
  <si>
    <t>Hỗ trợ quảng cáo Facebook mess chiến dịch i10</t>
  </si>
  <si>
    <t>Bộ ảnh Accent</t>
  </si>
  <si>
    <t>Ra mắt xe điện</t>
  </si>
  <si>
    <t>Xe đang thiếu</t>
  </si>
  <si>
    <r>
      <t>Xe lái th</t>
    </r>
    <r>
      <rPr>
        <b/>
        <sz val="11"/>
        <color rgb="FFFF0000"/>
        <rFont val="Calibri"/>
        <family val="2"/>
        <charset val="163"/>
      </rPr>
      <t>ử</t>
    </r>
    <r>
      <rPr>
        <b/>
        <sz val="11"/>
        <color rgb="FFFF0000"/>
        <rFont val="Hyundai Sans Head"/>
        <family val="2"/>
      </rPr>
      <t xml:space="preserve"> 2023</t>
    </r>
    <phoneticPr fontId="57"/>
  </si>
  <si>
    <t>ACCENT 2021</t>
  </si>
  <si>
    <t>CRETA 2022</t>
  </si>
  <si>
    <t>ELANTRA 2022</t>
  </si>
  <si>
    <t>GRAND I10 2021</t>
  </si>
  <si>
    <t>SANTAFE 2021</t>
  </si>
  <si>
    <t>STARGAZER</t>
  </si>
  <si>
    <t>TUCSON 2022</t>
  </si>
  <si>
    <t>SL hiện tại</t>
  </si>
  <si>
    <t>Số DL</t>
  </si>
  <si>
    <t>Số xe thiếu</t>
  </si>
  <si>
    <t>Giá</t>
  </si>
  <si>
    <t>ACCENT</t>
    <phoneticPr fontId="57"/>
  </si>
  <si>
    <t>CRETA</t>
    <phoneticPr fontId="57"/>
  </si>
  <si>
    <t xml:space="preserve">ELANTRA </t>
    <phoneticPr fontId="57"/>
  </si>
  <si>
    <t>GRAND I10</t>
    <phoneticPr fontId="57"/>
  </si>
  <si>
    <t xml:space="preserve">SANTAFE </t>
    <phoneticPr fontId="57"/>
  </si>
  <si>
    <t>TUCSON</t>
    <phoneticPr fontId="57"/>
  </si>
  <si>
    <t>Ioniq 5</t>
  </si>
  <si>
    <t>Hyundai Bà Rịa Vũng Tàu</t>
  </si>
  <si>
    <t>Palisade</t>
  </si>
  <si>
    <t>Hyundai Bình Dương</t>
  </si>
  <si>
    <t>KU – MPV</t>
  </si>
  <si>
    <t>Hyundai Bình Phước</t>
  </si>
  <si>
    <t>Santafe Hybird</t>
  </si>
  <si>
    <t>Hyundai Bình Thuận</t>
  </si>
  <si>
    <t>Hyundai Long An</t>
  </si>
  <si>
    <t>Hyundai Ngọc Phát</t>
  </si>
  <si>
    <t>Hyundai Tây Ninh</t>
  </si>
  <si>
    <t>Hyundai Tiền Giang</t>
  </si>
  <si>
    <t xml:space="preserve">Data </t>
    <phoneticPr fontId="25"/>
  </si>
  <si>
    <r>
      <t>% Chuy</t>
    </r>
    <r>
      <rPr>
        <sz val="11"/>
        <color theme="1"/>
        <rFont val="Calibri"/>
        <family val="2"/>
        <charset val="163"/>
      </rPr>
      <t>ể</t>
    </r>
    <r>
      <rPr>
        <sz val="11"/>
        <color theme="1"/>
        <rFont val="Calibri"/>
        <family val="2"/>
        <scheme val="minor"/>
      </rPr>
      <t>n đ</t>
    </r>
    <r>
      <rPr>
        <sz val="11"/>
        <color theme="1"/>
        <rFont val="Calibri"/>
        <family val="2"/>
        <charset val="163"/>
      </rPr>
      <t>ổ</t>
    </r>
    <r>
      <rPr>
        <sz val="11"/>
        <color theme="1"/>
        <rFont val="Calibri"/>
        <family val="2"/>
        <scheme val="minor"/>
      </rPr>
      <t xml:space="preserve">i </t>
    </r>
    <phoneticPr fontId="25"/>
  </si>
  <si>
    <t>% Đóng góp</t>
    <phoneticPr fontId="25"/>
  </si>
  <si>
    <t>Ghi chú</t>
    <phoneticPr fontId="25"/>
  </si>
  <si>
    <t>Sum of Đóng góp MKT</t>
  </si>
  <si>
    <t>Sum of Data Kênh MKT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</si>
</sst>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 #,##0_-;_-* &quot;-&quot;_-;_-@_-"/>
    <numFmt numFmtId="165" formatCode="_-* #,##0.00_-;\-* #,##0.00_-;_-* &quot;-&quot;??_-;_-@_-"/>
    <numFmt numFmtId="166" formatCode="_-* #,##0.00\ [$₫-42A]_-;\-* #,##0.00\ [$₫-42A]_-;_-* &quot;-&quot;??\ [$₫-42A]_-;_-@_-"/>
    <numFmt numFmtId="167" formatCode="0.0"/>
    <numFmt numFmtId="168" formatCode="0.000"/>
    <numFmt numFmtId="169" formatCode="_-* #,##0_-;\-* #,##0_-;_-* &quot;-&quot;??_-;_-@_-"/>
    <numFmt numFmtId="170" formatCode="#,##0,"/>
    <numFmt numFmtId="171" formatCode="0.00_);[Red]\(0.00\)"/>
    <numFmt numFmtId="172" formatCode="0_);[Red]\(0\)"/>
    <numFmt numFmtId="173" formatCode="0.0%"/>
  </numFmts>
  <fonts count="61">
    <font>
      <sz val="11"/>
      <color theme="1"/>
      <name val="Calibri"/>
      <family val="2"/>
      <scheme val="minor"/>
    </font>
    <font>
      <b/>
      <sz val="11"/>
      <color rgb="FF000000"/>
      <name val="Arial"/>
      <family val="2"/>
    </font>
    <font>
      <sz val="11"/>
      <color theme="1"/>
      <name val="Calibri"/>
      <family val="2"/>
    </font>
    <font>
      <sz val="11"/>
      <color rgb="FF000000"/>
      <name val="Arial"/>
      <family val="2"/>
    </font>
    <font>
      <sz val="11"/>
      <color theme="1"/>
      <name val="Arial"/>
      <family val="2"/>
    </font>
    <font>
      <sz val="11"/>
      <color rgb="FF000000"/>
      <name val="Arial"/>
      <family val="2"/>
    </font>
    <font>
      <sz val="11"/>
      <color rgb="FF000000"/>
      <name val="Hyundai Sans VN Head Office"/>
      <family val="2"/>
    </font>
    <font>
      <sz val="11"/>
      <color rgb="FFFF0000"/>
      <name val="Arial"/>
      <family val="2"/>
    </font>
    <font>
      <sz val="11"/>
      <color rgb="FFFF0000"/>
      <name val="Hyundai Sans VN Head Office"/>
      <family val="2"/>
    </font>
    <font>
      <sz val="11"/>
      <color rgb="FFFF0000"/>
      <name val="Arial"/>
      <family val="2"/>
    </font>
    <font>
      <sz val="11"/>
      <color rgb="FF000000"/>
      <name val="Calibri"/>
      <family val="2"/>
      <charset val="163"/>
    </font>
    <font>
      <sz val="11"/>
      <color rgb="FF000000"/>
      <name val="Arial"/>
      <family val="2"/>
    </font>
    <font>
      <sz val="11"/>
      <color rgb="FFFF0000"/>
      <name val="Arial"/>
      <family val="2"/>
    </font>
    <font>
      <sz val="11"/>
      <color rgb="FF000000"/>
      <name val="Calibri"/>
      <family val="2"/>
    </font>
    <font>
      <sz val="11"/>
      <color rgb="FF000000"/>
      <name val="Arial"/>
      <family val="2"/>
    </font>
    <font>
      <sz val="11"/>
      <color rgb="FFFF0000"/>
      <name val="Arial"/>
      <family val="2"/>
    </font>
    <font>
      <b/>
      <sz val="11"/>
      <color theme="1"/>
      <name val="Calibri"/>
      <family val="2"/>
      <scheme val="minor"/>
    </font>
    <font>
      <sz val="10"/>
      <color rgb="FF000000"/>
      <name val="Hyundai Sans Head"/>
      <family val="2"/>
    </font>
    <font>
      <sz val="10"/>
      <color rgb="FFFF0000"/>
      <name val="Hyundai Sans Head"/>
      <family val="2"/>
    </font>
    <font>
      <sz val="10"/>
      <name val="Hyundai Sans Head"/>
      <family val="2"/>
    </font>
    <font>
      <i/>
      <sz val="11"/>
      <color rgb="FFFF0000"/>
      <name val="Arial"/>
      <family val="2"/>
    </font>
    <font>
      <sz val="11"/>
      <color theme="1"/>
      <name val="Calibri"/>
      <family val="2"/>
      <scheme val="minor"/>
    </font>
    <font>
      <sz val="11"/>
      <color theme="1"/>
      <name val="Hyundai Sans Text"/>
      <family val="2"/>
    </font>
    <font>
      <b/>
      <sz val="11"/>
      <color theme="1"/>
      <name val="Hyundai Sans Text"/>
      <family val="2"/>
    </font>
    <font>
      <sz val="12"/>
      <color theme="1"/>
      <name val="Hyundai Sans Text"/>
      <family val="2"/>
    </font>
    <font>
      <sz val="6"/>
      <name val="Calibri"/>
      <family val="3"/>
      <charset val="128"/>
      <scheme val="minor"/>
    </font>
    <font>
      <sz val="11"/>
      <name val="游ゴシック"/>
      <family val="2"/>
    </font>
    <font>
      <b/>
      <sz val="12"/>
      <color theme="1"/>
      <name val="Hyundai Sans Head"/>
      <family val="2"/>
    </font>
    <font>
      <b/>
      <sz val="11"/>
      <color theme="1"/>
      <name val="Hyundai Sans Head"/>
      <family val="2"/>
    </font>
    <font>
      <sz val="11"/>
      <name val="Hyundai Sans Head"/>
      <family val="2"/>
    </font>
    <font>
      <b/>
      <sz val="24"/>
      <color theme="4"/>
      <name val="Hyundai Sans Head"/>
      <family val="2"/>
    </font>
    <font>
      <b/>
      <sz val="26"/>
      <color theme="4"/>
      <name val="Hyundai Sans Head"/>
      <family val="2"/>
    </font>
    <font>
      <b/>
      <sz val="14"/>
      <color theme="1"/>
      <name val="Calibri"/>
      <family val="2"/>
      <scheme val="minor"/>
    </font>
    <font>
      <b/>
      <sz val="22"/>
      <color rgb="FF002060"/>
      <name val="Hyundai Sans Head"/>
      <family val="2"/>
    </font>
    <font>
      <b/>
      <sz val="22"/>
      <color theme="1"/>
      <name val="Hyundai Sans Head"/>
      <family val="2"/>
    </font>
    <font>
      <sz val="11"/>
      <color rgb="FF002060"/>
      <name val="Hyundai Sans Text"/>
      <family val="2"/>
    </font>
    <font>
      <sz val="11"/>
      <color rgb="FF002060"/>
      <name val="Arial"/>
      <family val="2"/>
    </font>
    <font>
      <sz val="11"/>
      <color rgb="FF002060"/>
      <name val="Calibri"/>
      <family val="2"/>
      <scheme val="minor"/>
    </font>
    <font>
      <sz val="16"/>
      <color rgb="FF002060"/>
      <name val="Times New Roman"/>
      <family val="1"/>
      <charset val="163"/>
    </font>
    <font>
      <sz val="11"/>
      <color rgb="FF002060"/>
      <name val="Hyundai Sans VN Head Office"/>
      <family val="2"/>
    </font>
    <font>
      <i/>
      <sz val="11"/>
      <color rgb="FF002060"/>
      <name val="Arial"/>
      <family val="2"/>
    </font>
    <font>
      <sz val="12"/>
      <color rgb="FF002060"/>
      <name val="Hyundai Sans Text"/>
      <family val="2"/>
    </font>
    <font>
      <sz val="12"/>
      <color rgb="FF002060"/>
      <name val="Hyundai Sans Head"/>
      <family val="2"/>
    </font>
    <font>
      <sz val="11"/>
      <color rgb="FF002060"/>
      <name val="Hyundai Sans Head"/>
      <family val="2"/>
    </font>
    <font>
      <b/>
      <sz val="11"/>
      <color theme="0"/>
      <name val="Calibri"/>
      <family val="2"/>
      <scheme val="minor"/>
    </font>
    <font>
      <sz val="11"/>
      <color rgb="FFFF0000"/>
      <name val="Calibri"/>
      <family val="2"/>
      <scheme val="minor"/>
    </font>
    <font>
      <sz val="11"/>
      <color rgb="FFFF0000"/>
      <name val="Hyundai Sans Head"/>
      <family val="2"/>
    </font>
    <font>
      <sz val="11"/>
      <color rgb="FF000000"/>
      <name val="Hyundai Sans Text"/>
      <family val="2"/>
    </font>
    <font>
      <sz val="11"/>
      <name val="Arial"/>
      <family val="2"/>
    </font>
    <font>
      <sz val="11"/>
      <color theme="1"/>
      <name val="Calibri"/>
      <family val="2"/>
      <charset val="163"/>
    </font>
    <font>
      <b/>
      <sz val="11"/>
      <color theme="0"/>
      <name val="Calibri"/>
      <family val="2"/>
      <charset val="128"/>
      <scheme val="minor"/>
    </font>
    <font>
      <sz val="12"/>
      <color theme="1"/>
      <name val="Calibri"/>
      <family val="2"/>
      <charset val="163"/>
    </font>
    <font>
      <b/>
      <sz val="11"/>
      <color theme="0"/>
      <name val="Calibri"/>
      <family val="2"/>
    </font>
    <font>
      <sz val="11"/>
      <color theme="1"/>
      <name val="Hyundai Sans Head"/>
      <family val="2"/>
    </font>
    <font>
      <b/>
      <sz val="11"/>
      <color rgb="FFFF0000"/>
      <name val="Hyundai Sans Head"/>
      <family val="2"/>
    </font>
    <font>
      <b/>
      <u/>
      <sz val="11"/>
      <color rgb="FFFF0000"/>
      <name val="Hyundai Sans Head"/>
      <family val="2"/>
    </font>
    <font>
      <b/>
      <sz val="11"/>
      <color rgb="FFFF0000"/>
      <name val="Calibri"/>
      <family val="2"/>
      <charset val="163"/>
    </font>
    <font>
      <b/>
      <sz val="9"/>
      <color indexed="81"/>
      <name val="Tahoma"/>
      <family val="2"/>
    </font>
    <font>
      <b/>
      <sz val="10"/>
      <color rgb="FF000000"/>
      <name val="Calibri"/>
      <family val="2"/>
      <scheme val="minor"/>
    </font>
    <font>
      <sz val="12"/>
      <color theme="1"/>
      <name val="Calibri"/>
      <family val="2"/>
      <charset val="163"/>
      <scheme val="minor"/>
    </font>
    <font>
      <sz val="12"/>
      <color theme="1"/>
      <name val="Hyundai Sans Head"/>
      <family val="2"/>
    </font>
  </fonts>
  <fills count="20">
    <fill>
      <patternFill patternType="none"/>
    </fill>
    <fill>
      <patternFill patternType="gray125"/>
    </fill>
    <fill>
      <patternFill patternType="solid">
        <fgColor rgb="FFF3F3F3"/>
        <bgColor indexed="64"/>
      </patternFill>
    </fill>
    <fill>
      <patternFill patternType="solid">
        <fgColor rgb="FFF8CBAD"/>
        <bgColor indexed="64"/>
      </patternFill>
    </fill>
    <fill>
      <patternFill patternType="solid">
        <fgColor rgb="FFA9D08E"/>
        <bgColor indexed="64"/>
      </patternFill>
    </fill>
    <fill>
      <patternFill patternType="solid">
        <fgColor rgb="FFFFD966"/>
        <bgColor indexed="64"/>
      </patternFill>
    </fill>
    <fill>
      <patternFill patternType="solid">
        <fgColor rgb="FFFFFFFF"/>
        <bgColor indexed="64"/>
      </patternFill>
    </fill>
    <fill>
      <patternFill patternType="solid">
        <fgColor rgb="FFBFBFBF"/>
        <bgColor rgb="FF000000"/>
      </patternFill>
    </fill>
    <fill>
      <patternFill patternType="solid">
        <fgColor rgb="FFD9D9D9"/>
        <bgColor indexed="64"/>
      </patternFill>
    </fill>
    <fill>
      <patternFill patternType="solid">
        <fgColor rgb="FFFFFF00"/>
        <bgColor indexed="64"/>
      </patternFill>
    </fill>
    <fill>
      <patternFill patternType="solid">
        <fgColor theme="0"/>
        <bgColor indexed="64"/>
      </patternFill>
    </fill>
    <fill>
      <patternFill patternType="solid">
        <fgColor rgb="FFEDCA8B"/>
        <bgColor indexed="64"/>
      </patternFill>
    </fill>
    <fill>
      <patternFill patternType="solid">
        <fgColor rgb="FFA9D08E"/>
        <bgColor rgb="FF000000"/>
      </patternFill>
    </fill>
    <fill>
      <patternFill patternType="solid">
        <fgColor rgb="FFFFFF00"/>
        <bgColor rgb="FF000000"/>
      </patternFill>
    </fill>
    <fill>
      <patternFill patternType="solid">
        <fgColor theme="7" tint="0.39997558519241921"/>
        <bgColor rgb="FF000000"/>
      </patternFill>
    </fill>
    <fill>
      <patternFill patternType="solid">
        <fgColor theme="0" tint="-0.14999847407452621"/>
        <bgColor indexed="64"/>
      </patternFill>
    </fill>
    <fill>
      <patternFill patternType="solid">
        <fgColor theme="4"/>
        <bgColor theme="4"/>
      </patternFill>
    </fill>
    <fill>
      <patternFill patternType="solid">
        <fgColor rgb="FFB0B4A6"/>
        <bgColor indexed="64"/>
      </patternFill>
    </fill>
    <fill>
      <patternFill patternType="solid">
        <fgColor theme="4" tint="0.79998168889431442"/>
        <bgColor theme="4" tint="0.79998168889431442"/>
      </patternFill>
    </fill>
    <fill>
      <patternFill patternType="solid">
        <fgColor rgb="FFFFFFFF"/>
        <bgColor rgb="FF000000"/>
      </patternFill>
    </fill>
  </fills>
  <borders count="56">
    <border>
      <left/>
      <right/>
      <top/>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CCCCCC"/>
      </left>
      <right/>
      <top style="thin">
        <color rgb="FFCCCCCC"/>
      </top>
      <bottom style="thin">
        <color rgb="FF000000"/>
      </bottom>
      <diagonal/>
    </border>
    <border>
      <left/>
      <right style="thin">
        <color rgb="FF000000"/>
      </right>
      <top style="thin">
        <color rgb="FFCCCCCC"/>
      </top>
      <bottom style="thin">
        <color rgb="FF000000"/>
      </bottom>
      <diagonal/>
    </border>
    <border>
      <left/>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CCCCCC"/>
      </left>
      <right style="thin">
        <color rgb="FF000000"/>
      </right>
      <top/>
      <bottom/>
      <diagonal/>
    </border>
    <border>
      <left/>
      <right style="thin">
        <color rgb="FF000000"/>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top style="medium">
        <color theme="4" tint="-0.249977111117893"/>
      </top>
      <bottom/>
      <diagonal/>
    </border>
    <border>
      <left/>
      <right style="thin">
        <color indexed="64"/>
      </right>
      <top/>
      <bottom/>
      <diagonal/>
    </border>
  </borders>
  <cellStyleXfs count="4">
    <xf numFmtId="0" fontId="0" fillId="0" borderId="0"/>
    <xf numFmtId="165" fontId="21" fillId="0" borderId="0" applyFont="0" applyFill="0" applyBorder="0" applyAlignment="0" applyProtection="0"/>
    <xf numFmtId="9" fontId="21" fillId="0" borderId="0" applyFont="0" applyFill="0" applyBorder="0" applyAlignment="0" applyProtection="0"/>
    <xf numFmtId="165" fontId="21" fillId="0" borderId="0" applyFont="0" applyFill="0" applyBorder="0" applyAlignment="0" applyProtection="0"/>
  </cellStyleXfs>
  <cellXfs count="339">
    <xf numFmtId="0" fontId="0" fillId="0" borderId="0" xfId="0"/>
    <xf numFmtId="0" fontId="0" fillId="0" borderId="0" xfId="0" applyAlignment="1">
      <alignment vertical="center"/>
    </xf>
    <xf numFmtId="0" fontId="1" fillId="2" borderId="7" xfId="0" applyFont="1" applyFill="1" applyBorder="1" applyAlignment="1">
      <alignment horizontal="center" vertical="center" readingOrder="1"/>
    </xf>
    <xf numFmtId="0" fontId="1" fillId="2" borderId="8" xfId="0" applyFont="1" applyFill="1" applyBorder="1" applyAlignment="1">
      <alignment horizontal="center" vertical="center" readingOrder="1"/>
    </xf>
    <xf numFmtId="0" fontId="1" fillId="2" borderId="8" xfId="0" applyFont="1" applyFill="1" applyBorder="1" applyAlignment="1">
      <alignment horizontal="center" vertical="center" wrapText="1" readingOrder="1"/>
    </xf>
    <xf numFmtId="0" fontId="0" fillId="0" borderId="0" xfId="0" applyAlignment="1">
      <alignment horizontal="center" vertical="center"/>
    </xf>
    <xf numFmtId="0" fontId="2" fillId="0" borderId="1" xfId="0" applyFont="1" applyBorder="1" applyAlignment="1">
      <alignment horizontal="center" vertical="center" readingOrder="1"/>
    </xf>
    <xf numFmtId="0" fontId="2" fillId="0" borderId="2" xfId="0" applyFont="1" applyBorder="1" applyAlignment="1">
      <alignment horizontal="center" vertical="center" readingOrder="1"/>
    </xf>
    <xf numFmtId="0" fontId="2" fillId="0" borderId="3" xfId="0" applyFont="1" applyBorder="1" applyAlignment="1">
      <alignment horizontal="center" vertical="center" readingOrder="1"/>
    </xf>
    <xf numFmtId="0" fontId="3" fillId="0" borderId="8" xfId="0" applyFont="1" applyBorder="1" applyAlignment="1">
      <alignment vertical="center" readingOrder="1"/>
    </xf>
    <xf numFmtId="0" fontId="4" fillId="0" borderId="8" xfId="0" applyFont="1" applyBorder="1" applyAlignment="1">
      <alignment vertical="center" readingOrder="1"/>
    </xf>
    <xf numFmtId="0" fontId="3" fillId="0" borderId="7" xfId="0" applyFont="1" applyBorder="1" applyAlignment="1">
      <alignment horizontal="center" vertical="center" readingOrder="1"/>
    </xf>
    <xf numFmtId="0" fontId="3" fillId="0" borderId="8" xfId="0" applyFont="1" applyBorder="1" applyAlignment="1">
      <alignment horizontal="center" vertical="center" readingOrder="1"/>
    </xf>
    <xf numFmtId="0" fontId="2" fillId="0" borderId="8" xfId="0" applyFont="1" applyBorder="1" applyAlignment="1">
      <alignment horizontal="center" vertical="center" readingOrder="1"/>
    </xf>
    <xf numFmtId="0" fontId="4" fillId="0" borderId="8" xfId="0" applyFont="1" applyBorder="1" applyAlignment="1">
      <alignment horizontal="center" vertical="center" readingOrder="1"/>
    </xf>
    <xf numFmtId="0" fontId="1" fillId="3" borderId="8" xfId="0" applyFont="1" applyFill="1" applyBorder="1" applyAlignment="1">
      <alignment horizontal="center" vertical="center" readingOrder="1"/>
    </xf>
    <xf numFmtId="0" fontId="2" fillId="4" borderId="3" xfId="0" applyFont="1" applyFill="1" applyBorder="1" applyAlignment="1">
      <alignment horizontal="center" vertical="center" readingOrder="1"/>
    </xf>
    <xf numFmtId="0" fontId="1" fillId="4" borderId="8" xfId="0" applyFont="1" applyFill="1" applyBorder="1" applyAlignment="1">
      <alignment horizontal="center" vertical="center" readingOrder="1"/>
    </xf>
    <xf numFmtId="0" fontId="1" fillId="4" borderId="8" xfId="0" applyFont="1" applyFill="1" applyBorder="1" applyAlignment="1">
      <alignment horizontal="center" vertical="center" wrapText="1" readingOrder="1"/>
    </xf>
    <xf numFmtId="0" fontId="1" fillId="4" borderId="13" xfId="0" applyFont="1" applyFill="1" applyBorder="1" applyAlignment="1">
      <alignment horizontal="center" vertical="center" wrapText="1" readingOrder="1"/>
    </xf>
    <xf numFmtId="0" fontId="1" fillId="3" borderId="12" xfId="0" applyFont="1" applyFill="1" applyBorder="1" applyAlignment="1">
      <alignment horizontal="center" vertical="center" wrapText="1" readingOrder="1"/>
    </xf>
    <xf numFmtId="0" fontId="1" fillId="5" borderId="13" xfId="0" applyFont="1" applyFill="1" applyBorder="1" applyAlignment="1">
      <alignment horizontal="center" vertical="center" wrapText="1" readingOrder="1"/>
    </xf>
    <xf numFmtId="0" fontId="1" fillId="5" borderId="8" xfId="0" applyFont="1" applyFill="1" applyBorder="1" applyAlignment="1">
      <alignment horizontal="center" vertical="center" wrapText="1" readingOrder="1"/>
    </xf>
    <xf numFmtId="166" fontId="1" fillId="3" borderId="12" xfId="0" applyNumberFormat="1" applyFont="1" applyFill="1" applyBorder="1" applyAlignment="1">
      <alignment horizontal="center" vertical="center" wrapText="1" readingOrder="1"/>
    </xf>
    <xf numFmtId="166" fontId="0" fillId="0" borderId="0" xfId="0" applyNumberFormat="1" applyAlignment="1">
      <alignment vertical="center"/>
    </xf>
    <xf numFmtId="166" fontId="0" fillId="0" borderId="0" xfId="0" applyNumberFormat="1"/>
    <xf numFmtId="1" fontId="3" fillId="0" borderId="20" xfId="0" applyNumberFormat="1" applyFont="1" applyBorder="1" applyAlignment="1">
      <alignment horizontal="center" vertical="center" readingOrder="1"/>
    </xf>
    <xf numFmtId="1" fontId="3" fillId="0" borderId="8" xfId="0" applyNumberFormat="1" applyFont="1" applyBorder="1" applyAlignment="1">
      <alignment horizontal="center" vertical="center" readingOrder="1"/>
    </xf>
    <xf numFmtId="0" fontId="1" fillId="3" borderId="19" xfId="0" applyFont="1" applyFill="1" applyBorder="1" applyAlignment="1">
      <alignment horizontal="center" vertical="center" wrapText="1" readingOrder="1"/>
    </xf>
    <xf numFmtId="0" fontId="1" fillId="4" borderId="17" xfId="0" applyFont="1" applyFill="1" applyBorder="1" applyAlignment="1">
      <alignment horizontal="center" vertical="center" wrapText="1" readingOrder="1"/>
    </xf>
    <xf numFmtId="166" fontId="1" fillId="3" borderId="10" xfId="0" applyNumberFormat="1" applyFont="1" applyFill="1" applyBorder="1" applyAlignment="1">
      <alignment horizontal="center" vertical="center" wrapText="1" readingOrder="1"/>
    </xf>
    <xf numFmtId="0" fontId="1" fillId="3" borderId="11" xfId="0" applyFont="1" applyFill="1" applyBorder="1" applyAlignment="1">
      <alignment horizontal="center" vertical="center" wrapText="1" readingOrder="1"/>
    </xf>
    <xf numFmtId="167" fontId="3" fillId="0" borderId="8" xfId="0" applyNumberFormat="1" applyFont="1" applyBorder="1" applyAlignment="1">
      <alignment horizontal="center" vertical="center" readingOrder="1"/>
    </xf>
    <xf numFmtId="0" fontId="5" fillId="0" borderId="23" xfId="0" applyFont="1" applyBorder="1" applyAlignment="1">
      <alignment horizontal="center" vertical="center" wrapText="1"/>
    </xf>
    <xf numFmtId="0" fontId="5" fillId="0" borderId="25" xfId="0" applyFont="1" applyBorder="1" applyAlignment="1">
      <alignment horizontal="center" vertical="center" wrapText="1"/>
    </xf>
    <xf numFmtId="2" fontId="3" fillId="0" borderId="20" xfId="0" applyNumberFormat="1" applyFont="1" applyBorder="1" applyAlignment="1">
      <alignment horizontal="center" vertical="center" readingOrder="1"/>
    </xf>
    <xf numFmtId="168" fontId="3" fillId="0" borderId="8" xfId="0" applyNumberFormat="1" applyFont="1" applyBorder="1" applyAlignment="1">
      <alignment horizontal="center" vertical="center" readingOrder="1"/>
    </xf>
    <xf numFmtId="167" fontId="3" fillId="0" borderId="20" xfId="0" applyNumberFormat="1" applyFont="1" applyBorder="1" applyAlignment="1">
      <alignment horizontal="center" vertical="center" readingOrder="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3" fontId="5" fillId="0" borderId="25" xfId="0" applyNumberFormat="1" applyFont="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5" xfId="0" applyFont="1" applyBorder="1" applyAlignment="1">
      <alignment horizontal="center" vertical="center" wrapText="1"/>
    </xf>
    <xf numFmtId="1" fontId="9" fillId="0" borderId="20" xfId="0" applyNumberFormat="1" applyFont="1" applyBorder="1" applyAlignment="1">
      <alignment horizontal="center" vertical="center" readingOrder="1"/>
    </xf>
    <xf numFmtId="1" fontId="9" fillId="0" borderId="8" xfId="0" applyNumberFormat="1" applyFont="1" applyBorder="1" applyAlignment="1">
      <alignment horizontal="center" vertical="center" readingOrder="1"/>
    </xf>
    <xf numFmtId="1" fontId="0" fillId="0" borderId="0" xfId="0" applyNumberFormat="1" applyAlignment="1">
      <alignment vertical="center"/>
    </xf>
    <xf numFmtId="0" fontId="10" fillId="0" borderId="0" xfId="0" applyFont="1"/>
    <xf numFmtId="0" fontId="3" fillId="0" borderId="20" xfId="0" applyFont="1" applyBorder="1" applyAlignment="1">
      <alignment readingOrder="1"/>
    </xf>
    <xf numFmtId="0" fontId="3" fillId="0" borderId="8" xfId="0" applyFont="1" applyBorder="1" applyAlignment="1">
      <alignment readingOrder="1"/>
    </xf>
    <xf numFmtId="1" fontId="0" fillId="0" borderId="0" xfId="0" applyNumberFormat="1"/>
    <xf numFmtId="0" fontId="7" fillId="7" borderId="23" xfId="0" applyFont="1" applyFill="1" applyBorder="1" applyAlignment="1">
      <alignment horizontal="center" vertical="center" wrapText="1"/>
    </xf>
    <xf numFmtId="0" fontId="7" fillId="7" borderId="24" xfId="0"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4" xfId="0" applyFont="1" applyFill="1" applyBorder="1" applyAlignment="1">
      <alignment horizontal="center" vertical="center" wrapText="1"/>
    </xf>
    <xf numFmtId="0" fontId="12" fillId="0" borderId="24"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25" xfId="0" applyFont="1" applyBorder="1" applyAlignment="1">
      <alignment horizontal="center" vertical="center" wrapText="1"/>
    </xf>
    <xf numFmtId="3" fontId="11" fillId="0" borderId="25" xfId="0" applyNumberFormat="1" applyFont="1" applyBorder="1" applyAlignment="1">
      <alignment horizontal="center" vertical="center" wrapText="1"/>
    </xf>
    <xf numFmtId="0" fontId="11" fillId="0" borderId="23" xfId="0" applyFont="1" applyBorder="1" applyAlignment="1">
      <alignment horizontal="center" vertical="center" wrapText="1"/>
    </xf>
    <xf numFmtId="0" fontId="12" fillId="7" borderId="23" xfId="0" applyFont="1" applyFill="1" applyBorder="1" applyAlignment="1">
      <alignment horizontal="center" vertical="center" wrapText="1"/>
    </xf>
    <xf numFmtId="0" fontId="12" fillId="7" borderId="24" xfId="0" applyFont="1" applyFill="1" applyBorder="1" applyAlignment="1">
      <alignment horizontal="center" vertical="center" wrapText="1"/>
    </xf>
    <xf numFmtId="0" fontId="13" fillId="0" borderId="0" xfId="0" applyFont="1"/>
    <xf numFmtId="0" fontId="7" fillId="0" borderId="24" xfId="0" applyFont="1" applyBorder="1" applyAlignment="1">
      <alignment wrapText="1"/>
    </xf>
    <xf numFmtId="0" fontId="9" fillId="0" borderId="8" xfId="0" applyFont="1" applyBorder="1" applyAlignment="1">
      <alignment readingOrder="1"/>
    </xf>
    <xf numFmtId="0" fontId="7" fillId="0" borderId="25" xfId="0" applyFont="1" applyBorder="1" applyAlignment="1">
      <alignment wrapText="1"/>
    </xf>
    <xf numFmtId="2" fontId="3" fillId="0" borderId="8" xfId="0" applyNumberFormat="1" applyFont="1" applyBorder="1" applyAlignment="1">
      <alignment horizontal="center" vertical="center" readingOrder="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25" xfId="0" applyFont="1" applyBorder="1" applyAlignment="1">
      <alignment horizontal="center" vertical="center" wrapText="1"/>
    </xf>
    <xf numFmtId="1" fontId="9" fillId="8" borderId="20" xfId="0" applyNumberFormat="1" applyFont="1" applyFill="1" applyBorder="1" applyAlignment="1">
      <alignment horizontal="center" vertical="center" readingOrder="1"/>
    </xf>
    <xf numFmtId="1" fontId="9" fillId="8" borderId="8" xfId="0" applyNumberFormat="1" applyFont="1" applyFill="1" applyBorder="1" applyAlignment="1">
      <alignment horizontal="center" vertical="center" readingOrder="1"/>
    </xf>
    <xf numFmtId="0" fontId="12" fillId="8" borderId="23"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0" borderId="0" xfId="0" applyNumberFormat="1" applyFont="1"/>
    <xf numFmtId="10" fontId="10" fillId="0" borderId="0" xfId="0" applyNumberFormat="1" applyFont="1"/>
    <xf numFmtId="0" fontId="16" fillId="0" borderId="0" xfId="0" applyFont="1" applyAlignment="1">
      <alignment horizontal="center" vertical="center"/>
    </xf>
    <xf numFmtId="166" fontId="0" fillId="0" borderId="0" xfId="0" applyNumberFormat="1" applyAlignment="1">
      <alignment horizontal="center" vertical="center"/>
    </xf>
    <xf numFmtId="0" fontId="17" fillId="0" borderId="23" xfId="0" applyFont="1" applyBorder="1" applyAlignment="1">
      <alignment horizontal="center" vertical="center" wrapText="1"/>
    </xf>
    <xf numFmtId="0" fontId="17" fillId="0" borderId="25" xfId="0" applyFont="1" applyBorder="1" applyAlignment="1">
      <alignment horizontal="center" vertical="center" wrapText="1"/>
    </xf>
    <xf numFmtId="0" fontId="18" fillId="7" borderId="23" xfId="0" applyFont="1" applyFill="1" applyBorder="1" applyAlignment="1">
      <alignment horizontal="center" vertical="center" wrapText="1"/>
    </xf>
    <xf numFmtId="0" fontId="18" fillId="7" borderId="24" xfId="0" applyFont="1" applyFill="1" applyBorder="1" applyAlignment="1">
      <alignment horizontal="center" vertical="center" wrapText="1"/>
    </xf>
    <xf numFmtId="0" fontId="5" fillId="0" borderId="28" xfId="0" applyFont="1" applyBorder="1" applyAlignment="1">
      <alignment horizontal="center" vertical="center" wrapText="1"/>
    </xf>
    <xf numFmtId="3" fontId="5" fillId="0" borderId="23" xfId="0" applyNumberFormat="1" applyFont="1" applyBorder="1" applyAlignment="1">
      <alignment horizontal="center" vertical="center" wrapText="1"/>
    </xf>
    <xf numFmtId="0" fontId="7" fillId="7" borderId="26" xfId="0" applyFont="1" applyFill="1" applyBorder="1" applyAlignment="1">
      <alignment horizontal="center" vertical="center" wrapText="1"/>
    </xf>
    <xf numFmtId="0" fontId="7" fillId="7" borderId="27" xfId="0" applyFont="1" applyFill="1" applyBorder="1" applyAlignment="1">
      <alignment horizontal="center" vertical="center" wrapText="1"/>
    </xf>
    <xf numFmtId="0" fontId="5" fillId="0" borderId="25" xfId="0" quotePrefix="1" applyFont="1" applyBorder="1" applyAlignment="1">
      <alignment horizontal="center" vertical="center" wrapText="1"/>
    </xf>
    <xf numFmtId="0" fontId="19" fillId="0" borderId="23" xfId="0" applyFont="1" applyBorder="1" applyAlignment="1">
      <alignment horizontal="center" vertical="center" wrapText="1"/>
    </xf>
    <xf numFmtId="0" fontId="19" fillId="0" borderId="25" xfId="0" applyFont="1" applyBorder="1" applyAlignment="1">
      <alignment horizontal="center" vertical="center" wrapText="1"/>
    </xf>
    <xf numFmtId="0" fontId="13" fillId="0" borderId="0" xfId="0" applyFont="1" applyAlignment="1">
      <alignment horizontal="center" vertical="center" wrapText="1"/>
    </xf>
    <xf numFmtId="0" fontId="19" fillId="7" borderId="23" xfId="0" applyFont="1" applyFill="1" applyBorder="1" applyAlignment="1">
      <alignment horizontal="center" vertical="center" wrapText="1"/>
    </xf>
    <xf numFmtId="0" fontId="19" fillId="7" borderId="24" xfId="0" applyFont="1" applyFill="1" applyBorder="1" applyAlignment="1">
      <alignment horizontal="center" vertical="center" wrapText="1"/>
    </xf>
    <xf numFmtId="0" fontId="12" fillId="7" borderId="12" xfId="0" applyFont="1" applyFill="1" applyBorder="1" applyAlignment="1">
      <alignment horizontal="center" vertical="center" wrapText="1"/>
    </xf>
    <xf numFmtId="1" fontId="3" fillId="0" borderId="12" xfId="0" applyNumberFormat="1" applyFont="1" applyBorder="1" applyAlignment="1">
      <alignment horizontal="center" vertical="center" readingOrder="1"/>
    </xf>
    <xf numFmtId="1" fontId="3" fillId="0" borderId="29" xfId="0" applyNumberFormat="1" applyFont="1" applyBorder="1" applyAlignment="1">
      <alignment horizontal="center" vertical="center" readingOrder="1"/>
    </xf>
    <xf numFmtId="1" fontId="3" fillId="0" borderId="30" xfId="0" applyNumberFormat="1" applyFont="1" applyBorder="1" applyAlignment="1">
      <alignment horizontal="center" vertical="center" readingOrder="1"/>
    </xf>
    <xf numFmtId="167" fontId="3" fillId="0" borderId="30" xfId="0" applyNumberFormat="1" applyFont="1" applyBorder="1" applyAlignment="1">
      <alignment horizontal="center" vertical="center" readingOrder="1"/>
    </xf>
    <xf numFmtId="166" fontId="1" fillId="3" borderId="18" xfId="0" applyNumberFormat="1" applyFont="1" applyFill="1" applyBorder="1" applyAlignment="1">
      <alignment horizontal="center" vertical="center" wrapText="1" readingOrder="1"/>
    </xf>
    <xf numFmtId="2" fontId="3" fillId="0" borderId="31" xfId="0" applyNumberFormat="1" applyFont="1" applyBorder="1" applyAlignment="1">
      <alignment horizontal="center" vertical="center" readingOrder="1"/>
    </xf>
    <xf numFmtId="167" fontId="3" fillId="0" borderId="31" xfId="0" applyNumberFormat="1" applyFont="1" applyBorder="1" applyAlignment="1">
      <alignment horizontal="center" vertical="center" readingOrder="1"/>
    </xf>
    <xf numFmtId="1" fontId="3" fillId="0" borderId="32" xfId="0" applyNumberFormat="1" applyFont="1" applyBorder="1" applyAlignment="1">
      <alignment horizontal="center" vertical="center" readingOrder="1"/>
    </xf>
    <xf numFmtId="1" fontId="3" fillId="0" borderId="31" xfId="0" applyNumberFormat="1" applyFont="1" applyBorder="1" applyAlignment="1">
      <alignment horizontal="center" vertical="center" readingOrder="1"/>
    </xf>
    <xf numFmtId="166" fontId="1" fillId="3" borderId="11" xfId="0" applyNumberFormat="1" applyFont="1" applyFill="1" applyBorder="1" applyAlignment="1">
      <alignment horizontal="center" vertical="center" wrapText="1" readingOrder="1"/>
    </xf>
    <xf numFmtId="1" fontId="3" fillId="0" borderId="17" xfId="0" applyNumberFormat="1" applyFont="1" applyBorder="1" applyAlignment="1">
      <alignment horizontal="center" vertical="center" readingOrder="1"/>
    </xf>
    <xf numFmtId="2" fontId="3" fillId="0" borderId="13" xfId="0" applyNumberFormat="1" applyFont="1" applyBorder="1" applyAlignment="1">
      <alignment horizontal="center" vertical="center" readingOrder="1"/>
    </xf>
    <xf numFmtId="167" fontId="3" fillId="0" borderId="13" xfId="0" applyNumberFormat="1" applyFont="1" applyBorder="1" applyAlignment="1">
      <alignment horizontal="center" vertical="center" readingOrder="1"/>
    </xf>
    <xf numFmtId="1" fontId="3" fillId="0" borderId="13" xfId="0" applyNumberFormat="1" applyFont="1" applyBorder="1" applyAlignment="1">
      <alignment horizontal="center" vertical="center" readingOrder="1"/>
    </xf>
    <xf numFmtId="167" fontId="3" fillId="0" borderId="32" xfId="0" applyNumberFormat="1" applyFont="1" applyBorder="1" applyAlignment="1">
      <alignment horizontal="center" vertical="center" readingOrder="1"/>
    </xf>
    <xf numFmtId="2" fontId="0" fillId="0" borderId="0" xfId="0" applyNumberFormat="1"/>
    <xf numFmtId="0" fontId="20" fillId="7" borderId="23"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3" fillId="0" borderId="10" xfId="0" applyFont="1" applyBorder="1" applyAlignment="1">
      <alignment horizontal="center" vertical="center" readingOrder="1"/>
    </xf>
    <xf numFmtId="0" fontId="3" fillId="0" borderId="11" xfId="0" applyFont="1" applyBorder="1" applyAlignment="1">
      <alignment horizontal="center" vertical="center" readingOrder="1"/>
    </xf>
    <xf numFmtId="2" fontId="0" fillId="0" borderId="0" xfId="0" applyNumberFormat="1" applyAlignment="1">
      <alignment vertical="center"/>
    </xf>
    <xf numFmtId="0" fontId="24" fillId="10" borderId="40" xfId="0" applyFont="1" applyFill="1" applyBorder="1" applyAlignment="1">
      <alignment horizontal="left" vertical="center" wrapText="1"/>
    </xf>
    <xf numFmtId="0" fontId="24" fillId="10" borderId="37" xfId="0" applyFont="1" applyFill="1" applyBorder="1" applyAlignment="1">
      <alignment horizontal="left" vertical="center" wrapText="1"/>
    </xf>
    <xf numFmtId="0" fontId="24" fillId="10" borderId="36" xfId="0" applyFont="1" applyFill="1" applyBorder="1" applyAlignment="1">
      <alignment horizontal="left" vertical="center" wrapText="1"/>
    </xf>
    <xf numFmtId="169" fontId="0" fillId="0" borderId="0" xfId="0" applyNumberFormat="1"/>
    <xf numFmtId="0" fontId="24" fillId="10" borderId="42" xfId="0" applyFont="1" applyFill="1" applyBorder="1" applyAlignment="1">
      <alignment vertical="center"/>
    </xf>
    <xf numFmtId="0" fontId="24" fillId="10" borderId="35" xfId="0" applyFont="1" applyFill="1" applyBorder="1" applyAlignment="1">
      <alignment vertical="center"/>
    </xf>
    <xf numFmtId="0" fontId="24" fillId="10" borderId="34" xfId="0" applyFont="1" applyFill="1" applyBorder="1" applyAlignment="1">
      <alignment vertical="center"/>
    </xf>
    <xf numFmtId="0" fontId="0" fillId="0" borderId="0" xfId="0" pivotButton="1"/>
    <xf numFmtId="0" fontId="0" fillId="0" borderId="0" xfId="0" applyAlignment="1">
      <alignment horizontal="left"/>
    </xf>
    <xf numFmtId="0" fontId="27" fillId="10" borderId="38" xfId="0" applyFont="1" applyFill="1" applyBorder="1" applyAlignment="1">
      <alignment vertical="center" wrapText="1"/>
    </xf>
    <xf numFmtId="0" fontId="27" fillId="10" borderId="41" xfId="0" applyFont="1" applyFill="1" applyBorder="1" applyAlignment="1">
      <alignment vertical="center" wrapText="1"/>
    </xf>
    <xf numFmtId="9" fontId="0" fillId="0" borderId="0" xfId="0" applyNumberFormat="1"/>
    <xf numFmtId="171" fontId="0" fillId="0" borderId="0" xfId="0" applyNumberFormat="1"/>
    <xf numFmtId="172" fontId="0" fillId="0" borderId="0" xfId="0" applyNumberFormat="1"/>
    <xf numFmtId="170" fontId="0" fillId="0" borderId="0" xfId="0" applyNumberFormat="1"/>
    <xf numFmtId="0" fontId="1" fillId="14" borderId="39" xfId="0" applyFont="1" applyFill="1" applyBorder="1" applyAlignment="1">
      <alignment horizontal="center" vertical="center" wrapText="1" readingOrder="1"/>
    </xf>
    <xf numFmtId="1" fontId="1" fillId="14" borderId="39" xfId="0" applyNumberFormat="1" applyFont="1" applyFill="1" applyBorder="1" applyAlignment="1">
      <alignment horizontal="center" vertical="center" wrapText="1" readingOrder="1"/>
    </xf>
    <xf numFmtId="0" fontId="0" fillId="15" borderId="0" xfId="0" applyFill="1"/>
    <xf numFmtId="169" fontId="0" fillId="0" borderId="0" xfId="1" applyNumberFormat="1" applyFont="1"/>
    <xf numFmtId="9" fontId="35" fillId="0" borderId="27" xfId="2" applyFont="1" applyFill="1" applyBorder="1" applyAlignment="1">
      <alignment horizontal="left" vertical="center" wrapText="1"/>
    </xf>
    <xf numFmtId="9" fontId="35" fillId="0" borderId="27" xfId="2" applyFont="1" applyFill="1" applyBorder="1" applyAlignment="1">
      <alignment vertical="center"/>
    </xf>
    <xf numFmtId="169" fontId="35" fillId="0" borderId="27" xfId="1" applyNumberFormat="1" applyFont="1" applyFill="1" applyBorder="1" applyAlignment="1">
      <alignment vertical="center"/>
    </xf>
    <xf numFmtId="170" fontId="35" fillId="0" borderId="27" xfId="1" applyNumberFormat="1" applyFont="1" applyFill="1" applyBorder="1" applyAlignment="1">
      <alignment horizontal="center" vertical="center" wrapText="1"/>
    </xf>
    <xf numFmtId="0" fontId="22" fillId="10" borderId="40" xfId="0" applyFont="1" applyFill="1" applyBorder="1" applyAlignment="1">
      <alignment horizontal="left" vertical="center" wrapText="1"/>
    </xf>
    <xf numFmtId="0" fontId="22" fillId="10" borderId="37" xfId="0" applyFont="1" applyFill="1" applyBorder="1" applyAlignment="1">
      <alignment horizontal="left" vertical="center" wrapText="1"/>
    </xf>
    <xf numFmtId="0" fontId="22" fillId="10" borderId="36" xfId="0" applyFont="1" applyFill="1" applyBorder="1" applyAlignment="1">
      <alignment horizontal="left" vertical="center" wrapText="1"/>
    </xf>
    <xf numFmtId="0" fontId="28" fillId="10" borderId="50" xfId="0" applyFont="1" applyFill="1" applyBorder="1" applyAlignment="1">
      <alignment horizontal="center" vertical="center" wrapText="1"/>
    </xf>
    <xf numFmtId="169" fontId="28" fillId="10" borderId="51" xfId="1" applyNumberFormat="1" applyFont="1" applyFill="1" applyBorder="1" applyAlignment="1">
      <alignment horizontal="center" vertical="center" wrapText="1"/>
    </xf>
    <xf numFmtId="169" fontId="28" fillId="10" borderId="52" xfId="1" applyNumberFormat="1" applyFont="1" applyFill="1" applyBorder="1" applyAlignment="1">
      <alignment horizontal="center" vertical="center" wrapText="1"/>
    </xf>
    <xf numFmtId="0" fontId="1" fillId="12" borderId="53" xfId="0" applyFont="1" applyFill="1" applyBorder="1" applyAlignment="1">
      <alignment vertical="center" wrapText="1" readingOrder="1"/>
    </xf>
    <xf numFmtId="0" fontId="1" fillId="12" borderId="53" xfId="0" applyFont="1" applyFill="1" applyBorder="1" applyAlignment="1">
      <alignment horizontal="center" vertical="center" wrapText="1" readingOrder="1"/>
    </xf>
    <xf numFmtId="0" fontId="1" fillId="13" borderId="53" xfId="0" applyFont="1" applyFill="1" applyBorder="1" applyAlignment="1">
      <alignment horizontal="center" vertical="center" wrapText="1" readingOrder="1"/>
    </xf>
    <xf numFmtId="172" fontId="28" fillId="10" borderId="51" xfId="1" applyNumberFormat="1" applyFont="1" applyFill="1" applyBorder="1" applyAlignment="1">
      <alignment horizontal="center" vertical="center" wrapText="1"/>
    </xf>
    <xf numFmtId="169" fontId="36" fillId="0" borderId="27" xfId="1" applyNumberFormat="1" applyFont="1" applyFill="1" applyBorder="1" applyAlignment="1">
      <alignment horizontal="center" vertical="center" readingOrder="1"/>
    </xf>
    <xf numFmtId="169" fontId="38" fillId="0" borderId="27" xfId="1" applyNumberFormat="1" applyFont="1" applyFill="1" applyBorder="1"/>
    <xf numFmtId="169" fontId="35" fillId="0" borderId="27" xfId="1" applyNumberFormat="1" applyFont="1" applyFill="1" applyBorder="1"/>
    <xf numFmtId="9" fontId="28" fillId="10" borderId="50" xfId="2" applyFont="1" applyFill="1" applyBorder="1" applyAlignment="1">
      <alignment horizontal="center" vertical="center" wrapText="1"/>
    </xf>
    <xf numFmtId="9" fontId="0" fillId="0" borderId="0" xfId="2" applyFont="1"/>
    <xf numFmtId="0" fontId="44" fillId="16" borderId="54" xfId="0" applyFont="1" applyFill="1" applyBorder="1"/>
    <xf numFmtId="0" fontId="3" fillId="0" borderId="27" xfId="0" applyFont="1" applyBorder="1" applyAlignment="1">
      <alignment horizontal="left" vertical="center" readingOrder="1"/>
    </xf>
    <xf numFmtId="171" fontId="0" fillId="0" borderId="0" xfId="0" pivotButton="1" applyNumberFormat="1"/>
    <xf numFmtId="171" fontId="0" fillId="0" borderId="0" xfId="0" applyNumberFormat="1" applyAlignment="1">
      <alignment horizontal="left"/>
    </xf>
    <xf numFmtId="0" fontId="0" fillId="17" borderId="0" xfId="0" applyFill="1"/>
    <xf numFmtId="0" fontId="32" fillId="17" borderId="0" xfId="0" applyFont="1" applyFill="1" applyAlignment="1">
      <alignment horizontal="right" vertical="center"/>
    </xf>
    <xf numFmtId="0" fontId="33" fillId="17" borderId="0" xfId="0" applyFont="1" applyFill="1" applyAlignment="1">
      <alignment horizontal="right" vertical="center"/>
    </xf>
    <xf numFmtId="0" fontId="0" fillId="17" borderId="0" xfId="0" applyFill="1" applyAlignment="1">
      <alignment vertical="center"/>
    </xf>
    <xf numFmtId="1" fontId="33" fillId="17" borderId="0" xfId="0" applyNumberFormat="1" applyFont="1" applyFill="1" applyAlignment="1">
      <alignment horizontal="center" vertical="center"/>
    </xf>
    <xf numFmtId="1" fontId="34" fillId="17" borderId="0" xfId="0" applyNumberFormat="1" applyFont="1" applyFill="1" applyAlignment="1">
      <alignment vertical="center"/>
    </xf>
    <xf numFmtId="0" fontId="0" fillId="17" borderId="0" xfId="0" applyFill="1" applyAlignment="1">
      <alignment horizontal="center" vertical="center"/>
    </xf>
    <xf numFmtId="173" fontId="31" fillId="17" borderId="0" xfId="2" applyNumberFormat="1" applyFont="1" applyFill="1" applyBorder="1" applyAlignment="1">
      <alignment horizontal="center" vertical="center" wrapText="1"/>
    </xf>
    <xf numFmtId="169" fontId="30" fillId="17" borderId="43" xfId="1" applyNumberFormat="1" applyFont="1" applyFill="1" applyBorder="1" applyAlignment="1">
      <alignment vertical="center" wrapText="1"/>
    </xf>
    <xf numFmtId="173" fontId="30" fillId="17" borderId="0" xfId="2" applyNumberFormat="1" applyFont="1" applyFill="1" applyBorder="1" applyAlignment="1">
      <alignment horizontal="center" vertical="center" wrapText="1"/>
    </xf>
    <xf numFmtId="9" fontId="30" fillId="17" borderId="0" xfId="2" applyFont="1" applyFill="1" applyBorder="1" applyAlignment="1">
      <alignment horizontal="center" vertical="center" wrapText="1"/>
    </xf>
    <xf numFmtId="170" fontId="30" fillId="17" borderId="0" xfId="2" applyNumberFormat="1" applyFont="1" applyFill="1" applyBorder="1" applyAlignment="1">
      <alignment horizontal="center" vertical="center" wrapText="1"/>
    </xf>
    <xf numFmtId="170" fontId="0" fillId="17" borderId="0" xfId="0" applyNumberFormat="1" applyFill="1" applyAlignment="1">
      <alignment wrapText="1"/>
    </xf>
    <xf numFmtId="0" fontId="45" fillId="0" borderId="0" xfId="0" applyFont="1"/>
    <xf numFmtId="0" fontId="45" fillId="0" borderId="0" xfId="0" pivotButton="1" applyFont="1"/>
    <xf numFmtId="0" fontId="45" fillId="0" borderId="0" xfId="0" applyFont="1" applyAlignment="1">
      <alignment horizontal="left"/>
    </xf>
    <xf numFmtId="173" fontId="45" fillId="0" borderId="0" xfId="0" applyNumberFormat="1" applyFont="1"/>
    <xf numFmtId="169" fontId="0" fillId="0" borderId="0" xfId="0" pivotButton="1" applyNumberFormat="1"/>
    <xf numFmtId="169" fontId="0" fillId="0" borderId="0" xfId="0" applyNumberFormat="1" applyAlignment="1">
      <alignment horizontal="left"/>
    </xf>
    <xf numFmtId="169" fontId="44" fillId="16" borderId="54" xfId="1" applyNumberFormat="1" applyFont="1" applyFill="1" applyBorder="1"/>
    <xf numFmtId="0" fontId="0" fillId="0" borderId="0" xfId="0" applyAlignment="1">
      <alignment horizontal="left" indent="1"/>
    </xf>
    <xf numFmtId="169" fontId="35" fillId="0" borderId="27" xfId="1" applyNumberFormat="1" applyFont="1" applyFill="1" applyBorder="1" applyAlignment="1">
      <alignment horizontal="center" vertical="center" wrapText="1"/>
    </xf>
    <xf numFmtId="0" fontId="35" fillId="0" borderId="27" xfId="0" applyFont="1" applyBorder="1"/>
    <xf numFmtId="0" fontId="37" fillId="0" borderId="27" xfId="0" applyFont="1" applyBorder="1"/>
    <xf numFmtId="0" fontId="36" fillId="0" borderId="27" xfId="0" applyFont="1" applyBorder="1" applyAlignment="1">
      <alignment horizontal="center" vertical="center" wrapText="1"/>
    </xf>
    <xf numFmtId="0" fontId="36" fillId="0" borderId="27" xfId="0" applyFont="1" applyBorder="1" applyAlignment="1">
      <alignment horizontal="center" vertical="center" readingOrder="1"/>
    </xf>
    <xf numFmtId="172" fontId="35" fillId="0" borderId="27" xfId="0" applyNumberFormat="1" applyFont="1" applyBorder="1" applyAlignment="1">
      <alignment vertical="center"/>
    </xf>
    <xf numFmtId="9" fontId="35" fillId="0" borderId="27" xfId="2" applyFont="1" applyFill="1" applyBorder="1" applyAlignment="1">
      <alignment horizontal="center" vertical="center" wrapText="1"/>
    </xf>
    <xf numFmtId="0" fontId="39" fillId="0" borderId="27" xfId="0" applyFont="1" applyBorder="1" applyAlignment="1">
      <alignment horizontal="center" vertical="center" wrapText="1"/>
    </xf>
    <xf numFmtId="0" fontId="40" fillId="0" borderId="27" xfId="0" applyFont="1" applyBorder="1" applyAlignment="1">
      <alignment horizontal="center" vertical="center" wrapText="1"/>
    </xf>
    <xf numFmtId="0" fontId="35" fillId="0" borderId="27" xfId="0" applyFont="1" applyBorder="1" applyAlignment="1">
      <alignment vertical="center"/>
    </xf>
    <xf numFmtId="0" fontId="36" fillId="0" borderId="27" xfId="0" applyFont="1" applyBorder="1" applyAlignment="1">
      <alignment wrapText="1"/>
    </xf>
    <xf numFmtId="0" fontId="41" fillId="0" borderId="27" xfId="0" applyFont="1" applyBorder="1" applyAlignment="1">
      <alignment wrapText="1"/>
    </xf>
    <xf numFmtId="0" fontId="40" fillId="0" borderId="27" xfId="0" applyFont="1" applyBorder="1" applyAlignment="1">
      <alignment wrapText="1"/>
    </xf>
    <xf numFmtId="0" fontId="42" fillId="0" borderId="27" xfId="0" applyFont="1" applyBorder="1" applyAlignment="1">
      <alignment wrapText="1"/>
    </xf>
    <xf numFmtId="0" fontId="35" fillId="0" borderId="27" xfId="0" applyFont="1" applyBorder="1" applyAlignment="1">
      <alignment wrapText="1"/>
    </xf>
    <xf numFmtId="172" fontId="37" fillId="0" borderId="27" xfId="0" applyNumberFormat="1" applyFont="1" applyBorder="1"/>
    <xf numFmtId="9" fontId="37" fillId="0" borderId="27" xfId="2" applyFont="1" applyFill="1" applyBorder="1"/>
    <xf numFmtId="0" fontId="36" fillId="0" borderId="27" xfId="0" applyFont="1" applyBorder="1" applyAlignment="1">
      <alignment vertical="center" wrapText="1"/>
    </xf>
    <xf numFmtId="0" fontId="41" fillId="0" borderId="27" xfId="0" applyFont="1" applyBorder="1" applyAlignment="1">
      <alignment vertical="center" wrapText="1"/>
    </xf>
    <xf numFmtId="0" fontId="42" fillId="0" borderId="27" xfId="0" applyFont="1" applyBorder="1" applyAlignment="1">
      <alignment vertical="center" wrapText="1"/>
    </xf>
    <xf numFmtId="0" fontId="40" fillId="0" borderId="27" xfId="0" applyFont="1" applyBorder="1" applyAlignment="1">
      <alignment vertical="center" wrapText="1"/>
    </xf>
    <xf numFmtId="0" fontId="35" fillId="0" borderId="27" xfId="0" applyFont="1" applyBorder="1" applyAlignment="1">
      <alignment horizontal="center" vertical="center" wrapText="1"/>
    </xf>
    <xf numFmtId="0" fontId="43" fillId="0" borderId="27" xfId="0" applyFont="1" applyBorder="1" applyAlignment="1">
      <alignment horizontal="center" vertical="center" wrapText="1"/>
    </xf>
    <xf numFmtId="0" fontId="35" fillId="0" borderId="27" xfId="0" applyFont="1" applyBorder="1" applyAlignment="1">
      <alignment vertical="center" wrapText="1"/>
    </xf>
    <xf numFmtId="172" fontId="35" fillId="0" borderId="27" xfId="0" applyNumberFormat="1" applyFont="1" applyBorder="1"/>
    <xf numFmtId="0" fontId="0" fillId="0" borderId="27" xfId="0" applyBorder="1"/>
    <xf numFmtId="172" fontId="0" fillId="0" borderId="27" xfId="0" applyNumberFormat="1" applyBorder="1"/>
    <xf numFmtId="9" fontId="0" fillId="0" borderId="27" xfId="2" applyFont="1" applyFill="1" applyBorder="1"/>
    <xf numFmtId="0" fontId="22" fillId="0" borderId="27" xfId="0" applyFont="1" applyBorder="1"/>
    <xf numFmtId="0" fontId="7" fillId="0" borderId="27" xfId="0" applyFont="1" applyBorder="1" applyAlignment="1">
      <alignment horizontal="center" vertical="center" wrapText="1"/>
    </xf>
    <xf numFmtId="0" fontId="3" fillId="0" borderId="27" xfId="0" applyFont="1" applyBorder="1" applyAlignment="1">
      <alignment horizontal="center" vertical="center" readingOrder="1"/>
    </xf>
    <xf numFmtId="9" fontId="4" fillId="0" borderId="27" xfId="0" applyNumberFormat="1" applyFont="1" applyBorder="1" applyAlignment="1">
      <alignment horizontal="center" wrapText="1"/>
    </xf>
    <xf numFmtId="169" fontId="0" fillId="0" borderId="27" xfId="1" applyNumberFormat="1" applyFont="1" applyFill="1" applyBorder="1"/>
    <xf numFmtId="0" fontId="3" fillId="0" borderId="27" xfId="0" applyFont="1" applyBorder="1" applyAlignment="1">
      <alignment horizontal="center" vertical="center" wrapText="1"/>
    </xf>
    <xf numFmtId="0" fontId="47" fillId="0" borderId="27" xfId="0" applyFont="1" applyBorder="1" applyAlignment="1">
      <alignment horizontal="center" vertical="center" wrapText="1"/>
    </xf>
    <xf numFmtId="0" fontId="46" fillId="0" borderId="27" xfId="0" applyFont="1" applyBorder="1" applyAlignment="1">
      <alignment horizontal="center" vertical="center" wrapText="1"/>
    </xf>
    <xf numFmtId="0" fontId="48" fillId="0" borderId="27" xfId="0" applyFont="1" applyBorder="1" applyAlignment="1">
      <alignment horizontal="center" vertical="center" wrapText="1"/>
    </xf>
    <xf numFmtId="0" fontId="20" fillId="0" borderId="27" xfId="0" applyFont="1" applyBorder="1" applyAlignment="1">
      <alignment horizontal="center" vertical="center" wrapText="1"/>
    </xf>
    <xf numFmtId="0" fontId="4" fillId="0" borderId="27" xfId="0" applyFont="1" applyBorder="1" applyAlignment="1" applyProtection="1">
      <alignment horizontal="center" vertical="center" wrapText="1"/>
      <protection locked="0"/>
    </xf>
    <xf numFmtId="0" fontId="3" fillId="0" borderId="27" xfId="0" applyFont="1" applyBorder="1" applyAlignment="1">
      <alignment vertical="center"/>
    </xf>
    <xf numFmtId="9" fontId="4" fillId="0" borderId="27" xfId="0" applyNumberFormat="1" applyFont="1" applyBorder="1" applyAlignment="1">
      <alignment horizontal="right" wrapText="1"/>
    </xf>
    <xf numFmtId="0" fontId="7" fillId="0" borderId="27" xfId="0" applyFont="1" applyBorder="1" applyAlignment="1">
      <alignment horizontal="center" vertical="center" readingOrder="1"/>
    </xf>
    <xf numFmtId="0" fontId="44" fillId="16" borderId="27" xfId="0" applyFont="1" applyFill="1" applyBorder="1"/>
    <xf numFmtId="169" fontId="0" fillId="0" borderId="27" xfId="1" applyNumberFormat="1" applyFont="1" applyBorder="1"/>
    <xf numFmtId="169" fontId="0" fillId="0" borderId="27" xfId="0" applyNumberFormat="1" applyBorder="1"/>
    <xf numFmtId="9" fontId="0" fillId="0" borderId="27" xfId="0" applyNumberFormat="1" applyBorder="1" applyAlignment="1">
      <alignment horizontal="right" vertical="center"/>
    </xf>
    <xf numFmtId="169" fontId="0" fillId="0" borderId="27" xfId="1" applyNumberFormat="1" applyFont="1" applyBorder="1" applyAlignment="1">
      <alignment horizontal="right" vertical="center"/>
    </xf>
    <xf numFmtId="0" fontId="0" fillId="0" borderId="27" xfId="0" applyBorder="1" applyAlignment="1">
      <alignment horizontal="right" vertical="center"/>
    </xf>
    <xf numFmtId="169" fontId="0" fillId="0" borderId="27" xfId="0" applyNumberFormat="1" applyBorder="1" applyAlignment="1">
      <alignment horizontal="right" vertical="center"/>
    </xf>
    <xf numFmtId="0" fontId="3" fillId="0" borderId="12" xfId="0" applyFont="1" applyBorder="1" applyAlignment="1">
      <alignment horizontal="center" vertical="center" readingOrder="1"/>
    </xf>
    <xf numFmtId="0" fontId="46" fillId="7" borderId="27" xfId="0" applyFont="1" applyFill="1" applyBorder="1" applyAlignment="1">
      <alignment horizontal="center" vertical="center" wrapText="1"/>
    </xf>
    <xf numFmtId="0" fontId="46" fillId="7" borderId="24"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7" fillId="7" borderId="20" xfId="0" applyFont="1" applyFill="1" applyBorder="1" applyAlignment="1">
      <alignment horizontal="center" vertical="center" readingOrder="1"/>
    </xf>
    <xf numFmtId="0" fontId="3" fillId="7" borderId="55"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3" fillId="19" borderId="0" xfId="0" applyFont="1" applyFill="1" applyAlignment="1">
      <alignment horizontal="center" vertical="center" readingOrder="1"/>
    </xf>
    <xf numFmtId="0" fontId="3" fillId="19" borderId="21" xfId="0" applyFont="1" applyFill="1" applyBorder="1" applyAlignment="1">
      <alignment horizontal="center" vertical="center" readingOrder="1"/>
    </xf>
    <xf numFmtId="0" fontId="3" fillId="19" borderId="12" xfId="0" applyFont="1" applyFill="1" applyBorder="1" applyAlignment="1">
      <alignment horizontal="center" vertical="center" readingOrder="1"/>
    </xf>
    <xf numFmtId="0" fontId="3" fillId="19" borderId="11" xfId="0" applyFont="1" applyFill="1" applyBorder="1" applyAlignment="1">
      <alignment horizontal="center" vertical="center" readingOrder="1"/>
    </xf>
    <xf numFmtId="0" fontId="3" fillId="0" borderId="21" xfId="0" applyFont="1" applyBorder="1" applyAlignment="1">
      <alignment horizontal="center" vertical="center" readingOrder="1"/>
    </xf>
    <xf numFmtId="0" fontId="3" fillId="0" borderId="6" xfId="0" applyFont="1" applyBorder="1" applyAlignment="1">
      <alignment horizontal="center" vertical="center" readingOrder="1"/>
    </xf>
    <xf numFmtId="0" fontId="53" fillId="0" borderId="0" xfId="0" applyFont="1"/>
    <xf numFmtId="164" fontId="53" fillId="0" borderId="0" xfId="0" applyNumberFormat="1" applyFont="1"/>
    <xf numFmtId="0" fontId="53" fillId="0" borderId="0" xfId="0" applyFont="1" applyAlignment="1">
      <alignment horizontal="center" vertical="center"/>
    </xf>
    <xf numFmtId="38" fontId="54" fillId="0" borderId="0" xfId="0" applyNumberFormat="1" applyFont="1" applyAlignment="1">
      <alignment horizontal="center" vertical="center"/>
    </xf>
    <xf numFmtId="0" fontId="55" fillId="0" borderId="0" xfId="0" applyFont="1"/>
    <xf numFmtId="0" fontId="28" fillId="0" borderId="0" xfId="0" applyFont="1" applyAlignment="1">
      <alignment horizontal="center" vertical="center"/>
    </xf>
    <xf numFmtId="0" fontId="28" fillId="0" borderId="0" xfId="0" applyFont="1" applyAlignment="1">
      <alignment horizontal="left" indent="1"/>
    </xf>
    <xf numFmtId="0" fontId="54" fillId="0" borderId="0" xfId="0" applyFont="1"/>
    <xf numFmtId="164" fontId="53" fillId="0" borderId="0" xfId="0" applyNumberFormat="1" applyFont="1" applyAlignment="1">
      <alignment horizontal="center" vertical="center"/>
    </xf>
    <xf numFmtId="164" fontId="54" fillId="0" borderId="0" xfId="0" applyNumberFormat="1" applyFont="1" applyAlignment="1">
      <alignment horizontal="center" vertical="center"/>
    </xf>
    <xf numFmtId="0" fontId="16" fillId="18" borderId="27" xfId="0" applyFont="1" applyFill="1" applyBorder="1"/>
    <xf numFmtId="0" fontId="16" fillId="15" borderId="27" xfId="0" applyFont="1" applyFill="1" applyBorder="1"/>
    <xf numFmtId="0" fontId="58" fillId="15" borderId="27" xfId="0" applyFont="1" applyFill="1" applyBorder="1"/>
    <xf numFmtId="0" fontId="21" fillId="0" borderId="27" xfId="0" applyFont="1" applyBorder="1" applyAlignment="1">
      <alignment horizontal="left"/>
    </xf>
    <xf numFmtId="0" fontId="21" fillId="0" borderId="27" xfId="0" applyFont="1" applyBorder="1" applyAlignment="1">
      <alignment horizontal="center" vertical="center"/>
    </xf>
    <xf numFmtId="0" fontId="0" fillId="0" borderId="27" xfId="0" applyBorder="1" applyAlignment="1">
      <alignment horizontal="left"/>
    </xf>
    <xf numFmtId="0" fontId="59" fillId="0" borderId="27" xfId="0" applyFont="1" applyBorder="1"/>
    <xf numFmtId="38" fontId="60" fillId="0" borderId="27" xfId="1" applyNumberFormat="1" applyFont="1" applyBorder="1" applyAlignment="1">
      <alignment horizontal="center" vertical="center"/>
    </xf>
    <xf numFmtId="1" fontId="59" fillId="0" borderId="27" xfId="0" applyNumberFormat="1" applyFont="1" applyBorder="1"/>
    <xf numFmtId="0" fontId="0" fillId="0" borderId="0" xfId="0" applyNumberFormat="1"/>
    <xf numFmtId="0" fontId="0" fillId="0" borderId="0" xfId="0"/>
    <xf numFmtId="0" fontId="1" fillId="3" borderId="4" xfId="0" applyFont="1" applyFill="1" applyBorder="1" applyAlignment="1">
      <alignment horizontal="center" vertical="center" readingOrder="1"/>
    </xf>
    <xf numFmtId="0" fontId="1" fillId="3" borderId="5" xfId="0" applyFont="1" applyFill="1" applyBorder="1" applyAlignment="1">
      <alignment horizontal="center" vertical="center" readingOrder="1"/>
    </xf>
    <xf numFmtId="0" fontId="1" fillId="3" borderId="6" xfId="0" applyFont="1" applyFill="1" applyBorder="1" applyAlignment="1">
      <alignment horizontal="center" vertical="center" readingOrder="1"/>
    </xf>
    <xf numFmtId="0" fontId="1" fillId="4" borderId="4" xfId="0" applyFont="1" applyFill="1" applyBorder="1" applyAlignment="1">
      <alignment horizontal="center" vertical="center" readingOrder="1"/>
    </xf>
    <xf numFmtId="0" fontId="1" fillId="4" borderId="5" xfId="0" applyFont="1" applyFill="1" applyBorder="1" applyAlignment="1">
      <alignment horizontal="center" vertical="center" readingOrder="1"/>
    </xf>
    <xf numFmtId="0" fontId="1" fillId="4" borderId="6" xfId="0" applyFont="1" applyFill="1" applyBorder="1" applyAlignment="1">
      <alignment horizontal="center" vertical="center" readingOrder="1"/>
    </xf>
    <xf numFmtId="0" fontId="3" fillId="0" borderId="14" xfId="0" applyFont="1" applyBorder="1" applyAlignment="1">
      <alignment horizontal="center" vertical="center" readingOrder="1"/>
    </xf>
    <xf numFmtId="0" fontId="3" fillId="0" borderId="15" xfId="0" applyFont="1" applyBorder="1" applyAlignment="1">
      <alignment horizontal="center" vertical="center" readingOrder="1"/>
    </xf>
    <xf numFmtId="0" fontId="3" fillId="6" borderId="14" xfId="0" applyFont="1" applyFill="1" applyBorder="1" applyAlignment="1">
      <alignment horizontal="center" vertical="center" readingOrder="1"/>
    </xf>
    <xf numFmtId="0" fontId="3" fillId="6" borderId="15" xfId="0" applyFont="1" applyFill="1" applyBorder="1" applyAlignment="1">
      <alignment horizontal="center" vertical="center" readingOrder="1"/>
    </xf>
    <xf numFmtId="2" fontId="3" fillId="0" borderId="10" xfId="0" applyNumberFormat="1" applyFont="1" applyBorder="1" applyAlignment="1">
      <alignment horizontal="center" vertical="center" readingOrder="1"/>
    </xf>
    <xf numFmtId="2" fontId="3" fillId="0" borderId="11" xfId="0" applyNumberFormat="1" applyFont="1" applyBorder="1" applyAlignment="1">
      <alignment horizontal="center" vertical="center" readingOrder="1"/>
    </xf>
    <xf numFmtId="0" fontId="3" fillId="0" borderId="10" xfId="0" applyFont="1" applyBorder="1" applyAlignment="1">
      <alignment horizontal="center" vertical="center" readingOrder="1"/>
    </xf>
    <xf numFmtId="0" fontId="3" fillId="0" borderId="11" xfId="0" applyFont="1" applyBorder="1" applyAlignment="1">
      <alignment horizontal="center" vertical="center" readingOrder="1"/>
    </xf>
    <xf numFmtId="0" fontId="3" fillId="0" borderId="10" xfId="0" applyFont="1" applyBorder="1" applyAlignment="1">
      <alignment horizontal="left" vertical="center" readingOrder="1"/>
    </xf>
    <xf numFmtId="0" fontId="3" fillId="0" borderId="11" xfId="0" applyFont="1" applyBorder="1" applyAlignment="1">
      <alignment horizontal="left" vertical="center" readingOrder="1"/>
    </xf>
    <xf numFmtId="0" fontId="1" fillId="5" borderId="9" xfId="0" applyFont="1" applyFill="1" applyBorder="1" applyAlignment="1">
      <alignment horizontal="center" vertical="center" readingOrder="1"/>
    </xf>
    <xf numFmtId="0" fontId="1" fillId="5" borderId="6" xfId="0" applyFont="1" applyFill="1" applyBorder="1" applyAlignment="1">
      <alignment horizontal="center" vertical="center" readingOrder="1"/>
    </xf>
    <xf numFmtId="0" fontId="3" fillId="0" borderId="18" xfId="0" applyFont="1" applyBorder="1" applyAlignment="1">
      <alignment horizontal="left" vertical="center" readingOrder="1"/>
    </xf>
    <xf numFmtId="0" fontId="3" fillId="0" borderId="12" xfId="0" applyFont="1" applyBorder="1" applyAlignment="1">
      <alignment horizontal="left" vertical="center" readingOrder="1"/>
    </xf>
    <xf numFmtId="0" fontId="1" fillId="4" borderId="12" xfId="0" applyFont="1" applyFill="1" applyBorder="1" applyAlignment="1">
      <alignment horizontal="center" vertical="center" readingOrder="1"/>
    </xf>
    <xf numFmtId="0" fontId="1" fillId="3" borderId="9" xfId="0" applyFont="1" applyFill="1" applyBorder="1" applyAlignment="1">
      <alignment horizontal="center" vertical="center" readingOrder="1"/>
    </xf>
    <xf numFmtId="0" fontId="1" fillId="3" borderId="21" xfId="0" applyFont="1" applyFill="1" applyBorder="1" applyAlignment="1">
      <alignment horizontal="center" vertical="center" readingOrder="1"/>
    </xf>
    <xf numFmtId="0" fontId="1" fillId="3" borderId="16" xfId="0" applyFont="1" applyFill="1" applyBorder="1" applyAlignment="1">
      <alignment horizontal="center" vertical="center" readingOrder="1"/>
    </xf>
    <xf numFmtId="0" fontId="1" fillId="3" borderId="12" xfId="0" applyFont="1" applyFill="1" applyBorder="1" applyAlignment="1">
      <alignment horizontal="center" vertical="center" readingOrder="1"/>
    </xf>
    <xf numFmtId="0" fontId="3" fillId="0" borderId="22" xfId="0" applyFont="1" applyBorder="1" applyAlignment="1">
      <alignment horizontal="center" vertical="center" readingOrder="1"/>
    </xf>
    <xf numFmtId="168" fontId="3" fillId="0" borderId="10" xfId="0" applyNumberFormat="1" applyFont="1" applyBorder="1" applyAlignment="1">
      <alignment horizontal="center" vertical="center" readingOrder="1"/>
    </xf>
    <xf numFmtId="168" fontId="3" fillId="0" borderId="11" xfId="0" applyNumberFormat="1" applyFont="1" applyBorder="1" applyAlignment="1">
      <alignment horizontal="center" vertical="center" readingOrder="1"/>
    </xf>
    <xf numFmtId="0" fontId="3" fillId="0" borderId="12" xfId="0" applyFont="1" applyBorder="1" applyAlignment="1">
      <alignment horizontal="center" vertical="center" readingOrder="1"/>
    </xf>
    <xf numFmtId="168" fontId="3" fillId="0" borderId="12" xfId="0" applyNumberFormat="1" applyFont="1" applyBorder="1" applyAlignment="1">
      <alignment horizontal="center" vertical="center" readingOrder="1"/>
    </xf>
    <xf numFmtId="0" fontId="3" fillId="0" borderId="18" xfId="0" applyFont="1" applyBorder="1" applyAlignment="1">
      <alignment horizontal="center" vertical="center" readingOrder="1"/>
    </xf>
    <xf numFmtId="168" fontId="3" fillId="0" borderId="18" xfId="0" applyNumberFormat="1" applyFont="1" applyBorder="1" applyAlignment="1">
      <alignment horizontal="center" vertical="center" readingOrder="1"/>
    </xf>
    <xf numFmtId="0" fontId="3" fillId="9" borderId="14" xfId="0" applyFont="1" applyFill="1" applyBorder="1" applyAlignment="1">
      <alignment horizontal="center" vertical="center" readingOrder="1"/>
    </xf>
    <xf numFmtId="0" fontId="3" fillId="9" borderId="22" xfId="0" applyFont="1" applyFill="1" applyBorder="1" applyAlignment="1">
      <alignment horizontal="center" vertical="center" readingOrder="1"/>
    </xf>
    <xf numFmtId="0" fontId="3" fillId="9" borderId="15" xfId="0" applyFont="1" applyFill="1" applyBorder="1" applyAlignment="1">
      <alignment horizontal="center" vertical="center" readingOrder="1"/>
    </xf>
    <xf numFmtId="0" fontId="3" fillId="6" borderId="22" xfId="0" applyFont="1" applyFill="1" applyBorder="1" applyAlignment="1">
      <alignment horizontal="center" vertical="center" readingOrder="1"/>
    </xf>
    <xf numFmtId="173" fontId="31" fillId="11" borderId="44" xfId="2" applyNumberFormat="1" applyFont="1" applyFill="1" applyBorder="1" applyAlignment="1">
      <alignment horizontal="center" vertical="center" wrapText="1"/>
    </xf>
    <xf numFmtId="0" fontId="0" fillId="0" borderId="45" xfId="0" applyBorder="1"/>
    <xf numFmtId="0" fontId="0" fillId="0" borderId="47" xfId="0" applyBorder="1"/>
    <xf numFmtId="0" fontId="0" fillId="0" borderId="48" xfId="0" applyBorder="1"/>
    <xf numFmtId="170" fontId="30" fillId="11" borderId="44" xfId="2" applyNumberFormat="1" applyFont="1" applyFill="1" applyBorder="1" applyAlignment="1">
      <alignment horizontal="center" vertical="center"/>
    </xf>
    <xf numFmtId="0" fontId="0" fillId="0" borderId="33" xfId="0" applyBorder="1"/>
    <xf numFmtId="0" fontId="0" fillId="0" borderId="43" xfId="0" applyBorder="1"/>
    <xf numFmtId="0" fontId="0" fillId="0" borderId="0" xfId="0"/>
    <xf numFmtId="0" fontId="0" fillId="0" borderId="46" xfId="0" applyBorder="1"/>
    <xf numFmtId="0" fontId="0" fillId="0" borderId="49" xfId="0" applyBorder="1"/>
    <xf numFmtId="173" fontId="30" fillId="11" borderId="44" xfId="2" applyNumberFormat="1" applyFont="1" applyFill="1" applyBorder="1" applyAlignment="1">
      <alignment horizontal="center" vertical="center" wrapText="1"/>
    </xf>
    <xf numFmtId="0" fontId="0" fillId="11" borderId="45" xfId="0" applyFill="1" applyBorder="1" applyAlignment="1">
      <alignment wrapText="1"/>
    </xf>
    <xf numFmtId="0" fontId="0" fillId="11" borderId="43" xfId="0" applyFill="1" applyBorder="1" applyAlignment="1">
      <alignment wrapText="1"/>
    </xf>
    <xf numFmtId="0" fontId="0" fillId="11" borderId="46" xfId="0" applyFill="1" applyBorder="1" applyAlignment="1">
      <alignment wrapText="1"/>
    </xf>
    <xf numFmtId="0" fontId="0" fillId="11" borderId="47" xfId="0" applyFill="1" applyBorder="1" applyAlignment="1">
      <alignment wrapText="1"/>
    </xf>
    <xf numFmtId="0" fontId="0" fillId="11" borderId="48" xfId="0" applyFill="1" applyBorder="1" applyAlignment="1">
      <alignment wrapText="1"/>
    </xf>
    <xf numFmtId="9" fontId="30" fillId="11" borderId="44" xfId="2" applyFont="1" applyFill="1" applyBorder="1" applyAlignment="1">
      <alignment horizontal="center" vertical="center" wrapText="1"/>
    </xf>
    <xf numFmtId="0" fontId="0" fillId="11" borderId="45" xfId="0" applyFill="1" applyBorder="1"/>
    <xf numFmtId="0" fontId="0" fillId="11" borderId="43" xfId="0" applyFill="1" applyBorder="1"/>
    <xf numFmtId="0" fontId="0" fillId="11" borderId="46" xfId="0" applyFill="1" applyBorder="1"/>
    <xf numFmtId="0" fontId="0" fillId="11" borderId="47" xfId="0" applyFill="1" applyBorder="1"/>
    <xf numFmtId="0" fontId="0" fillId="11" borderId="48" xfId="0" applyFill="1" applyBorder="1"/>
    <xf numFmtId="1" fontId="33" fillId="11" borderId="0" xfId="0" applyNumberFormat="1" applyFont="1" applyFill="1" applyAlignment="1">
      <alignment horizontal="center" vertical="center"/>
    </xf>
    <xf numFmtId="1" fontId="34" fillId="11" borderId="0" xfId="0" applyNumberFormat="1" applyFont="1" applyFill="1" applyAlignment="1">
      <alignment horizontal="center" vertical="center"/>
    </xf>
    <xf numFmtId="0" fontId="0" fillId="0" borderId="0" xfId="0" applyAlignment="1">
      <alignment horizontal="center"/>
    </xf>
    <xf numFmtId="169" fontId="33" fillId="11" borderId="0" xfId="1" applyNumberFormat="1" applyFont="1" applyFill="1" applyAlignment="1">
      <alignment vertical="center"/>
    </xf>
    <xf numFmtId="0" fontId="0" fillId="11" borderId="0" xfId="0" applyFill="1"/>
    <xf numFmtId="169" fontId="33" fillId="11" borderId="0" xfId="1" applyNumberFormat="1" applyFont="1" applyFill="1" applyAlignment="1">
      <alignment horizontal="center" vertical="center"/>
    </xf>
    <xf numFmtId="169" fontId="30" fillId="11" borderId="44" xfId="1" applyNumberFormat="1" applyFont="1" applyFill="1" applyBorder="1" applyAlignment="1">
      <alignment vertical="center" wrapText="1"/>
    </xf>
    <xf numFmtId="169" fontId="30" fillId="11" borderId="44" xfId="1" applyNumberFormat="1" applyFont="1" applyFill="1" applyBorder="1" applyAlignment="1">
      <alignment horizontal="center" vertical="center" wrapText="1"/>
    </xf>
    <xf numFmtId="169" fontId="30" fillId="11" borderId="45" xfId="1" applyNumberFormat="1" applyFont="1" applyFill="1" applyBorder="1" applyAlignment="1">
      <alignment horizontal="center" vertical="center" wrapText="1"/>
    </xf>
    <xf numFmtId="169" fontId="30" fillId="11" borderId="47" xfId="1" applyNumberFormat="1" applyFont="1" applyFill="1" applyBorder="1" applyAlignment="1">
      <alignment horizontal="center" vertical="center" wrapText="1"/>
    </xf>
    <xf numFmtId="169" fontId="30" fillId="11" borderId="48" xfId="1" applyNumberFormat="1" applyFont="1" applyFill="1" applyBorder="1" applyAlignment="1">
      <alignment horizontal="center" vertical="center" wrapText="1"/>
    </xf>
    <xf numFmtId="0" fontId="0" fillId="0" borderId="33" xfId="0" applyBorder="1" applyAlignment="1">
      <alignment horizontal="center"/>
    </xf>
    <xf numFmtId="0" fontId="0" fillId="0" borderId="45"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9" xfId="0" applyBorder="1" applyAlignment="1">
      <alignment horizontal="center"/>
    </xf>
    <xf numFmtId="0" fontId="0" fillId="0" borderId="48" xfId="0" applyBorder="1" applyAlignment="1">
      <alignment horizontal="center"/>
    </xf>
  </cellXfs>
  <cellStyles count="4">
    <cellStyle name="Comma" xfId="1" builtinId="3"/>
    <cellStyle name="Comma 2" xfId="3" xr:uid="{BFB38926-6077-41E6-B10F-28DDAE253C34}"/>
    <cellStyle name="Normal" xfId="0" builtinId="0"/>
    <cellStyle name="Percent" xfId="2" builtinId="5"/>
  </cellStyles>
  <dxfs count="50">
    <dxf>
      <numFmt numFmtId="13" formatCode="0%"/>
    </dxf>
    <dxf>
      <numFmt numFmtId="13" formatCode="0%"/>
    </dxf>
    <dxf>
      <numFmt numFmtId="13" formatCode="0%"/>
    </dxf>
    <dxf>
      <numFmt numFmtId="169" formatCode="_-* #,##0_-;\-* #,##0_-;_-* &quot;-&quot;??_-;_-@_-"/>
    </dxf>
    <dxf>
      <numFmt numFmtId="169" formatCode="_-* #,##0_-;\-* #,##0_-;_-* &quot;-&quot;??_-;_-@_-"/>
    </dxf>
    <dxf>
      <numFmt numFmtId="169" formatCode="_-* #,##0_-;\-* #,##0_-;_-* &quot;-&quot;??_-;_-@_-"/>
    </dxf>
    <dxf>
      <numFmt numFmtId="169" formatCode="_-* #,##0_-;\-* #,##0_-;_-* &quot;-&quot;??_-;_-@_-"/>
    </dxf>
    <dxf>
      <numFmt numFmtId="171" formatCode="0.00_);[Red]\(0.00\)"/>
    </dxf>
    <dxf>
      <numFmt numFmtId="169" formatCode="_-* #,##0_-;\-* #,##0_-;_-* &quot;-&quot;??_-;_-@_-"/>
    </dxf>
    <dxf>
      <numFmt numFmtId="169" formatCode="_-* #,##0_-;\-* #,##0_-;_-* &quot;-&quot;??_-;_-@_-"/>
    </dxf>
    <dxf>
      <numFmt numFmtId="13" formatCode="0%"/>
    </dxf>
    <dxf>
      <numFmt numFmtId="13" formatCode="0%"/>
    </dxf>
    <dxf>
      <numFmt numFmtId="169" formatCode="_-* #,##0_-;\-* #,##0_-;_-* &quot;-&quot;??_-;_-@_-"/>
    </dxf>
    <dxf>
      <numFmt numFmtId="13" formatCode="0%"/>
    </dxf>
    <dxf>
      <numFmt numFmtId="172" formatCode="0_);[Red]\(0\)"/>
    </dxf>
    <dxf>
      <numFmt numFmtId="169" formatCode="_-* #,##0_-;\-* #,##0_-;_-* &quot;-&quot;??_-;_-@_-"/>
    </dxf>
    <dxf>
      <numFmt numFmtId="171" formatCode="0.00_);[Red]\(0.00\)"/>
    </dxf>
    <dxf>
      <numFmt numFmtId="171" formatCode="0.00_);[Red]\(0.00\)"/>
    </dxf>
    <dxf>
      <numFmt numFmtId="171" formatCode="0.00_);[Red]\(0.00\)"/>
    </dxf>
    <dxf>
      <numFmt numFmtId="171" formatCode="0.00_);[Red]\(0.00\)"/>
    </dxf>
    <dxf>
      <numFmt numFmtId="171" formatCode="0.00_);[Red]\(0.00\)"/>
    </dxf>
    <dxf>
      <numFmt numFmtId="171" formatCode="0.00_);[Red]\(0.00\)"/>
    </dxf>
    <dxf>
      <numFmt numFmtId="171" formatCode="0.00_);[Red]\(0.00\)"/>
    </dxf>
    <dxf>
      <numFmt numFmtId="171" formatCode="0.00_);[Red]\(0.00\)"/>
    </dxf>
    <dxf>
      <numFmt numFmtId="169" formatCode="_-* #,##0_-;\-* #,##0_-;_-* &quot;-&quot;??_-;_-@_-"/>
    </dxf>
    <dxf>
      <numFmt numFmtId="170" formatCode="#,##0,"/>
    </dxf>
    <dxf>
      <numFmt numFmtId="169" formatCode="_-* #,##0_-;\-* #,##0_-;_-* &quot;-&quot;??_-;_-@_-"/>
    </dxf>
    <dxf>
      <numFmt numFmtId="13" formatCode="0%"/>
    </dxf>
    <dxf>
      <numFmt numFmtId="169" formatCode="_-* #,##0_-;\-* #,##0_-;_-* &quot;-&quot;??_-;_-@_-"/>
    </dxf>
    <dxf>
      <numFmt numFmtId="13" formatCode="0%"/>
    </dxf>
    <dxf>
      <numFmt numFmtId="13" formatCode="0%"/>
    </dxf>
    <dxf>
      <numFmt numFmtId="13" formatCode="0%"/>
    </dxf>
    <dxf>
      <numFmt numFmtId="172" formatCode="0_);[Red]\(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73" formatCode="0.0%"/>
    </dxf>
    <dxf>
      <numFmt numFmtId="169" formatCode="_-* #,##0_-;\-* #,##0_-;_-* &quot;-&quot;??_-;_-@_-"/>
    </dxf>
    <dxf>
      <font>
        <color rgb="FFFF0000"/>
      </font>
    </dxf>
    <dxf>
      <font>
        <color rgb="FFFF0000"/>
      </font>
    </dxf>
    <dxf>
      <font>
        <color rgb="FFFF0000"/>
      </font>
    </dxf>
    <dxf>
      <font>
        <color rgb="FFFF0000"/>
      </font>
    </dxf>
    <dxf>
      <font>
        <color rgb="FFFF0000"/>
      </font>
    </dxf>
    <dxf>
      <font>
        <color rgb="FFFF0000"/>
      </font>
    </dxf>
    <dxf>
      <numFmt numFmtId="13" formatCode="0%"/>
    </dxf>
    <dxf>
      <numFmt numFmtId="169" formatCode="_-* #,##0_-;\-* #,##0_-;_-* &quot;-&quot;??_-;_-@_-"/>
    </dxf>
  </dxfs>
  <tableStyles count="0" defaultTableStyle="TableStyleMedium2" defaultPivotStyle="PivotStyleMedium9"/>
  <colors>
    <mruColors>
      <color rgb="FF88A9AE"/>
      <color rgb="FF6D969B"/>
      <color rgb="FFB0B4A6"/>
      <color rgb="FFB3AEA7"/>
      <color rgb="FFEDCA8B"/>
      <color rgb="FFA64C0E"/>
      <color rgb="FF6F71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[Marketing Dashboard_2022_ Sơ kết MKT 2022.xlsx]Pivot!PivotTable6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44646017058572E-2"/>
          <c:y val="0.10949861266170216"/>
          <c:w val="0.96755686592690582"/>
          <c:h val="0.56040936068076153"/>
        </c:manualLayout>
      </c:layout>
      <c:barChart>
        <c:barDir val="col"/>
        <c:grouping val="clustered"/>
        <c:varyColors val="0"/>
        <c:ser>
          <c:idx val="0"/>
          <c:order val="0"/>
          <c:tx>
            <c:strRef>
              <c:f>Pivot!$D$38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Pivot!$C$39:$C$64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Pivot!$D$39:$D$64</c:f>
              <c:numCache>
                <c:formatCode>_-* #,##0_-;\-* #,##0_-;_-* "-"??_-;_-@_-</c:formatCode>
                <c:ptCount val="25"/>
                <c:pt idx="0">
                  <c:v>1893</c:v>
                </c:pt>
                <c:pt idx="1">
                  <c:v>488</c:v>
                </c:pt>
                <c:pt idx="2">
                  <c:v>2281</c:v>
                </c:pt>
                <c:pt idx="3">
                  <c:v>1625</c:v>
                </c:pt>
                <c:pt idx="4">
                  <c:v>1221</c:v>
                </c:pt>
                <c:pt idx="5">
                  <c:v>2005</c:v>
                </c:pt>
                <c:pt idx="6">
                  <c:v>1256</c:v>
                </c:pt>
                <c:pt idx="7">
                  <c:v>1783</c:v>
                </c:pt>
                <c:pt idx="8">
                  <c:v>1635</c:v>
                </c:pt>
                <c:pt idx="9">
                  <c:v>2237</c:v>
                </c:pt>
                <c:pt idx="10">
                  <c:v>1567</c:v>
                </c:pt>
                <c:pt idx="11">
                  <c:v>1434</c:v>
                </c:pt>
                <c:pt idx="12">
                  <c:v>1380</c:v>
                </c:pt>
                <c:pt idx="13">
                  <c:v>863</c:v>
                </c:pt>
                <c:pt idx="14">
                  <c:v>1243</c:v>
                </c:pt>
                <c:pt idx="15">
                  <c:v>782</c:v>
                </c:pt>
                <c:pt idx="16">
                  <c:v>2363</c:v>
                </c:pt>
                <c:pt idx="17">
                  <c:v>2372</c:v>
                </c:pt>
                <c:pt idx="18">
                  <c:v>1683</c:v>
                </c:pt>
                <c:pt idx="19">
                  <c:v>1224</c:v>
                </c:pt>
                <c:pt idx="20">
                  <c:v>1313</c:v>
                </c:pt>
                <c:pt idx="21">
                  <c:v>1837</c:v>
                </c:pt>
                <c:pt idx="22">
                  <c:v>1519</c:v>
                </c:pt>
                <c:pt idx="23">
                  <c:v>1357</c:v>
                </c:pt>
              </c:numCache>
            </c:numRef>
          </c:val>
          <c:extLst>
            <c:ext xmlns:c16="http://schemas.microsoft.com/office/drawing/2014/chart" uri="{C3380CC4-5D6E-409C-BE32-E72D297353CC}">
              <c16:uniqueId val="{00000000-82F9-42E4-8D25-BAE05C62ED63}"/>
            </c:ext>
          </c:extLst>
        </c:ser>
        <c:dLbls>
          <c:dLblPos val="outEnd"/>
          <c:showLegendKey val="0"/>
          <c:showVal val="1"/>
          <c:showCatName val="0"/>
          <c:showSerName val="0"/>
          <c:showPercent val="0"/>
          <c:showBubbleSize val="0"/>
        </c:dLbls>
        <c:gapWidth val="100"/>
        <c:overlap val="-24"/>
        <c:axId val="1190403823"/>
        <c:axId val="1704228095"/>
      </c:barChart>
      <c:catAx>
        <c:axId val="1190403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28095"/>
        <c:crosses val="autoZero"/>
        <c:auto val="1"/>
        <c:lblAlgn val="ctr"/>
        <c:lblOffset val="100"/>
        <c:noMultiLvlLbl val="0"/>
      </c:catAx>
      <c:valAx>
        <c:axId val="1704228095"/>
        <c:scaling>
          <c:orientation val="minMax"/>
        </c:scaling>
        <c:delete val="1"/>
        <c:axPos val="l"/>
        <c:numFmt formatCode="_-* #,##0_-;\-* #,##0_-;_-* &quot;-&quot;??_-;_-@_-" sourceLinked="1"/>
        <c:majorTickMark val="none"/>
        <c:minorTickMark val="none"/>
        <c:tickLblPos val="nextTo"/>
        <c:crossAx val="119040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7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2022.xlsx]Pivot!PivotTable3</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72859022125884"/>
          <c:y val="0.17179863250305732"/>
          <c:w val="0.61589972459844011"/>
          <c:h val="0.69581091273338447"/>
        </c:manualLayout>
      </c:layout>
      <c:radarChart>
        <c:radarStyle val="marker"/>
        <c:varyColors val="0"/>
        <c:ser>
          <c:idx val="0"/>
          <c:order val="0"/>
          <c:tx>
            <c:strRef>
              <c:f>Pivot!$AB$68</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Pivot!$AA$69:$AA$94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Pivot!$AB$69:$AB$94</c:f>
              <c:numCache>
                <c:formatCode>_-* #,##0_-;\-* #,##0_-;_-* "-"??_-;_-@_-</c:formatCode>
                <c:ptCount val="25"/>
                <c:pt idx="0">
                  <c:v>370500</c:v>
                </c:pt>
                <c:pt idx="1">
                  <c:v>324180</c:v>
                </c:pt>
                <c:pt idx="2">
                  <c:v>1084000</c:v>
                </c:pt>
                <c:pt idx="3">
                  <c:v>735400</c:v>
                </c:pt>
                <c:pt idx="4">
                  <c:v>374000</c:v>
                </c:pt>
                <c:pt idx="5">
                  <c:v>718000</c:v>
                </c:pt>
                <c:pt idx="6">
                  <c:v>1044000</c:v>
                </c:pt>
                <c:pt idx="7">
                  <c:v>679000</c:v>
                </c:pt>
                <c:pt idx="8">
                  <c:v>616000</c:v>
                </c:pt>
                <c:pt idx="9">
                  <c:v>717000</c:v>
                </c:pt>
                <c:pt idx="10">
                  <c:v>596000</c:v>
                </c:pt>
                <c:pt idx="11">
                  <c:v>695900</c:v>
                </c:pt>
                <c:pt idx="12">
                  <c:v>715300</c:v>
                </c:pt>
                <c:pt idx="13">
                  <c:v>758550</c:v>
                </c:pt>
                <c:pt idx="14">
                  <c:v>329700</c:v>
                </c:pt>
                <c:pt idx="15">
                  <c:v>1314800</c:v>
                </c:pt>
                <c:pt idx="16">
                  <c:v>2504325</c:v>
                </c:pt>
                <c:pt idx="17">
                  <c:v>1121000</c:v>
                </c:pt>
                <c:pt idx="18">
                  <c:v>591000</c:v>
                </c:pt>
                <c:pt idx="19">
                  <c:v>821700</c:v>
                </c:pt>
                <c:pt idx="20">
                  <c:v>708790</c:v>
                </c:pt>
                <c:pt idx="21">
                  <c:v>692000</c:v>
                </c:pt>
                <c:pt idx="22">
                  <c:v>470020</c:v>
                </c:pt>
                <c:pt idx="23">
                  <c:v>628900</c:v>
                </c:pt>
              </c:numCache>
            </c:numRef>
          </c:val>
          <c:extLst>
            <c:ext xmlns:c16="http://schemas.microsoft.com/office/drawing/2014/chart" uri="{C3380CC4-5D6E-409C-BE32-E72D297353CC}">
              <c16:uniqueId val="{00000000-4093-4732-95A8-7C0A10233D7D}"/>
            </c:ext>
          </c:extLst>
        </c:ser>
        <c:dLbls>
          <c:showLegendKey val="0"/>
          <c:showVal val="1"/>
          <c:showCatName val="0"/>
          <c:showSerName val="0"/>
          <c:showPercent val="0"/>
          <c:showBubbleSize val="0"/>
        </c:dLbls>
        <c:axId val="1842010063"/>
        <c:axId val="1842007567"/>
      </c:radarChart>
      <c:catAx>
        <c:axId val="18420100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842007567"/>
        <c:crosses val="autoZero"/>
        <c:auto val="1"/>
        <c:lblAlgn val="ctr"/>
        <c:lblOffset val="100"/>
        <c:noMultiLvlLbl val="0"/>
      </c:catAx>
      <c:valAx>
        <c:axId val="1842007567"/>
        <c:scaling>
          <c:orientation val="minMax"/>
        </c:scaling>
        <c:delete val="1"/>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crossAx val="184201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A9AE"/>
    </a:solidFill>
    <a:ln w="9525" cap="flat" cmpd="sng" algn="ctr">
      <a:solidFill>
        <a:schemeClr val="tx2">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55249341996698E-2"/>
          <c:y val="0.16498865738055954"/>
          <c:w val="0.83443387358778021"/>
          <c:h val="0.51023504601274816"/>
        </c:manualLayout>
      </c:layout>
      <c:barChart>
        <c:barDir val="col"/>
        <c:grouping val="clustered"/>
        <c:varyColors val="0"/>
        <c:ser>
          <c:idx val="0"/>
          <c:order val="0"/>
          <c:tx>
            <c:strRef>
              <c:f>Pivot!$U$119</c:f>
              <c:strCache>
                <c:ptCount val="1"/>
                <c:pt idx="0">
                  <c:v>Data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Pivot!$V$118:$AJ$118</c:f>
              <c:strCache>
                <c:ptCount val="15"/>
                <c:pt idx="0">
                  <c:v> Gifts </c:v>
                </c:pt>
                <c:pt idx="1">
                  <c:v> Car club/Sponsor </c:v>
                </c:pt>
                <c:pt idx="2">
                  <c:v> E mail </c:v>
                </c:pt>
                <c:pt idx="3">
                  <c:v> Google Adwords </c:v>
                </c:pt>
                <c:pt idx="4">
                  <c:v> Facebook </c:v>
                </c:pt>
                <c:pt idx="5">
                  <c:v> TV/Radio </c:v>
                </c:pt>
                <c:pt idx="6">
                  <c:v> Biển bảng/OOH </c:v>
                </c:pt>
                <c:pt idx="7">
                  <c:v> SMS </c:v>
                </c:pt>
                <c:pt idx="8">
                  <c:v> Online banner </c:v>
                </c:pt>
                <c:pt idx="9">
                  <c:v> Zalo </c:v>
                </c:pt>
                <c:pt idx="10">
                  <c:v> Print Ads/ PR </c:v>
                </c:pt>
                <c:pt idx="11">
                  <c:v> Youtube </c:v>
                </c:pt>
                <c:pt idx="12">
                  <c:v> Sự kiện/Lái thử </c:v>
                </c:pt>
                <c:pt idx="13">
                  <c:v> KH Showroom </c:v>
                </c:pt>
                <c:pt idx="14">
                  <c:v> Khác </c:v>
                </c:pt>
              </c:strCache>
            </c:strRef>
          </c:cat>
          <c:val>
            <c:numRef>
              <c:f>Pivot!$V$119:$AJ$119</c:f>
              <c:numCache>
                <c:formatCode>_-* #,##0_-;\-* #,##0_-;_-* "-"??_-;_-@_-</c:formatCode>
                <c:ptCount val="15"/>
                <c:pt idx="0">
                  <c:v>48</c:v>
                </c:pt>
                <c:pt idx="1">
                  <c:v>9</c:v>
                </c:pt>
                <c:pt idx="2">
                  <c:v>37</c:v>
                </c:pt>
                <c:pt idx="3">
                  <c:v>8859</c:v>
                </c:pt>
                <c:pt idx="4">
                  <c:v>14815</c:v>
                </c:pt>
                <c:pt idx="5">
                  <c:v>15</c:v>
                </c:pt>
                <c:pt idx="6">
                  <c:v>149</c:v>
                </c:pt>
                <c:pt idx="7">
                  <c:v>202</c:v>
                </c:pt>
                <c:pt idx="8">
                  <c:v>818</c:v>
                </c:pt>
                <c:pt idx="9">
                  <c:v>1872</c:v>
                </c:pt>
                <c:pt idx="10">
                  <c:v>78</c:v>
                </c:pt>
                <c:pt idx="11">
                  <c:v>512</c:v>
                </c:pt>
                <c:pt idx="12">
                  <c:v>8603</c:v>
                </c:pt>
                <c:pt idx="13">
                  <c:v>9688</c:v>
                </c:pt>
                <c:pt idx="14">
                  <c:v>1748</c:v>
                </c:pt>
              </c:numCache>
            </c:numRef>
          </c:val>
          <c:extLst>
            <c:ext xmlns:c16="http://schemas.microsoft.com/office/drawing/2014/chart" uri="{C3380CC4-5D6E-409C-BE32-E72D297353CC}">
              <c16:uniqueId val="{00000000-6DF3-4A95-A55B-E1C074944672}"/>
            </c:ext>
          </c:extLst>
        </c:ser>
        <c:dLbls>
          <c:showLegendKey val="0"/>
          <c:showVal val="1"/>
          <c:showCatName val="0"/>
          <c:showSerName val="0"/>
          <c:showPercent val="0"/>
          <c:showBubbleSize val="0"/>
        </c:dLbls>
        <c:gapWidth val="219"/>
        <c:axId val="859233583"/>
        <c:axId val="859218191"/>
      </c:barChart>
      <c:lineChart>
        <c:grouping val="standard"/>
        <c:varyColors val="0"/>
        <c:ser>
          <c:idx val="1"/>
          <c:order val="1"/>
          <c:tx>
            <c:strRef>
              <c:f>Pivot!$U$120</c:f>
              <c:strCache>
                <c:ptCount val="1"/>
                <c:pt idx="0">
                  <c:v>Chi phí</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Pivot!$V$118:$AJ$118</c:f>
              <c:strCache>
                <c:ptCount val="15"/>
                <c:pt idx="0">
                  <c:v> Gifts </c:v>
                </c:pt>
                <c:pt idx="1">
                  <c:v> Car club/Sponsor </c:v>
                </c:pt>
                <c:pt idx="2">
                  <c:v> E mail </c:v>
                </c:pt>
                <c:pt idx="3">
                  <c:v> Google Adwords </c:v>
                </c:pt>
                <c:pt idx="4">
                  <c:v> Facebook </c:v>
                </c:pt>
                <c:pt idx="5">
                  <c:v> TV/Radio </c:v>
                </c:pt>
                <c:pt idx="6">
                  <c:v> Biển bảng/OOH </c:v>
                </c:pt>
                <c:pt idx="7">
                  <c:v> SMS </c:v>
                </c:pt>
                <c:pt idx="8">
                  <c:v> Online banner </c:v>
                </c:pt>
                <c:pt idx="9">
                  <c:v> Zalo </c:v>
                </c:pt>
                <c:pt idx="10">
                  <c:v> Print Ads/ PR </c:v>
                </c:pt>
                <c:pt idx="11">
                  <c:v> Youtube </c:v>
                </c:pt>
                <c:pt idx="12">
                  <c:v> Sự kiện/Lái thử </c:v>
                </c:pt>
                <c:pt idx="13">
                  <c:v> KH Showroom </c:v>
                </c:pt>
                <c:pt idx="14">
                  <c:v> Khác </c:v>
                </c:pt>
              </c:strCache>
            </c:strRef>
          </c:cat>
          <c:val>
            <c:numRef>
              <c:f>Pivot!$V$120:$AJ$120</c:f>
              <c:numCache>
                <c:formatCode>_-* #,##0_-;\-* #,##0_-;_-* "-"??_-;_-@_-</c:formatCode>
                <c:ptCount val="15"/>
                <c:pt idx="0">
                  <c:v>712.2</c:v>
                </c:pt>
                <c:pt idx="1">
                  <c:v>48.9</c:v>
                </c:pt>
                <c:pt idx="2">
                  <c:v>41.436999999999998</c:v>
                </c:pt>
                <c:pt idx="3">
                  <c:v>4044.76</c:v>
                </c:pt>
                <c:pt idx="4">
                  <c:v>5412.3450000000003</c:v>
                </c:pt>
                <c:pt idx="5">
                  <c:v>12</c:v>
                </c:pt>
                <c:pt idx="6">
                  <c:v>1839.5499999999993</c:v>
                </c:pt>
                <c:pt idx="7">
                  <c:v>339.46300000000014</c:v>
                </c:pt>
                <c:pt idx="8">
                  <c:v>1268.8389999999999</c:v>
                </c:pt>
                <c:pt idx="9">
                  <c:v>518.11599999999999</c:v>
                </c:pt>
                <c:pt idx="10">
                  <c:v>378.4</c:v>
                </c:pt>
                <c:pt idx="11">
                  <c:v>461.69</c:v>
                </c:pt>
                <c:pt idx="12">
                  <c:v>6428.5150000000003</c:v>
                </c:pt>
                <c:pt idx="13">
                  <c:v>115</c:v>
                </c:pt>
                <c:pt idx="14">
                  <c:v>475.8</c:v>
                </c:pt>
              </c:numCache>
            </c:numRef>
          </c:val>
          <c:smooth val="0"/>
          <c:extLst>
            <c:ext xmlns:c16="http://schemas.microsoft.com/office/drawing/2014/chart" uri="{C3380CC4-5D6E-409C-BE32-E72D297353CC}">
              <c16:uniqueId val="{00000001-6DF3-4A95-A55B-E1C074944672}"/>
            </c:ext>
          </c:extLst>
        </c:ser>
        <c:dLbls>
          <c:showLegendKey val="0"/>
          <c:showVal val="1"/>
          <c:showCatName val="0"/>
          <c:showSerName val="0"/>
          <c:showPercent val="0"/>
          <c:showBubbleSize val="0"/>
        </c:dLbls>
        <c:marker val="1"/>
        <c:smooth val="0"/>
        <c:axId val="784382591"/>
        <c:axId val="784395903"/>
      </c:lineChart>
      <c:catAx>
        <c:axId val="85923358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59218191"/>
        <c:crosses val="autoZero"/>
        <c:auto val="1"/>
        <c:lblAlgn val="ctr"/>
        <c:lblOffset val="100"/>
        <c:noMultiLvlLbl val="0"/>
      </c:catAx>
      <c:valAx>
        <c:axId val="859218191"/>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33583"/>
        <c:crosses val="autoZero"/>
        <c:crossBetween val="between"/>
      </c:valAx>
      <c:valAx>
        <c:axId val="784395903"/>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82591"/>
        <c:crosses val="max"/>
        <c:crossBetween val="between"/>
      </c:valAx>
      <c:catAx>
        <c:axId val="784382591"/>
        <c:scaling>
          <c:orientation val="minMax"/>
        </c:scaling>
        <c:delete val="1"/>
        <c:axPos val="t"/>
        <c:numFmt formatCode="General" sourceLinked="1"/>
        <c:majorTickMark val="out"/>
        <c:minorTickMark val="none"/>
        <c:tickLblPos val="nextTo"/>
        <c:crossAx val="784395903"/>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A9AE"/>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2022.xlsx]Pivot!PivotTable16</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64923612781492E-2"/>
          <c:y val="4.3007521852408158E-2"/>
          <c:w val="0.96393519544334805"/>
          <c:h val="0.6376990329310781"/>
        </c:manualLayout>
      </c:layout>
      <c:barChart>
        <c:barDir val="col"/>
        <c:grouping val="clustered"/>
        <c:varyColors val="0"/>
        <c:ser>
          <c:idx val="0"/>
          <c:order val="0"/>
          <c:tx>
            <c:strRef>
              <c:f>Pivot!$AA$8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Pivot!$Z$9:$Z$34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Pivot!$AA$9:$AA$34</c:f>
              <c:numCache>
                <c:formatCode>_-* #,##0_-;\-* #,##0_-;_-* "-"??_-;_-@_-</c:formatCode>
                <c:ptCount val="25"/>
                <c:pt idx="0">
                  <c:v>331500</c:v>
                </c:pt>
                <c:pt idx="1">
                  <c:v>350200</c:v>
                </c:pt>
                <c:pt idx="2">
                  <c:v>1309000</c:v>
                </c:pt>
                <c:pt idx="3">
                  <c:v>796000</c:v>
                </c:pt>
                <c:pt idx="4">
                  <c:v>486000</c:v>
                </c:pt>
                <c:pt idx="5">
                  <c:v>1070000</c:v>
                </c:pt>
                <c:pt idx="6">
                  <c:v>873850</c:v>
                </c:pt>
                <c:pt idx="7">
                  <c:v>841150</c:v>
                </c:pt>
                <c:pt idx="8">
                  <c:v>816000</c:v>
                </c:pt>
                <c:pt idx="9">
                  <c:v>722000</c:v>
                </c:pt>
                <c:pt idx="10">
                  <c:v>860000</c:v>
                </c:pt>
                <c:pt idx="11">
                  <c:v>718200</c:v>
                </c:pt>
                <c:pt idx="12">
                  <c:v>663300</c:v>
                </c:pt>
                <c:pt idx="13">
                  <c:v>697000</c:v>
                </c:pt>
                <c:pt idx="14">
                  <c:v>379600</c:v>
                </c:pt>
                <c:pt idx="15">
                  <c:v>1547000</c:v>
                </c:pt>
                <c:pt idx="16">
                  <c:v>3275062</c:v>
                </c:pt>
                <c:pt idx="17">
                  <c:v>1197000</c:v>
                </c:pt>
                <c:pt idx="18">
                  <c:v>630790</c:v>
                </c:pt>
                <c:pt idx="19">
                  <c:v>889200</c:v>
                </c:pt>
                <c:pt idx="20">
                  <c:v>716000</c:v>
                </c:pt>
                <c:pt idx="21">
                  <c:v>779000</c:v>
                </c:pt>
                <c:pt idx="22">
                  <c:v>549779</c:v>
                </c:pt>
                <c:pt idx="23">
                  <c:v>678900</c:v>
                </c:pt>
              </c:numCache>
            </c:numRef>
          </c:val>
          <c:extLst>
            <c:ext xmlns:c16="http://schemas.microsoft.com/office/drawing/2014/chart" uri="{C3380CC4-5D6E-409C-BE32-E72D297353CC}">
              <c16:uniqueId val="{00000000-0BB0-407B-BE6C-53B08561C895}"/>
            </c:ext>
          </c:extLst>
        </c:ser>
        <c:dLbls>
          <c:dLblPos val="outEnd"/>
          <c:showLegendKey val="0"/>
          <c:showVal val="1"/>
          <c:showCatName val="0"/>
          <c:showSerName val="0"/>
          <c:showPercent val="0"/>
          <c:showBubbleSize val="0"/>
        </c:dLbls>
        <c:gapWidth val="100"/>
        <c:overlap val="-24"/>
        <c:axId val="249335792"/>
        <c:axId val="249327472"/>
      </c:barChart>
      <c:catAx>
        <c:axId val="2493357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27472"/>
        <c:crosses val="autoZero"/>
        <c:auto val="1"/>
        <c:lblAlgn val="ctr"/>
        <c:lblOffset val="100"/>
        <c:noMultiLvlLbl val="0"/>
      </c:catAx>
      <c:valAx>
        <c:axId val="249327472"/>
        <c:scaling>
          <c:orientation val="minMax"/>
        </c:scaling>
        <c:delete val="1"/>
        <c:axPos val="l"/>
        <c:numFmt formatCode="_-* #,##0_-;\-* #,##0_-;_-* &quot;-&quot;??_-;_-@_-" sourceLinked="1"/>
        <c:majorTickMark val="out"/>
        <c:minorTickMark val="none"/>
        <c:tickLblPos val="nextTo"/>
        <c:crossAx val="2493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[Marketing Dashboard_2022_ Sơ kết MKT 2022.xlsx]Pivot!PivotTable19</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84053351926858E-2"/>
          <c:y val="4.0135132145712654E-2"/>
          <c:w val="0.95125957095110325"/>
          <c:h val="0.53577672110622421"/>
        </c:manualLayout>
      </c:layout>
      <c:barChart>
        <c:barDir val="col"/>
        <c:grouping val="clustered"/>
        <c:varyColors val="0"/>
        <c:ser>
          <c:idx val="0"/>
          <c:order val="0"/>
          <c:tx>
            <c:strRef>
              <c:f>Pivot!$B$173</c:f>
              <c:strCache>
                <c:ptCount val="1"/>
                <c:pt idx="0">
                  <c:v>Sum of HĐ MKT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Pivot!$A$174:$A$476</c:f>
              <c:multiLvlStrCache>
                <c:ptCount val="289"/>
                <c:lvl>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An Giang</c:v>
                  </c:pt>
                  <c:pt idx="25">
                    <c:v>An Phú</c:v>
                  </c:pt>
                  <c:pt idx="26">
                    <c:v>Bà Rịa Vũng Tàu</c:v>
                  </c:pt>
                  <c:pt idx="27">
                    <c:v>Bạc Liêu</c:v>
                  </c:pt>
                  <c:pt idx="28">
                    <c:v>Bến Tre</c:v>
                  </c:pt>
                  <c:pt idx="29">
                    <c:v>Bình Dương</c:v>
                  </c:pt>
                  <c:pt idx="30">
                    <c:v>Bình Phước</c:v>
                  </c:pt>
                  <c:pt idx="31">
                    <c:v>Bình Thuận</c:v>
                  </c:pt>
                  <c:pt idx="32">
                    <c:v>Cà Mau</c:v>
                  </c:pt>
                  <c:pt idx="33">
                    <c:v>Đông Sài Gòn</c:v>
                  </c:pt>
                  <c:pt idx="34">
                    <c:v>Đồng Tháp</c:v>
                  </c:pt>
                  <c:pt idx="35">
                    <c:v>Gia Định</c:v>
                  </c:pt>
                  <c:pt idx="36">
                    <c:v>Kiên Giang</c:v>
                  </c:pt>
                  <c:pt idx="37">
                    <c:v>Kinh Dương Vương</c:v>
                  </c:pt>
                  <c:pt idx="38">
                    <c:v>Long An</c:v>
                  </c:pt>
                  <c:pt idx="39">
                    <c:v>Miền Nam</c:v>
                  </c:pt>
                  <c:pt idx="40">
                    <c:v>Ngọc An</c:v>
                  </c:pt>
                  <c:pt idx="41">
                    <c:v>Ngọc Phát</c:v>
                  </c:pt>
                  <c:pt idx="42">
                    <c:v>Tây Đô</c:v>
                  </c:pt>
                  <c:pt idx="43">
                    <c:v>Tây Ninh</c:v>
                  </c:pt>
                  <c:pt idx="44">
                    <c:v>Tiền Giang</c:v>
                  </c:pt>
                  <c:pt idx="45">
                    <c:v>Trường Chinh</c:v>
                  </c:pt>
                  <c:pt idx="46">
                    <c:v>Việt Hàn</c:v>
                  </c:pt>
                  <c:pt idx="47">
                    <c:v>Vĩnh Long</c:v>
                  </c:pt>
                  <c:pt idx="48">
                    <c:v>An Giang</c:v>
                  </c:pt>
                  <c:pt idx="49">
                    <c:v>An Phú</c:v>
                  </c:pt>
                  <c:pt idx="50">
                    <c:v>Bà Rịa Vũng Tàu</c:v>
                  </c:pt>
                  <c:pt idx="51">
                    <c:v>Bạc Liêu</c:v>
                  </c:pt>
                  <c:pt idx="52">
                    <c:v>Bến Tre</c:v>
                  </c:pt>
                  <c:pt idx="53">
                    <c:v>Bình Dương</c:v>
                  </c:pt>
                  <c:pt idx="54">
                    <c:v>Bình Phước</c:v>
                  </c:pt>
                  <c:pt idx="55">
                    <c:v>Bình Thuận</c:v>
                  </c:pt>
                  <c:pt idx="56">
                    <c:v>Cà Mau</c:v>
                  </c:pt>
                  <c:pt idx="57">
                    <c:v>Đông Sài Gòn</c:v>
                  </c:pt>
                  <c:pt idx="58">
                    <c:v>Đồng Tháp</c:v>
                  </c:pt>
                  <c:pt idx="59">
                    <c:v>Gia Định</c:v>
                  </c:pt>
                  <c:pt idx="60">
                    <c:v>Kiên Giang</c:v>
                  </c:pt>
                  <c:pt idx="61">
                    <c:v>Kinh Dương Vương</c:v>
                  </c:pt>
                  <c:pt idx="62">
                    <c:v>Long An</c:v>
                  </c:pt>
                  <c:pt idx="63">
                    <c:v>Miền Nam</c:v>
                  </c:pt>
                  <c:pt idx="64">
                    <c:v>Ngọc An</c:v>
                  </c:pt>
                  <c:pt idx="65">
                    <c:v>Ngọc Phát</c:v>
                  </c:pt>
                  <c:pt idx="66">
                    <c:v>Tây Đô</c:v>
                  </c:pt>
                  <c:pt idx="67">
                    <c:v>Tây Ninh</c:v>
                  </c:pt>
                  <c:pt idx="68">
                    <c:v>Tiền Giang</c:v>
                  </c:pt>
                  <c:pt idx="69">
                    <c:v>Trường Chinh</c:v>
                  </c:pt>
                  <c:pt idx="70">
                    <c:v>Việt Hàn</c:v>
                  </c:pt>
                  <c:pt idx="71">
                    <c:v>Vĩnh Long</c:v>
                  </c:pt>
                  <c:pt idx="72">
                    <c:v>An Giang</c:v>
                  </c:pt>
                  <c:pt idx="73">
                    <c:v>An Phú</c:v>
                  </c:pt>
                  <c:pt idx="74">
                    <c:v>Bà Rịa Vũng Tàu</c:v>
                  </c:pt>
                  <c:pt idx="75">
                    <c:v>Bạc Liêu</c:v>
                  </c:pt>
                  <c:pt idx="76">
                    <c:v>Bến Tre</c:v>
                  </c:pt>
                  <c:pt idx="77">
                    <c:v>Bình Dương</c:v>
                  </c:pt>
                  <c:pt idx="78">
                    <c:v>Bình Phước</c:v>
                  </c:pt>
                  <c:pt idx="79">
                    <c:v>Bình Thuận</c:v>
                  </c:pt>
                  <c:pt idx="80">
                    <c:v>Cà Mau</c:v>
                  </c:pt>
                  <c:pt idx="81">
                    <c:v>Đông Sài Gòn</c:v>
                  </c:pt>
                  <c:pt idx="82">
                    <c:v>Đồng Tháp</c:v>
                  </c:pt>
                  <c:pt idx="83">
                    <c:v>Gia Định</c:v>
                  </c:pt>
                  <c:pt idx="84">
                    <c:v>Kiên Giang</c:v>
                  </c:pt>
                  <c:pt idx="85">
                    <c:v>Kinh Dương Vương</c:v>
                  </c:pt>
                  <c:pt idx="86">
                    <c:v>Long An</c:v>
                  </c:pt>
                  <c:pt idx="87">
                    <c:v>Miền Nam</c:v>
                  </c:pt>
                  <c:pt idx="88">
                    <c:v>Ngọc An</c:v>
                  </c:pt>
                  <c:pt idx="89">
                    <c:v>Ngọc Phát</c:v>
                  </c:pt>
                  <c:pt idx="90">
                    <c:v>Tây Đô</c:v>
                  </c:pt>
                  <c:pt idx="91">
                    <c:v>Tây Ninh</c:v>
                  </c:pt>
                  <c:pt idx="92">
                    <c:v>Tiền Giang</c:v>
                  </c:pt>
                  <c:pt idx="93">
                    <c:v>Trường Chinh</c:v>
                  </c:pt>
                  <c:pt idx="94">
                    <c:v>Việt Hàn</c:v>
                  </c:pt>
                  <c:pt idx="95">
                    <c:v>Vĩnh Long</c:v>
                  </c:pt>
                  <c:pt idx="96">
                    <c:v>An Giang</c:v>
                  </c:pt>
                  <c:pt idx="97">
                    <c:v>An Phú</c:v>
                  </c:pt>
                  <c:pt idx="98">
                    <c:v>Bà Rịa Vũng Tàu</c:v>
                  </c:pt>
                  <c:pt idx="99">
                    <c:v>Bạc Liêu</c:v>
                  </c:pt>
                  <c:pt idx="100">
                    <c:v>Bến Tre</c:v>
                  </c:pt>
                  <c:pt idx="101">
                    <c:v>Bình Dương</c:v>
                  </c:pt>
                  <c:pt idx="102">
                    <c:v>Bình Phước</c:v>
                  </c:pt>
                  <c:pt idx="103">
                    <c:v>Bình Thuận</c:v>
                  </c:pt>
                  <c:pt idx="104">
                    <c:v>Cà Mau</c:v>
                  </c:pt>
                  <c:pt idx="105">
                    <c:v>Đông Sài Gòn</c:v>
                  </c:pt>
                  <c:pt idx="106">
                    <c:v>Đồng Tháp</c:v>
                  </c:pt>
                  <c:pt idx="107">
                    <c:v>Gia Định</c:v>
                  </c:pt>
                  <c:pt idx="108">
                    <c:v>Kiên Giang</c:v>
                  </c:pt>
                  <c:pt idx="109">
                    <c:v>Kinh Dương Vương</c:v>
                  </c:pt>
                  <c:pt idx="110">
                    <c:v>Long An</c:v>
                  </c:pt>
                  <c:pt idx="111">
                    <c:v>Miền Nam</c:v>
                  </c:pt>
                  <c:pt idx="112">
                    <c:v>Ngọc An</c:v>
                  </c:pt>
                  <c:pt idx="113">
                    <c:v>Ngọc Phát</c:v>
                  </c:pt>
                  <c:pt idx="114">
                    <c:v>Tây Đô</c:v>
                  </c:pt>
                  <c:pt idx="115">
                    <c:v>Tây Ninh</c:v>
                  </c:pt>
                  <c:pt idx="116">
                    <c:v>Tiền Giang</c:v>
                  </c:pt>
                  <c:pt idx="117">
                    <c:v>Trường Chinh</c:v>
                  </c:pt>
                  <c:pt idx="118">
                    <c:v>Việt Hàn</c:v>
                  </c:pt>
                  <c:pt idx="119">
                    <c:v>Vĩnh Long</c:v>
                  </c:pt>
                  <c:pt idx="120">
                    <c:v>An Giang</c:v>
                  </c:pt>
                  <c:pt idx="121">
                    <c:v>An Phú</c:v>
                  </c:pt>
                  <c:pt idx="122">
                    <c:v>Bà Rịa Vũng Tàu</c:v>
                  </c:pt>
                  <c:pt idx="123">
                    <c:v>Bạc Liêu</c:v>
                  </c:pt>
                  <c:pt idx="124">
                    <c:v>Bến Tre</c:v>
                  </c:pt>
                  <c:pt idx="125">
                    <c:v>Bình Dương</c:v>
                  </c:pt>
                  <c:pt idx="126">
                    <c:v>Bình Phước</c:v>
                  </c:pt>
                  <c:pt idx="127">
                    <c:v>Bình Thuận</c:v>
                  </c:pt>
                  <c:pt idx="128">
                    <c:v>Cà Mau</c:v>
                  </c:pt>
                  <c:pt idx="129">
                    <c:v>Đông Sài Gòn</c:v>
                  </c:pt>
                  <c:pt idx="130">
                    <c:v>Đồng Tháp</c:v>
                  </c:pt>
                  <c:pt idx="131">
                    <c:v>Gia Định</c:v>
                  </c:pt>
                  <c:pt idx="132">
                    <c:v>Kiên Giang</c:v>
                  </c:pt>
                  <c:pt idx="133">
                    <c:v>Kinh Dương Vương</c:v>
                  </c:pt>
                  <c:pt idx="134">
                    <c:v>Long An</c:v>
                  </c:pt>
                  <c:pt idx="135">
                    <c:v>Miền Nam</c:v>
                  </c:pt>
                  <c:pt idx="136">
                    <c:v>Ngọc An</c:v>
                  </c:pt>
                  <c:pt idx="137">
                    <c:v>Ngọc Phát</c:v>
                  </c:pt>
                  <c:pt idx="138">
                    <c:v>Tây Đô</c:v>
                  </c:pt>
                  <c:pt idx="139">
                    <c:v>Tây Ninh</c:v>
                  </c:pt>
                  <c:pt idx="140">
                    <c:v>Tiền Giang</c:v>
                  </c:pt>
                  <c:pt idx="141">
                    <c:v>Trường Chinh</c:v>
                  </c:pt>
                  <c:pt idx="142">
                    <c:v>Việt Hàn</c:v>
                  </c:pt>
                  <c:pt idx="143">
                    <c:v>Vĩnh Long</c:v>
                  </c:pt>
                  <c:pt idx="144">
                    <c:v>An Giang</c:v>
                  </c:pt>
                  <c:pt idx="145">
                    <c:v>An Phú</c:v>
                  </c:pt>
                  <c:pt idx="146">
                    <c:v>Bà Rịa Vũng Tàu</c:v>
                  </c:pt>
                  <c:pt idx="147">
                    <c:v>Bạc Liêu</c:v>
                  </c:pt>
                  <c:pt idx="148">
                    <c:v>Bến Tre</c:v>
                  </c:pt>
                  <c:pt idx="149">
                    <c:v>Bình Dương</c:v>
                  </c:pt>
                  <c:pt idx="150">
                    <c:v>Bình Phước</c:v>
                  </c:pt>
                  <c:pt idx="151">
                    <c:v>Bình Thuận</c:v>
                  </c:pt>
                  <c:pt idx="152">
                    <c:v>Cà Mau</c:v>
                  </c:pt>
                  <c:pt idx="153">
                    <c:v>Đông Sài Gòn</c:v>
                  </c:pt>
                  <c:pt idx="154">
                    <c:v>Đồng Tháp</c:v>
                  </c:pt>
                  <c:pt idx="155">
                    <c:v>Gia Định</c:v>
                  </c:pt>
                  <c:pt idx="156">
                    <c:v>Kiên Giang</c:v>
                  </c:pt>
                  <c:pt idx="157">
                    <c:v>Kinh Dương Vương</c:v>
                  </c:pt>
                  <c:pt idx="158">
                    <c:v>Long An</c:v>
                  </c:pt>
                  <c:pt idx="159">
                    <c:v>Miền Nam</c:v>
                  </c:pt>
                  <c:pt idx="160">
                    <c:v>Ngọc An</c:v>
                  </c:pt>
                  <c:pt idx="161">
                    <c:v>Ngọc Phát</c:v>
                  </c:pt>
                  <c:pt idx="162">
                    <c:v>Tây Đô</c:v>
                  </c:pt>
                  <c:pt idx="163">
                    <c:v>Tây Ninh</c:v>
                  </c:pt>
                  <c:pt idx="164">
                    <c:v>Tiền Giang</c:v>
                  </c:pt>
                  <c:pt idx="165">
                    <c:v>Trường Chinh</c:v>
                  </c:pt>
                  <c:pt idx="166">
                    <c:v>Việt Hàn</c:v>
                  </c:pt>
                  <c:pt idx="167">
                    <c:v>Vĩnh Long</c:v>
                  </c:pt>
                  <c:pt idx="168">
                    <c:v>An Giang</c:v>
                  </c:pt>
                  <c:pt idx="169">
                    <c:v>An Phú</c:v>
                  </c:pt>
                  <c:pt idx="170">
                    <c:v>Bà Rịa Vũng Tàu</c:v>
                  </c:pt>
                  <c:pt idx="171">
                    <c:v>Bạc Liêu</c:v>
                  </c:pt>
                  <c:pt idx="172">
                    <c:v>Bến Tre</c:v>
                  </c:pt>
                  <c:pt idx="173">
                    <c:v>Bình Dương</c:v>
                  </c:pt>
                  <c:pt idx="174">
                    <c:v>Bình Phước</c:v>
                  </c:pt>
                  <c:pt idx="175">
                    <c:v>Bình Thuận</c:v>
                  </c:pt>
                  <c:pt idx="176">
                    <c:v>Cà Mau</c:v>
                  </c:pt>
                  <c:pt idx="177">
                    <c:v>Đông Sài Gòn</c:v>
                  </c:pt>
                  <c:pt idx="178">
                    <c:v>Đồng Tháp</c:v>
                  </c:pt>
                  <c:pt idx="179">
                    <c:v>Gia Định</c:v>
                  </c:pt>
                  <c:pt idx="180">
                    <c:v>Kiên Giang</c:v>
                  </c:pt>
                  <c:pt idx="181">
                    <c:v>Kinh Dương Vương</c:v>
                  </c:pt>
                  <c:pt idx="182">
                    <c:v>Long An</c:v>
                  </c:pt>
                  <c:pt idx="183">
                    <c:v>Miền Nam</c:v>
                  </c:pt>
                  <c:pt idx="184">
                    <c:v>Ngọc An</c:v>
                  </c:pt>
                  <c:pt idx="185">
                    <c:v>Ngọc Phát</c:v>
                  </c:pt>
                  <c:pt idx="186">
                    <c:v>Tây Đô</c:v>
                  </c:pt>
                  <c:pt idx="187">
                    <c:v>Tây Ninh</c:v>
                  </c:pt>
                  <c:pt idx="188">
                    <c:v>Tiền Giang</c:v>
                  </c:pt>
                  <c:pt idx="189">
                    <c:v>Trường Chinh</c:v>
                  </c:pt>
                  <c:pt idx="190">
                    <c:v>Việt Hàn</c:v>
                  </c:pt>
                  <c:pt idx="191">
                    <c:v>Vĩnh Long</c:v>
                  </c:pt>
                  <c:pt idx="192">
                    <c:v>An Giang</c:v>
                  </c:pt>
                  <c:pt idx="193">
                    <c:v>An Phú</c:v>
                  </c:pt>
                  <c:pt idx="194">
                    <c:v>Bà Rịa Vũng Tàu</c:v>
                  </c:pt>
                  <c:pt idx="195">
                    <c:v>Bạc Liêu</c:v>
                  </c:pt>
                  <c:pt idx="196">
                    <c:v>Bến Tre</c:v>
                  </c:pt>
                  <c:pt idx="197">
                    <c:v>Bình Dương</c:v>
                  </c:pt>
                  <c:pt idx="198">
                    <c:v>Bình Phước</c:v>
                  </c:pt>
                  <c:pt idx="199">
                    <c:v>Bình Thuận</c:v>
                  </c:pt>
                  <c:pt idx="200">
                    <c:v>Cà Mau</c:v>
                  </c:pt>
                  <c:pt idx="201">
                    <c:v>Đông Sài Gòn</c:v>
                  </c:pt>
                  <c:pt idx="202">
                    <c:v>Đồng Tháp</c:v>
                  </c:pt>
                  <c:pt idx="203">
                    <c:v>Gia Định</c:v>
                  </c:pt>
                  <c:pt idx="204">
                    <c:v>Kiên Giang</c:v>
                  </c:pt>
                  <c:pt idx="205">
                    <c:v>Kinh Dương Vương</c:v>
                  </c:pt>
                  <c:pt idx="206">
                    <c:v>Long An</c:v>
                  </c:pt>
                  <c:pt idx="207">
                    <c:v>Miền Nam</c:v>
                  </c:pt>
                  <c:pt idx="208">
                    <c:v>Ngọc An</c:v>
                  </c:pt>
                  <c:pt idx="209">
                    <c:v>Ngọc Phát</c:v>
                  </c:pt>
                  <c:pt idx="210">
                    <c:v>Tây Đô</c:v>
                  </c:pt>
                  <c:pt idx="211">
                    <c:v>Tây Ninh</c:v>
                  </c:pt>
                  <c:pt idx="212">
                    <c:v>Tiền Giang</c:v>
                  </c:pt>
                  <c:pt idx="213">
                    <c:v>Trường Chinh</c:v>
                  </c:pt>
                  <c:pt idx="214">
                    <c:v>Việt Hàn</c:v>
                  </c:pt>
                  <c:pt idx="215">
                    <c:v>Vĩnh Long</c:v>
                  </c:pt>
                  <c:pt idx="216">
                    <c:v>An Giang</c:v>
                  </c:pt>
                  <c:pt idx="217">
                    <c:v>An Phú</c:v>
                  </c:pt>
                  <c:pt idx="218">
                    <c:v>Bà Rịa Vũng Tàu</c:v>
                  </c:pt>
                  <c:pt idx="219">
                    <c:v>Bạc Liêu</c:v>
                  </c:pt>
                  <c:pt idx="220">
                    <c:v>Bến Tre</c:v>
                  </c:pt>
                  <c:pt idx="221">
                    <c:v>Bình Dương</c:v>
                  </c:pt>
                  <c:pt idx="222">
                    <c:v>Bình Phước</c:v>
                  </c:pt>
                  <c:pt idx="223">
                    <c:v>Bình Thuận</c:v>
                  </c:pt>
                  <c:pt idx="224">
                    <c:v>Cà Mau</c:v>
                  </c:pt>
                  <c:pt idx="225">
                    <c:v>Đông Sài Gòn</c:v>
                  </c:pt>
                  <c:pt idx="226">
                    <c:v>Đồng Tháp</c:v>
                  </c:pt>
                  <c:pt idx="227">
                    <c:v>Gia Định</c:v>
                  </c:pt>
                  <c:pt idx="228">
                    <c:v>Kiên Giang</c:v>
                  </c:pt>
                  <c:pt idx="229">
                    <c:v>Kinh Dương Vương</c:v>
                  </c:pt>
                  <c:pt idx="230">
                    <c:v>Long An</c:v>
                  </c:pt>
                  <c:pt idx="231">
                    <c:v>Miền Nam</c:v>
                  </c:pt>
                  <c:pt idx="232">
                    <c:v>Ngọc An</c:v>
                  </c:pt>
                  <c:pt idx="233">
                    <c:v>Ngọc Phát</c:v>
                  </c:pt>
                  <c:pt idx="234">
                    <c:v>Tây Đô</c:v>
                  </c:pt>
                  <c:pt idx="235">
                    <c:v>Tây Ninh</c:v>
                  </c:pt>
                  <c:pt idx="236">
                    <c:v>Tiền Giang</c:v>
                  </c:pt>
                  <c:pt idx="237">
                    <c:v>Trường Chinh</c:v>
                  </c:pt>
                  <c:pt idx="238">
                    <c:v>Việt Hàn</c:v>
                  </c:pt>
                  <c:pt idx="239">
                    <c:v>Vĩnh Long</c:v>
                  </c:pt>
                  <c:pt idx="240">
                    <c:v>An Giang</c:v>
                  </c:pt>
                  <c:pt idx="241">
                    <c:v>An Phú</c:v>
                  </c:pt>
                  <c:pt idx="242">
                    <c:v>Bà Rịa Vũng Tàu</c:v>
                  </c:pt>
                  <c:pt idx="243">
                    <c:v>Bạc Liêu</c:v>
                  </c:pt>
                  <c:pt idx="244">
                    <c:v>Bến Tre</c:v>
                  </c:pt>
                  <c:pt idx="245">
                    <c:v>Bình Dương</c:v>
                  </c:pt>
                  <c:pt idx="246">
                    <c:v>Bình Phước</c:v>
                  </c:pt>
                  <c:pt idx="247">
                    <c:v>Bình Thuận</c:v>
                  </c:pt>
                  <c:pt idx="248">
                    <c:v>Cà Mau</c:v>
                  </c:pt>
                  <c:pt idx="249">
                    <c:v>Đông Sài Gòn</c:v>
                  </c:pt>
                  <c:pt idx="250">
                    <c:v>Đồng Tháp</c:v>
                  </c:pt>
                  <c:pt idx="251">
                    <c:v>Gia Định</c:v>
                  </c:pt>
                  <c:pt idx="252">
                    <c:v>Kiên Giang</c:v>
                  </c:pt>
                  <c:pt idx="253">
                    <c:v>Kinh Dương Vương</c:v>
                  </c:pt>
                  <c:pt idx="254">
                    <c:v>Long An</c:v>
                  </c:pt>
                  <c:pt idx="255">
                    <c:v>Miền Nam</c:v>
                  </c:pt>
                  <c:pt idx="256">
                    <c:v>Ngọc An</c:v>
                  </c:pt>
                  <c:pt idx="257">
                    <c:v>Ngọc Phát</c:v>
                  </c:pt>
                  <c:pt idx="258">
                    <c:v>Tây Đô</c:v>
                  </c:pt>
                  <c:pt idx="259">
                    <c:v>Tây Ninh</c:v>
                  </c:pt>
                  <c:pt idx="260">
                    <c:v>Tiền Giang</c:v>
                  </c:pt>
                  <c:pt idx="261">
                    <c:v>Trường Chinh</c:v>
                  </c:pt>
                  <c:pt idx="262">
                    <c:v>Việt Hàn</c:v>
                  </c:pt>
                  <c:pt idx="263">
                    <c:v>Vĩnh Long</c:v>
                  </c:pt>
                  <c:pt idx="264">
                    <c:v>(blank)</c:v>
                  </c:pt>
                  <c:pt idx="265">
                    <c:v>An Giang</c:v>
                  </c:pt>
                  <c:pt idx="266">
                    <c:v>An Phú</c:v>
                  </c:pt>
                  <c:pt idx="267">
                    <c:v>Bà Rịa Vũng Tàu</c:v>
                  </c:pt>
                  <c:pt idx="268">
                    <c:v>Bạc Liêu</c:v>
                  </c:pt>
                  <c:pt idx="269">
                    <c:v>Bến Tre</c:v>
                  </c:pt>
                  <c:pt idx="270">
                    <c:v>Bình Dương</c:v>
                  </c:pt>
                  <c:pt idx="271">
                    <c:v>Bình Phước</c:v>
                  </c:pt>
                  <c:pt idx="272">
                    <c:v>Bình Thuận</c:v>
                  </c:pt>
                  <c:pt idx="273">
                    <c:v>Cà Mau</c:v>
                  </c:pt>
                  <c:pt idx="274">
                    <c:v>Đông Sài Gòn</c:v>
                  </c:pt>
                  <c:pt idx="275">
                    <c:v>Đồng Tháp</c:v>
                  </c:pt>
                  <c:pt idx="276">
                    <c:v>Gia Định</c:v>
                  </c:pt>
                  <c:pt idx="277">
                    <c:v>Kiên Giang</c:v>
                  </c:pt>
                  <c:pt idx="278">
                    <c:v>Kinh Dương Vương</c:v>
                  </c:pt>
                  <c:pt idx="279">
                    <c:v>Long An</c:v>
                  </c:pt>
                  <c:pt idx="280">
                    <c:v>Miền Nam</c:v>
                  </c:pt>
                  <c:pt idx="281">
                    <c:v>Ngọc An</c:v>
                  </c:pt>
                  <c:pt idx="282">
                    <c:v>Ngọc Phát</c:v>
                  </c:pt>
                  <c:pt idx="283">
                    <c:v>Tây Đô</c:v>
                  </c:pt>
                  <c:pt idx="284">
                    <c:v>Tây Ninh</c:v>
                  </c:pt>
                  <c:pt idx="285">
                    <c:v>Tiền Giang</c:v>
                  </c:pt>
                  <c:pt idx="286">
                    <c:v>Trường Chinh</c:v>
                  </c:pt>
                  <c:pt idx="287">
                    <c:v>Việt Hàn</c:v>
                  </c:pt>
                  <c:pt idx="288">
                    <c:v>Vĩnh Long</c:v>
                  </c:pt>
                </c:lvl>
                <c:lvl>
                  <c:pt idx="0">
                    <c:v>1</c:v>
                  </c:pt>
                  <c:pt idx="24">
                    <c:v>2</c:v>
                  </c:pt>
                  <c:pt idx="48">
                    <c:v>3</c:v>
                  </c:pt>
                  <c:pt idx="72">
                    <c:v>4</c:v>
                  </c:pt>
                  <c:pt idx="96">
                    <c:v>5</c:v>
                  </c:pt>
                  <c:pt idx="120">
                    <c:v>6</c:v>
                  </c:pt>
                  <c:pt idx="144">
                    <c:v>7</c:v>
                  </c:pt>
                  <c:pt idx="168">
                    <c:v>8</c:v>
                  </c:pt>
                  <c:pt idx="192">
                    <c:v>9</c:v>
                  </c:pt>
                  <c:pt idx="216">
                    <c:v>10</c:v>
                  </c:pt>
                  <c:pt idx="240">
                    <c:v>11</c:v>
                  </c:pt>
                  <c:pt idx="264">
                    <c:v>(blank)</c:v>
                  </c:pt>
                  <c:pt idx="265">
                    <c:v>12</c:v>
                  </c:pt>
                </c:lvl>
              </c:multiLvlStrCache>
            </c:multiLvlStrRef>
          </c:cat>
          <c:val>
            <c:numRef>
              <c:f>Pivot!$B$174:$B$476</c:f>
              <c:numCache>
                <c:formatCode>_-* #,##0_-;\-* #,##0_-;_-* "-"??_-;_-@_-</c:formatCode>
                <c:ptCount val="289"/>
                <c:pt idx="0">
                  <c:v>8</c:v>
                </c:pt>
                <c:pt idx="1">
                  <c:v>0</c:v>
                </c:pt>
                <c:pt idx="2">
                  <c:v>23</c:v>
                </c:pt>
                <c:pt idx="3">
                  <c:v>3</c:v>
                </c:pt>
                <c:pt idx="4">
                  <c:v>1</c:v>
                </c:pt>
                <c:pt idx="5">
                  <c:v>10</c:v>
                </c:pt>
                <c:pt idx="6">
                  <c:v>3</c:v>
                </c:pt>
                <c:pt idx="7">
                  <c:v>18</c:v>
                </c:pt>
                <c:pt idx="8">
                  <c:v>20</c:v>
                </c:pt>
                <c:pt idx="9">
                  <c:v>4</c:v>
                </c:pt>
                <c:pt idx="10">
                  <c:v>7</c:v>
                </c:pt>
                <c:pt idx="11">
                  <c:v>1</c:v>
                </c:pt>
                <c:pt idx="12">
                  <c:v>5</c:v>
                </c:pt>
                <c:pt idx="13">
                  <c:v>0</c:v>
                </c:pt>
                <c:pt idx="14">
                  <c:v>17</c:v>
                </c:pt>
                <c:pt idx="15">
                  <c:v>2</c:v>
                </c:pt>
                <c:pt idx="16">
                  <c:v>15</c:v>
                </c:pt>
                <c:pt idx="17">
                  <c:v>12</c:v>
                </c:pt>
                <c:pt idx="18">
                  <c:v>2</c:v>
                </c:pt>
                <c:pt idx="19">
                  <c:v>11</c:v>
                </c:pt>
                <c:pt idx="20">
                  <c:v>27</c:v>
                </c:pt>
                <c:pt idx="21">
                  <c:v>11</c:v>
                </c:pt>
                <c:pt idx="22">
                  <c:v>3</c:v>
                </c:pt>
                <c:pt idx="23">
                  <c:v>3</c:v>
                </c:pt>
                <c:pt idx="24">
                  <c:v>12</c:v>
                </c:pt>
                <c:pt idx="25">
                  <c:v>0</c:v>
                </c:pt>
                <c:pt idx="26">
                  <c:v>14</c:v>
                </c:pt>
                <c:pt idx="27">
                  <c:v>2</c:v>
                </c:pt>
                <c:pt idx="28">
                  <c:v>0</c:v>
                </c:pt>
                <c:pt idx="29">
                  <c:v>9</c:v>
                </c:pt>
                <c:pt idx="30">
                  <c:v>7</c:v>
                </c:pt>
                <c:pt idx="31">
                  <c:v>12</c:v>
                </c:pt>
                <c:pt idx="32">
                  <c:v>19</c:v>
                </c:pt>
                <c:pt idx="33">
                  <c:v>21</c:v>
                </c:pt>
                <c:pt idx="34">
                  <c:v>6</c:v>
                </c:pt>
                <c:pt idx="35">
                  <c:v>2</c:v>
                </c:pt>
                <c:pt idx="36">
                  <c:v>5</c:v>
                </c:pt>
                <c:pt idx="37">
                  <c:v>0</c:v>
                </c:pt>
                <c:pt idx="38">
                  <c:v>7</c:v>
                </c:pt>
                <c:pt idx="40">
                  <c:v>8</c:v>
                </c:pt>
                <c:pt idx="41">
                  <c:v>8</c:v>
                </c:pt>
                <c:pt idx="42">
                  <c:v>5</c:v>
                </c:pt>
                <c:pt idx="43">
                  <c:v>3</c:v>
                </c:pt>
                <c:pt idx="44">
                  <c:v>5</c:v>
                </c:pt>
                <c:pt idx="45">
                  <c:v>0</c:v>
                </c:pt>
                <c:pt idx="46">
                  <c:v>2</c:v>
                </c:pt>
                <c:pt idx="47">
                  <c:v>2</c:v>
                </c:pt>
                <c:pt idx="48">
                  <c:v>12</c:v>
                </c:pt>
                <c:pt idx="49">
                  <c:v>0</c:v>
                </c:pt>
                <c:pt idx="50">
                  <c:v>20</c:v>
                </c:pt>
                <c:pt idx="51">
                  <c:v>3</c:v>
                </c:pt>
                <c:pt idx="52">
                  <c:v>4</c:v>
                </c:pt>
                <c:pt idx="53">
                  <c:v>10</c:v>
                </c:pt>
                <c:pt idx="54">
                  <c:v>10</c:v>
                </c:pt>
                <c:pt idx="55">
                  <c:v>24</c:v>
                </c:pt>
                <c:pt idx="56">
                  <c:v>23</c:v>
                </c:pt>
                <c:pt idx="57">
                  <c:v>21</c:v>
                </c:pt>
                <c:pt idx="58">
                  <c:v>10</c:v>
                </c:pt>
                <c:pt idx="59">
                  <c:v>3</c:v>
                </c:pt>
                <c:pt idx="60">
                  <c:v>15</c:v>
                </c:pt>
                <c:pt idx="61">
                  <c:v>2</c:v>
                </c:pt>
                <c:pt idx="62">
                  <c:v>8</c:v>
                </c:pt>
                <c:pt idx="63">
                  <c:v>3</c:v>
                </c:pt>
                <c:pt idx="64">
                  <c:v>8</c:v>
                </c:pt>
                <c:pt idx="65">
                  <c:v>15</c:v>
                </c:pt>
                <c:pt idx="66">
                  <c:v>9</c:v>
                </c:pt>
                <c:pt idx="67">
                  <c:v>13</c:v>
                </c:pt>
                <c:pt idx="68">
                  <c:v>5</c:v>
                </c:pt>
                <c:pt idx="69">
                  <c:v>5</c:v>
                </c:pt>
                <c:pt idx="70">
                  <c:v>1</c:v>
                </c:pt>
                <c:pt idx="71">
                  <c:v>2</c:v>
                </c:pt>
                <c:pt idx="72">
                  <c:v>14</c:v>
                </c:pt>
                <c:pt idx="73">
                  <c:v>0</c:v>
                </c:pt>
                <c:pt idx="74">
                  <c:v>20</c:v>
                </c:pt>
                <c:pt idx="75">
                  <c:v>4</c:v>
                </c:pt>
                <c:pt idx="76">
                  <c:v>2</c:v>
                </c:pt>
                <c:pt idx="77">
                  <c:v>5</c:v>
                </c:pt>
                <c:pt idx="78">
                  <c:v>11</c:v>
                </c:pt>
                <c:pt idx="79">
                  <c:v>18</c:v>
                </c:pt>
                <c:pt idx="80">
                  <c:v>15</c:v>
                </c:pt>
                <c:pt idx="81">
                  <c:v>25</c:v>
                </c:pt>
                <c:pt idx="82">
                  <c:v>12</c:v>
                </c:pt>
                <c:pt idx="83">
                  <c:v>5</c:v>
                </c:pt>
                <c:pt idx="84">
                  <c:v>30</c:v>
                </c:pt>
                <c:pt idx="85">
                  <c:v>8</c:v>
                </c:pt>
                <c:pt idx="86">
                  <c:v>6</c:v>
                </c:pt>
                <c:pt idx="87">
                  <c:v>2</c:v>
                </c:pt>
                <c:pt idx="88">
                  <c:v>16</c:v>
                </c:pt>
                <c:pt idx="89">
                  <c:v>18</c:v>
                </c:pt>
                <c:pt idx="90">
                  <c:v>9</c:v>
                </c:pt>
                <c:pt idx="91">
                  <c:v>29</c:v>
                </c:pt>
                <c:pt idx="92">
                  <c:v>5</c:v>
                </c:pt>
                <c:pt idx="93">
                  <c:v>2</c:v>
                </c:pt>
                <c:pt idx="94">
                  <c:v>3</c:v>
                </c:pt>
                <c:pt idx="95">
                  <c:v>3</c:v>
                </c:pt>
                <c:pt idx="96">
                  <c:v>4</c:v>
                </c:pt>
                <c:pt idx="97">
                  <c:v>0</c:v>
                </c:pt>
                <c:pt idx="98">
                  <c:v>26</c:v>
                </c:pt>
                <c:pt idx="99">
                  <c:v>20</c:v>
                </c:pt>
                <c:pt idx="100">
                  <c:v>3</c:v>
                </c:pt>
                <c:pt idx="101">
                  <c:v>10</c:v>
                </c:pt>
                <c:pt idx="102">
                  <c:v>10</c:v>
                </c:pt>
                <c:pt idx="103">
                  <c:v>28</c:v>
                </c:pt>
                <c:pt idx="104">
                  <c:v>19</c:v>
                </c:pt>
                <c:pt idx="105">
                  <c:v>16</c:v>
                </c:pt>
                <c:pt idx="106">
                  <c:v>10</c:v>
                </c:pt>
                <c:pt idx="107">
                  <c:v>5</c:v>
                </c:pt>
                <c:pt idx="108">
                  <c:v>17</c:v>
                </c:pt>
                <c:pt idx="109">
                  <c:v>6</c:v>
                </c:pt>
                <c:pt idx="110">
                  <c:v>15</c:v>
                </c:pt>
                <c:pt idx="111">
                  <c:v>6</c:v>
                </c:pt>
                <c:pt idx="112">
                  <c:v>8</c:v>
                </c:pt>
                <c:pt idx="113">
                  <c:v>71</c:v>
                </c:pt>
                <c:pt idx="114">
                  <c:v>5</c:v>
                </c:pt>
                <c:pt idx="115">
                  <c:v>6</c:v>
                </c:pt>
                <c:pt idx="116">
                  <c:v>4</c:v>
                </c:pt>
                <c:pt idx="117">
                  <c:v>5</c:v>
                </c:pt>
                <c:pt idx="118">
                  <c:v>3</c:v>
                </c:pt>
                <c:pt idx="119">
                  <c:v>2</c:v>
                </c:pt>
                <c:pt idx="120">
                  <c:v>4</c:v>
                </c:pt>
                <c:pt idx="121">
                  <c:v>0</c:v>
                </c:pt>
                <c:pt idx="122">
                  <c:v>16</c:v>
                </c:pt>
                <c:pt idx="123">
                  <c:v>6</c:v>
                </c:pt>
                <c:pt idx="124">
                  <c:v>3</c:v>
                </c:pt>
                <c:pt idx="125">
                  <c:v>9</c:v>
                </c:pt>
                <c:pt idx="126">
                  <c:v>4</c:v>
                </c:pt>
                <c:pt idx="127">
                  <c:v>28</c:v>
                </c:pt>
                <c:pt idx="128">
                  <c:v>8</c:v>
                </c:pt>
                <c:pt idx="129">
                  <c:v>1</c:v>
                </c:pt>
                <c:pt idx="130">
                  <c:v>14</c:v>
                </c:pt>
                <c:pt idx="131">
                  <c:v>6</c:v>
                </c:pt>
                <c:pt idx="132">
                  <c:v>7</c:v>
                </c:pt>
                <c:pt idx="133">
                  <c:v>5</c:v>
                </c:pt>
                <c:pt idx="134">
                  <c:v>5</c:v>
                </c:pt>
                <c:pt idx="135">
                  <c:v>2</c:v>
                </c:pt>
                <c:pt idx="136">
                  <c:v>18</c:v>
                </c:pt>
                <c:pt idx="137">
                  <c:v>12</c:v>
                </c:pt>
                <c:pt idx="138">
                  <c:v>3</c:v>
                </c:pt>
                <c:pt idx="139">
                  <c:v>6</c:v>
                </c:pt>
                <c:pt idx="140">
                  <c:v>10</c:v>
                </c:pt>
                <c:pt idx="141">
                  <c:v>11</c:v>
                </c:pt>
                <c:pt idx="142">
                  <c:v>3</c:v>
                </c:pt>
                <c:pt idx="143">
                  <c:v>3</c:v>
                </c:pt>
                <c:pt idx="144">
                  <c:v>10</c:v>
                </c:pt>
                <c:pt idx="145">
                  <c:v>0</c:v>
                </c:pt>
                <c:pt idx="146">
                  <c:v>18</c:v>
                </c:pt>
                <c:pt idx="147">
                  <c:v>4</c:v>
                </c:pt>
                <c:pt idx="148">
                  <c:v>4</c:v>
                </c:pt>
                <c:pt idx="149">
                  <c:v>30</c:v>
                </c:pt>
                <c:pt idx="150">
                  <c:v>11</c:v>
                </c:pt>
                <c:pt idx="151">
                  <c:v>11</c:v>
                </c:pt>
                <c:pt idx="152">
                  <c:v>7</c:v>
                </c:pt>
                <c:pt idx="153">
                  <c:v>18</c:v>
                </c:pt>
                <c:pt idx="154">
                  <c:v>12</c:v>
                </c:pt>
                <c:pt idx="155">
                  <c:v>7</c:v>
                </c:pt>
                <c:pt idx="156">
                  <c:v>13</c:v>
                </c:pt>
                <c:pt idx="157">
                  <c:v>10</c:v>
                </c:pt>
                <c:pt idx="158">
                  <c:v>15</c:v>
                </c:pt>
                <c:pt idx="159">
                  <c:v>2</c:v>
                </c:pt>
                <c:pt idx="160">
                  <c:v>29</c:v>
                </c:pt>
                <c:pt idx="161">
                  <c:v>19</c:v>
                </c:pt>
                <c:pt idx="162">
                  <c:v>6</c:v>
                </c:pt>
                <c:pt idx="163">
                  <c:v>7</c:v>
                </c:pt>
                <c:pt idx="164">
                  <c:v>14</c:v>
                </c:pt>
                <c:pt idx="165">
                  <c:v>34</c:v>
                </c:pt>
                <c:pt idx="166">
                  <c:v>4</c:v>
                </c:pt>
                <c:pt idx="167">
                  <c:v>3</c:v>
                </c:pt>
                <c:pt idx="168">
                  <c:v>10</c:v>
                </c:pt>
                <c:pt idx="169">
                  <c:v>3</c:v>
                </c:pt>
                <c:pt idx="170">
                  <c:v>27</c:v>
                </c:pt>
                <c:pt idx="171">
                  <c:v>4</c:v>
                </c:pt>
                <c:pt idx="172">
                  <c:v>12</c:v>
                </c:pt>
                <c:pt idx="173">
                  <c:v>31</c:v>
                </c:pt>
                <c:pt idx="174">
                  <c:v>5</c:v>
                </c:pt>
                <c:pt idx="175">
                  <c:v>15</c:v>
                </c:pt>
                <c:pt idx="176">
                  <c:v>10</c:v>
                </c:pt>
                <c:pt idx="177">
                  <c:v>17</c:v>
                </c:pt>
                <c:pt idx="178">
                  <c:v>16</c:v>
                </c:pt>
                <c:pt idx="179">
                  <c:v>15</c:v>
                </c:pt>
                <c:pt idx="180">
                  <c:v>16</c:v>
                </c:pt>
                <c:pt idx="181">
                  <c:v>14</c:v>
                </c:pt>
                <c:pt idx="182">
                  <c:v>15</c:v>
                </c:pt>
                <c:pt idx="183">
                  <c:v>3</c:v>
                </c:pt>
                <c:pt idx="184">
                  <c:v>30</c:v>
                </c:pt>
                <c:pt idx="185">
                  <c:v>22</c:v>
                </c:pt>
                <c:pt idx="186">
                  <c:v>6</c:v>
                </c:pt>
                <c:pt idx="187">
                  <c:v>6</c:v>
                </c:pt>
                <c:pt idx="188">
                  <c:v>14</c:v>
                </c:pt>
                <c:pt idx="189">
                  <c:v>14</c:v>
                </c:pt>
                <c:pt idx="190">
                  <c:v>8</c:v>
                </c:pt>
                <c:pt idx="191">
                  <c:v>3</c:v>
                </c:pt>
                <c:pt idx="192">
                  <c:v>6</c:v>
                </c:pt>
                <c:pt idx="193">
                  <c:v>3</c:v>
                </c:pt>
                <c:pt idx="194">
                  <c:v>22</c:v>
                </c:pt>
                <c:pt idx="195">
                  <c:v>5</c:v>
                </c:pt>
                <c:pt idx="196">
                  <c:v>6</c:v>
                </c:pt>
                <c:pt idx="197">
                  <c:v>33</c:v>
                </c:pt>
                <c:pt idx="198">
                  <c:v>6</c:v>
                </c:pt>
                <c:pt idx="199">
                  <c:v>22</c:v>
                </c:pt>
                <c:pt idx="200">
                  <c:v>7</c:v>
                </c:pt>
                <c:pt idx="201">
                  <c:v>12</c:v>
                </c:pt>
                <c:pt idx="202">
                  <c:v>9</c:v>
                </c:pt>
                <c:pt idx="203">
                  <c:v>10</c:v>
                </c:pt>
                <c:pt idx="204">
                  <c:v>10</c:v>
                </c:pt>
                <c:pt idx="205">
                  <c:v>8</c:v>
                </c:pt>
                <c:pt idx="206">
                  <c:v>26</c:v>
                </c:pt>
                <c:pt idx="207">
                  <c:v>2</c:v>
                </c:pt>
                <c:pt idx="208">
                  <c:v>28</c:v>
                </c:pt>
                <c:pt idx="209">
                  <c:v>15</c:v>
                </c:pt>
                <c:pt idx="210">
                  <c:v>14</c:v>
                </c:pt>
                <c:pt idx="211">
                  <c:v>5</c:v>
                </c:pt>
                <c:pt idx="212">
                  <c:v>14</c:v>
                </c:pt>
                <c:pt idx="213">
                  <c:v>33</c:v>
                </c:pt>
                <c:pt idx="214">
                  <c:v>7</c:v>
                </c:pt>
                <c:pt idx="215">
                  <c:v>7</c:v>
                </c:pt>
                <c:pt idx="216">
                  <c:v>10</c:v>
                </c:pt>
                <c:pt idx="217">
                  <c:v>0</c:v>
                </c:pt>
                <c:pt idx="218">
                  <c:v>34</c:v>
                </c:pt>
                <c:pt idx="219">
                  <c:v>9</c:v>
                </c:pt>
                <c:pt idx="220">
                  <c:v>12</c:v>
                </c:pt>
                <c:pt idx="221">
                  <c:v>8</c:v>
                </c:pt>
                <c:pt idx="222">
                  <c:v>5</c:v>
                </c:pt>
                <c:pt idx="223">
                  <c:v>10</c:v>
                </c:pt>
                <c:pt idx="224">
                  <c:v>8</c:v>
                </c:pt>
                <c:pt idx="225">
                  <c:v>14</c:v>
                </c:pt>
                <c:pt idx="226">
                  <c:v>10</c:v>
                </c:pt>
                <c:pt idx="227">
                  <c:v>12</c:v>
                </c:pt>
                <c:pt idx="228">
                  <c:v>11</c:v>
                </c:pt>
                <c:pt idx="229">
                  <c:v>11</c:v>
                </c:pt>
                <c:pt idx="230">
                  <c:v>13</c:v>
                </c:pt>
                <c:pt idx="231">
                  <c:v>4</c:v>
                </c:pt>
                <c:pt idx="232">
                  <c:v>20</c:v>
                </c:pt>
                <c:pt idx="233">
                  <c:v>36</c:v>
                </c:pt>
                <c:pt idx="234">
                  <c:v>8</c:v>
                </c:pt>
                <c:pt idx="235">
                  <c:v>5</c:v>
                </c:pt>
                <c:pt idx="236">
                  <c:v>11</c:v>
                </c:pt>
                <c:pt idx="237">
                  <c:v>11</c:v>
                </c:pt>
                <c:pt idx="238">
                  <c:v>7</c:v>
                </c:pt>
                <c:pt idx="239">
                  <c:v>8</c:v>
                </c:pt>
                <c:pt idx="240">
                  <c:v>5</c:v>
                </c:pt>
                <c:pt idx="241">
                  <c:v>2</c:v>
                </c:pt>
                <c:pt idx="242">
                  <c:v>19</c:v>
                </c:pt>
                <c:pt idx="243">
                  <c:v>6</c:v>
                </c:pt>
                <c:pt idx="244">
                  <c:v>18</c:v>
                </c:pt>
                <c:pt idx="245">
                  <c:v>8</c:v>
                </c:pt>
                <c:pt idx="246">
                  <c:v>9</c:v>
                </c:pt>
                <c:pt idx="247">
                  <c:v>6</c:v>
                </c:pt>
                <c:pt idx="248">
                  <c:v>8</c:v>
                </c:pt>
                <c:pt idx="249">
                  <c:v>11</c:v>
                </c:pt>
                <c:pt idx="250">
                  <c:v>8</c:v>
                </c:pt>
                <c:pt idx="251">
                  <c:v>9</c:v>
                </c:pt>
                <c:pt idx="252">
                  <c:v>7</c:v>
                </c:pt>
                <c:pt idx="253">
                  <c:v>6</c:v>
                </c:pt>
                <c:pt idx="254">
                  <c:v>9</c:v>
                </c:pt>
                <c:pt idx="255">
                  <c:v>7</c:v>
                </c:pt>
                <c:pt idx="256">
                  <c:v>20</c:v>
                </c:pt>
                <c:pt idx="257">
                  <c:v>16</c:v>
                </c:pt>
                <c:pt idx="258">
                  <c:v>9</c:v>
                </c:pt>
                <c:pt idx="259">
                  <c:v>2</c:v>
                </c:pt>
                <c:pt idx="260">
                  <c:v>14</c:v>
                </c:pt>
                <c:pt idx="261">
                  <c:v>11</c:v>
                </c:pt>
                <c:pt idx="262">
                  <c:v>3</c:v>
                </c:pt>
                <c:pt idx="263">
                  <c:v>7</c:v>
                </c:pt>
                <c:pt idx="265">
                  <c:v>5</c:v>
                </c:pt>
                <c:pt idx="266">
                  <c:v>3</c:v>
                </c:pt>
                <c:pt idx="267">
                  <c:v>25</c:v>
                </c:pt>
                <c:pt idx="268">
                  <c:v>6</c:v>
                </c:pt>
                <c:pt idx="269">
                  <c:v>6</c:v>
                </c:pt>
                <c:pt idx="270">
                  <c:v>16</c:v>
                </c:pt>
                <c:pt idx="271">
                  <c:v>10</c:v>
                </c:pt>
                <c:pt idx="272">
                  <c:v>9</c:v>
                </c:pt>
                <c:pt idx="273">
                  <c:v>6</c:v>
                </c:pt>
                <c:pt idx="274">
                  <c:v>11</c:v>
                </c:pt>
                <c:pt idx="275">
                  <c:v>8</c:v>
                </c:pt>
                <c:pt idx="276">
                  <c:v>10</c:v>
                </c:pt>
                <c:pt idx="277">
                  <c:v>4</c:v>
                </c:pt>
                <c:pt idx="278">
                  <c:v>10</c:v>
                </c:pt>
                <c:pt idx="279">
                  <c:v>7</c:v>
                </c:pt>
                <c:pt idx="280">
                  <c:v>11</c:v>
                </c:pt>
                <c:pt idx="281">
                  <c:v>26</c:v>
                </c:pt>
                <c:pt idx="282">
                  <c:v>14</c:v>
                </c:pt>
                <c:pt idx="283">
                  <c:v>8</c:v>
                </c:pt>
                <c:pt idx="284">
                  <c:v>6</c:v>
                </c:pt>
                <c:pt idx="285">
                  <c:v>7</c:v>
                </c:pt>
                <c:pt idx="286">
                  <c:v>14</c:v>
                </c:pt>
                <c:pt idx="287">
                  <c:v>6</c:v>
                </c:pt>
                <c:pt idx="288">
                  <c:v>7</c:v>
                </c:pt>
              </c:numCache>
            </c:numRef>
          </c:val>
          <c:extLst>
            <c:ext xmlns:c16="http://schemas.microsoft.com/office/drawing/2014/chart" uri="{C3380CC4-5D6E-409C-BE32-E72D297353CC}">
              <c16:uniqueId val="{00000000-7BC1-484E-9D47-AFC74B28585E}"/>
            </c:ext>
          </c:extLst>
        </c:ser>
        <c:dLbls>
          <c:showLegendKey val="0"/>
          <c:showVal val="1"/>
          <c:showCatName val="0"/>
          <c:showSerName val="0"/>
          <c:showPercent val="0"/>
          <c:showBubbleSize val="0"/>
        </c:dLbls>
        <c:gapWidth val="219"/>
        <c:overlap val="-27"/>
        <c:axId val="738082415"/>
        <c:axId val="738092815"/>
      </c:barChart>
      <c:lineChart>
        <c:grouping val="standard"/>
        <c:varyColors val="0"/>
        <c:ser>
          <c:idx val="1"/>
          <c:order val="1"/>
          <c:tx>
            <c:strRef>
              <c:f>Pivot!$C$173</c:f>
              <c:strCache>
                <c:ptCount val="1"/>
                <c:pt idx="0">
                  <c:v>Sum of Ty le chuyen doi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Pivot!$A$174:$A$476</c:f>
              <c:multiLvlStrCache>
                <c:ptCount val="289"/>
                <c:lvl>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An Giang</c:v>
                  </c:pt>
                  <c:pt idx="25">
                    <c:v>An Phú</c:v>
                  </c:pt>
                  <c:pt idx="26">
                    <c:v>Bà Rịa Vũng Tàu</c:v>
                  </c:pt>
                  <c:pt idx="27">
                    <c:v>Bạc Liêu</c:v>
                  </c:pt>
                  <c:pt idx="28">
                    <c:v>Bến Tre</c:v>
                  </c:pt>
                  <c:pt idx="29">
                    <c:v>Bình Dương</c:v>
                  </c:pt>
                  <c:pt idx="30">
                    <c:v>Bình Phước</c:v>
                  </c:pt>
                  <c:pt idx="31">
                    <c:v>Bình Thuận</c:v>
                  </c:pt>
                  <c:pt idx="32">
                    <c:v>Cà Mau</c:v>
                  </c:pt>
                  <c:pt idx="33">
                    <c:v>Đông Sài Gòn</c:v>
                  </c:pt>
                  <c:pt idx="34">
                    <c:v>Đồng Tháp</c:v>
                  </c:pt>
                  <c:pt idx="35">
                    <c:v>Gia Định</c:v>
                  </c:pt>
                  <c:pt idx="36">
                    <c:v>Kiên Giang</c:v>
                  </c:pt>
                  <c:pt idx="37">
                    <c:v>Kinh Dương Vương</c:v>
                  </c:pt>
                  <c:pt idx="38">
                    <c:v>Long An</c:v>
                  </c:pt>
                  <c:pt idx="39">
                    <c:v>Miền Nam</c:v>
                  </c:pt>
                  <c:pt idx="40">
                    <c:v>Ngọc An</c:v>
                  </c:pt>
                  <c:pt idx="41">
                    <c:v>Ngọc Phát</c:v>
                  </c:pt>
                  <c:pt idx="42">
                    <c:v>Tây Đô</c:v>
                  </c:pt>
                  <c:pt idx="43">
                    <c:v>Tây Ninh</c:v>
                  </c:pt>
                  <c:pt idx="44">
                    <c:v>Tiền Giang</c:v>
                  </c:pt>
                  <c:pt idx="45">
                    <c:v>Trường Chinh</c:v>
                  </c:pt>
                  <c:pt idx="46">
                    <c:v>Việt Hàn</c:v>
                  </c:pt>
                  <c:pt idx="47">
                    <c:v>Vĩnh Long</c:v>
                  </c:pt>
                  <c:pt idx="48">
                    <c:v>An Giang</c:v>
                  </c:pt>
                  <c:pt idx="49">
                    <c:v>An Phú</c:v>
                  </c:pt>
                  <c:pt idx="50">
                    <c:v>Bà Rịa Vũng Tàu</c:v>
                  </c:pt>
                  <c:pt idx="51">
                    <c:v>Bạc Liêu</c:v>
                  </c:pt>
                  <c:pt idx="52">
                    <c:v>Bến Tre</c:v>
                  </c:pt>
                  <c:pt idx="53">
                    <c:v>Bình Dương</c:v>
                  </c:pt>
                  <c:pt idx="54">
                    <c:v>Bình Phước</c:v>
                  </c:pt>
                  <c:pt idx="55">
                    <c:v>Bình Thuận</c:v>
                  </c:pt>
                  <c:pt idx="56">
                    <c:v>Cà Mau</c:v>
                  </c:pt>
                  <c:pt idx="57">
                    <c:v>Đông Sài Gòn</c:v>
                  </c:pt>
                  <c:pt idx="58">
                    <c:v>Đồng Tháp</c:v>
                  </c:pt>
                  <c:pt idx="59">
                    <c:v>Gia Định</c:v>
                  </c:pt>
                  <c:pt idx="60">
                    <c:v>Kiên Giang</c:v>
                  </c:pt>
                  <c:pt idx="61">
                    <c:v>Kinh Dương Vương</c:v>
                  </c:pt>
                  <c:pt idx="62">
                    <c:v>Long An</c:v>
                  </c:pt>
                  <c:pt idx="63">
                    <c:v>Miền Nam</c:v>
                  </c:pt>
                  <c:pt idx="64">
                    <c:v>Ngọc An</c:v>
                  </c:pt>
                  <c:pt idx="65">
                    <c:v>Ngọc Phát</c:v>
                  </c:pt>
                  <c:pt idx="66">
                    <c:v>Tây Đô</c:v>
                  </c:pt>
                  <c:pt idx="67">
                    <c:v>Tây Ninh</c:v>
                  </c:pt>
                  <c:pt idx="68">
                    <c:v>Tiền Giang</c:v>
                  </c:pt>
                  <c:pt idx="69">
                    <c:v>Trường Chinh</c:v>
                  </c:pt>
                  <c:pt idx="70">
                    <c:v>Việt Hàn</c:v>
                  </c:pt>
                  <c:pt idx="71">
                    <c:v>Vĩnh Long</c:v>
                  </c:pt>
                  <c:pt idx="72">
                    <c:v>An Giang</c:v>
                  </c:pt>
                  <c:pt idx="73">
                    <c:v>An Phú</c:v>
                  </c:pt>
                  <c:pt idx="74">
                    <c:v>Bà Rịa Vũng Tàu</c:v>
                  </c:pt>
                  <c:pt idx="75">
                    <c:v>Bạc Liêu</c:v>
                  </c:pt>
                  <c:pt idx="76">
                    <c:v>Bến Tre</c:v>
                  </c:pt>
                  <c:pt idx="77">
                    <c:v>Bình Dương</c:v>
                  </c:pt>
                  <c:pt idx="78">
                    <c:v>Bình Phước</c:v>
                  </c:pt>
                  <c:pt idx="79">
                    <c:v>Bình Thuận</c:v>
                  </c:pt>
                  <c:pt idx="80">
                    <c:v>Cà Mau</c:v>
                  </c:pt>
                  <c:pt idx="81">
                    <c:v>Đông Sài Gòn</c:v>
                  </c:pt>
                  <c:pt idx="82">
                    <c:v>Đồng Tháp</c:v>
                  </c:pt>
                  <c:pt idx="83">
                    <c:v>Gia Định</c:v>
                  </c:pt>
                  <c:pt idx="84">
                    <c:v>Kiên Giang</c:v>
                  </c:pt>
                  <c:pt idx="85">
                    <c:v>Kinh Dương Vương</c:v>
                  </c:pt>
                  <c:pt idx="86">
                    <c:v>Long An</c:v>
                  </c:pt>
                  <c:pt idx="87">
                    <c:v>Miền Nam</c:v>
                  </c:pt>
                  <c:pt idx="88">
                    <c:v>Ngọc An</c:v>
                  </c:pt>
                  <c:pt idx="89">
                    <c:v>Ngọc Phát</c:v>
                  </c:pt>
                  <c:pt idx="90">
                    <c:v>Tây Đô</c:v>
                  </c:pt>
                  <c:pt idx="91">
                    <c:v>Tây Ninh</c:v>
                  </c:pt>
                  <c:pt idx="92">
                    <c:v>Tiền Giang</c:v>
                  </c:pt>
                  <c:pt idx="93">
                    <c:v>Trường Chinh</c:v>
                  </c:pt>
                  <c:pt idx="94">
                    <c:v>Việt Hàn</c:v>
                  </c:pt>
                  <c:pt idx="95">
                    <c:v>Vĩnh Long</c:v>
                  </c:pt>
                  <c:pt idx="96">
                    <c:v>An Giang</c:v>
                  </c:pt>
                  <c:pt idx="97">
                    <c:v>An Phú</c:v>
                  </c:pt>
                  <c:pt idx="98">
                    <c:v>Bà Rịa Vũng Tàu</c:v>
                  </c:pt>
                  <c:pt idx="99">
                    <c:v>Bạc Liêu</c:v>
                  </c:pt>
                  <c:pt idx="100">
                    <c:v>Bến Tre</c:v>
                  </c:pt>
                  <c:pt idx="101">
                    <c:v>Bình Dương</c:v>
                  </c:pt>
                  <c:pt idx="102">
                    <c:v>Bình Phước</c:v>
                  </c:pt>
                  <c:pt idx="103">
                    <c:v>Bình Thuận</c:v>
                  </c:pt>
                  <c:pt idx="104">
                    <c:v>Cà Mau</c:v>
                  </c:pt>
                  <c:pt idx="105">
                    <c:v>Đông Sài Gòn</c:v>
                  </c:pt>
                  <c:pt idx="106">
                    <c:v>Đồng Tháp</c:v>
                  </c:pt>
                  <c:pt idx="107">
                    <c:v>Gia Định</c:v>
                  </c:pt>
                  <c:pt idx="108">
                    <c:v>Kiên Giang</c:v>
                  </c:pt>
                  <c:pt idx="109">
                    <c:v>Kinh Dương Vương</c:v>
                  </c:pt>
                  <c:pt idx="110">
                    <c:v>Long An</c:v>
                  </c:pt>
                  <c:pt idx="111">
                    <c:v>Miền Nam</c:v>
                  </c:pt>
                  <c:pt idx="112">
                    <c:v>Ngọc An</c:v>
                  </c:pt>
                  <c:pt idx="113">
                    <c:v>Ngọc Phát</c:v>
                  </c:pt>
                  <c:pt idx="114">
                    <c:v>Tây Đô</c:v>
                  </c:pt>
                  <c:pt idx="115">
                    <c:v>Tây Ninh</c:v>
                  </c:pt>
                  <c:pt idx="116">
                    <c:v>Tiền Giang</c:v>
                  </c:pt>
                  <c:pt idx="117">
                    <c:v>Trường Chinh</c:v>
                  </c:pt>
                  <c:pt idx="118">
                    <c:v>Việt Hàn</c:v>
                  </c:pt>
                  <c:pt idx="119">
                    <c:v>Vĩnh Long</c:v>
                  </c:pt>
                  <c:pt idx="120">
                    <c:v>An Giang</c:v>
                  </c:pt>
                  <c:pt idx="121">
                    <c:v>An Phú</c:v>
                  </c:pt>
                  <c:pt idx="122">
                    <c:v>Bà Rịa Vũng Tàu</c:v>
                  </c:pt>
                  <c:pt idx="123">
                    <c:v>Bạc Liêu</c:v>
                  </c:pt>
                  <c:pt idx="124">
                    <c:v>Bến Tre</c:v>
                  </c:pt>
                  <c:pt idx="125">
                    <c:v>Bình Dương</c:v>
                  </c:pt>
                  <c:pt idx="126">
                    <c:v>Bình Phước</c:v>
                  </c:pt>
                  <c:pt idx="127">
                    <c:v>Bình Thuận</c:v>
                  </c:pt>
                  <c:pt idx="128">
                    <c:v>Cà Mau</c:v>
                  </c:pt>
                  <c:pt idx="129">
                    <c:v>Đông Sài Gòn</c:v>
                  </c:pt>
                  <c:pt idx="130">
                    <c:v>Đồng Tháp</c:v>
                  </c:pt>
                  <c:pt idx="131">
                    <c:v>Gia Định</c:v>
                  </c:pt>
                  <c:pt idx="132">
                    <c:v>Kiên Giang</c:v>
                  </c:pt>
                  <c:pt idx="133">
                    <c:v>Kinh Dương Vương</c:v>
                  </c:pt>
                  <c:pt idx="134">
                    <c:v>Long An</c:v>
                  </c:pt>
                  <c:pt idx="135">
                    <c:v>Miền Nam</c:v>
                  </c:pt>
                  <c:pt idx="136">
                    <c:v>Ngọc An</c:v>
                  </c:pt>
                  <c:pt idx="137">
                    <c:v>Ngọc Phát</c:v>
                  </c:pt>
                  <c:pt idx="138">
                    <c:v>Tây Đô</c:v>
                  </c:pt>
                  <c:pt idx="139">
                    <c:v>Tây Ninh</c:v>
                  </c:pt>
                  <c:pt idx="140">
                    <c:v>Tiền Giang</c:v>
                  </c:pt>
                  <c:pt idx="141">
                    <c:v>Trường Chinh</c:v>
                  </c:pt>
                  <c:pt idx="142">
                    <c:v>Việt Hàn</c:v>
                  </c:pt>
                  <c:pt idx="143">
                    <c:v>Vĩnh Long</c:v>
                  </c:pt>
                  <c:pt idx="144">
                    <c:v>An Giang</c:v>
                  </c:pt>
                  <c:pt idx="145">
                    <c:v>An Phú</c:v>
                  </c:pt>
                  <c:pt idx="146">
                    <c:v>Bà Rịa Vũng Tàu</c:v>
                  </c:pt>
                  <c:pt idx="147">
                    <c:v>Bạc Liêu</c:v>
                  </c:pt>
                  <c:pt idx="148">
                    <c:v>Bến Tre</c:v>
                  </c:pt>
                  <c:pt idx="149">
                    <c:v>Bình Dương</c:v>
                  </c:pt>
                  <c:pt idx="150">
                    <c:v>Bình Phước</c:v>
                  </c:pt>
                  <c:pt idx="151">
                    <c:v>Bình Thuận</c:v>
                  </c:pt>
                  <c:pt idx="152">
                    <c:v>Cà Mau</c:v>
                  </c:pt>
                  <c:pt idx="153">
                    <c:v>Đông Sài Gòn</c:v>
                  </c:pt>
                  <c:pt idx="154">
                    <c:v>Đồng Tháp</c:v>
                  </c:pt>
                  <c:pt idx="155">
                    <c:v>Gia Định</c:v>
                  </c:pt>
                  <c:pt idx="156">
                    <c:v>Kiên Giang</c:v>
                  </c:pt>
                  <c:pt idx="157">
                    <c:v>Kinh Dương Vương</c:v>
                  </c:pt>
                  <c:pt idx="158">
                    <c:v>Long An</c:v>
                  </c:pt>
                  <c:pt idx="159">
                    <c:v>Miền Nam</c:v>
                  </c:pt>
                  <c:pt idx="160">
                    <c:v>Ngọc An</c:v>
                  </c:pt>
                  <c:pt idx="161">
                    <c:v>Ngọc Phát</c:v>
                  </c:pt>
                  <c:pt idx="162">
                    <c:v>Tây Đô</c:v>
                  </c:pt>
                  <c:pt idx="163">
                    <c:v>Tây Ninh</c:v>
                  </c:pt>
                  <c:pt idx="164">
                    <c:v>Tiền Giang</c:v>
                  </c:pt>
                  <c:pt idx="165">
                    <c:v>Trường Chinh</c:v>
                  </c:pt>
                  <c:pt idx="166">
                    <c:v>Việt Hàn</c:v>
                  </c:pt>
                  <c:pt idx="167">
                    <c:v>Vĩnh Long</c:v>
                  </c:pt>
                  <c:pt idx="168">
                    <c:v>An Giang</c:v>
                  </c:pt>
                  <c:pt idx="169">
                    <c:v>An Phú</c:v>
                  </c:pt>
                  <c:pt idx="170">
                    <c:v>Bà Rịa Vũng Tàu</c:v>
                  </c:pt>
                  <c:pt idx="171">
                    <c:v>Bạc Liêu</c:v>
                  </c:pt>
                  <c:pt idx="172">
                    <c:v>Bến Tre</c:v>
                  </c:pt>
                  <c:pt idx="173">
                    <c:v>Bình Dương</c:v>
                  </c:pt>
                  <c:pt idx="174">
                    <c:v>Bình Phước</c:v>
                  </c:pt>
                  <c:pt idx="175">
                    <c:v>Bình Thuận</c:v>
                  </c:pt>
                  <c:pt idx="176">
                    <c:v>Cà Mau</c:v>
                  </c:pt>
                  <c:pt idx="177">
                    <c:v>Đông Sài Gòn</c:v>
                  </c:pt>
                  <c:pt idx="178">
                    <c:v>Đồng Tháp</c:v>
                  </c:pt>
                  <c:pt idx="179">
                    <c:v>Gia Định</c:v>
                  </c:pt>
                  <c:pt idx="180">
                    <c:v>Kiên Giang</c:v>
                  </c:pt>
                  <c:pt idx="181">
                    <c:v>Kinh Dương Vương</c:v>
                  </c:pt>
                  <c:pt idx="182">
                    <c:v>Long An</c:v>
                  </c:pt>
                  <c:pt idx="183">
                    <c:v>Miền Nam</c:v>
                  </c:pt>
                  <c:pt idx="184">
                    <c:v>Ngọc An</c:v>
                  </c:pt>
                  <c:pt idx="185">
                    <c:v>Ngọc Phát</c:v>
                  </c:pt>
                  <c:pt idx="186">
                    <c:v>Tây Đô</c:v>
                  </c:pt>
                  <c:pt idx="187">
                    <c:v>Tây Ninh</c:v>
                  </c:pt>
                  <c:pt idx="188">
                    <c:v>Tiền Giang</c:v>
                  </c:pt>
                  <c:pt idx="189">
                    <c:v>Trường Chinh</c:v>
                  </c:pt>
                  <c:pt idx="190">
                    <c:v>Việt Hàn</c:v>
                  </c:pt>
                  <c:pt idx="191">
                    <c:v>Vĩnh Long</c:v>
                  </c:pt>
                  <c:pt idx="192">
                    <c:v>An Giang</c:v>
                  </c:pt>
                  <c:pt idx="193">
                    <c:v>An Phú</c:v>
                  </c:pt>
                  <c:pt idx="194">
                    <c:v>Bà Rịa Vũng Tàu</c:v>
                  </c:pt>
                  <c:pt idx="195">
                    <c:v>Bạc Liêu</c:v>
                  </c:pt>
                  <c:pt idx="196">
                    <c:v>Bến Tre</c:v>
                  </c:pt>
                  <c:pt idx="197">
                    <c:v>Bình Dương</c:v>
                  </c:pt>
                  <c:pt idx="198">
                    <c:v>Bình Phước</c:v>
                  </c:pt>
                  <c:pt idx="199">
                    <c:v>Bình Thuận</c:v>
                  </c:pt>
                  <c:pt idx="200">
                    <c:v>Cà Mau</c:v>
                  </c:pt>
                  <c:pt idx="201">
                    <c:v>Đông Sài Gòn</c:v>
                  </c:pt>
                  <c:pt idx="202">
                    <c:v>Đồng Tháp</c:v>
                  </c:pt>
                  <c:pt idx="203">
                    <c:v>Gia Định</c:v>
                  </c:pt>
                  <c:pt idx="204">
                    <c:v>Kiên Giang</c:v>
                  </c:pt>
                  <c:pt idx="205">
                    <c:v>Kinh Dương Vương</c:v>
                  </c:pt>
                  <c:pt idx="206">
                    <c:v>Long An</c:v>
                  </c:pt>
                  <c:pt idx="207">
                    <c:v>Miền Nam</c:v>
                  </c:pt>
                  <c:pt idx="208">
                    <c:v>Ngọc An</c:v>
                  </c:pt>
                  <c:pt idx="209">
                    <c:v>Ngọc Phát</c:v>
                  </c:pt>
                  <c:pt idx="210">
                    <c:v>Tây Đô</c:v>
                  </c:pt>
                  <c:pt idx="211">
                    <c:v>Tây Ninh</c:v>
                  </c:pt>
                  <c:pt idx="212">
                    <c:v>Tiền Giang</c:v>
                  </c:pt>
                  <c:pt idx="213">
                    <c:v>Trường Chinh</c:v>
                  </c:pt>
                  <c:pt idx="214">
                    <c:v>Việt Hàn</c:v>
                  </c:pt>
                  <c:pt idx="215">
                    <c:v>Vĩnh Long</c:v>
                  </c:pt>
                  <c:pt idx="216">
                    <c:v>An Giang</c:v>
                  </c:pt>
                  <c:pt idx="217">
                    <c:v>An Phú</c:v>
                  </c:pt>
                  <c:pt idx="218">
                    <c:v>Bà Rịa Vũng Tàu</c:v>
                  </c:pt>
                  <c:pt idx="219">
                    <c:v>Bạc Liêu</c:v>
                  </c:pt>
                  <c:pt idx="220">
                    <c:v>Bến Tre</c:v>
                  </c:pt>
                  <c:pt idx="221">
                    <c:v>Bình Dương</c:v>
                  </c:pt>
                  <c:pt idx="222">
                    <c:v>Bình Phước</c:v>
                  </c:pt>
                  <c:pt idx="223">
                    <c:v>Bình Thuận</c:v>
                  </c:pt>
                  <c:pt idx="224">
                    <c:v>Cà Mau</c:v>
                  </c:pt>
                  <c:pt idx="225">
                    <c:v>Đông Sài Gòn</c:v>
                  </c:pt>
                  <c:pt idx="226">
                    <c:v>Đồng Tháp</c:v>
                  </c:pt>
                  <c:pt idx="227">
                    <c:v>Gia Định</c:v>
                  </c:pt>
                  <c:pt idx="228">
                    <c:v>Kiên Giang</c:v>
                  </c:pt>
                  <c:pt idx="229">
                    <c:v>Kinh Dương Vương</c:v>
                  </c:pt>
                  <c:pt idx="230">
                    <c:v>Long An</c:v>
                  </c:pt>
                  <c:pt idx="231">
                    <c:v>Miền Nam</c:v>
                  </c:pt>
                  <c:pt idx="232">
                    <c:v>Ngọc An</c:v>
                  </c:pt>
                  <c:pt idx="233">
                    <c:v>Ngọc Phát</c:v>
                  </c:pt>
                  <c:pt idx="234">
                    <c:v>Tây Đô</c:v>
                  </c:pt>
                  <c:pt idx="235">
                    <c:v>Tây Ninh</c:v>
                  </c:pt>
                  <c:pt idx="236">
                    <c:v>Tiền Giang</c:v>
                  </c:pt>
                  <c:pt idx="237">
                    <c:v>Trường Chinh</c:v>
                  </c:pt>
                  <c:pt idx="238">
                    <c:v>Việt Hàn</c:v>
                  </c:pt>
                  <c:pt idx="239">
                    <c:v>Vĩnh Long</c:v>
                  </c:pt>
                  <c:pt idx="240">
                    <c:v>An Giang</c:v>
                  </c:pt>
                  <c:pt idx="241">
                    <c:v>An Phú</c:v>
                  </c:pt>
                  <c:pt idx="242">
                    <c:v>Bà Rịa Vũng Tàu</c:v>
                  </c:pt>
                  <c:pt idx="243">
                    <c:v>Bạc Liêu</c:v>
                  </c:pt>
                  <c:pt idx="244">
                    <c:v>Bến Tre</c:v>
                  </c:pt>
                  <c:pt idx="245">
                    <c:v>Bình Dương</c:v>
                  </c:pt>
                  <c:pt idx="246">
                    <c:v>Bình Phước</c:v>
                  </c:pt>
                  <c:pt idx="247">
                    <c:v>Bình Thuận</c:v>
                  </c:pt>
                  <c:pt idx="248">
                    <c:v>Cà Mau</c:v>
                  </c:pt>
                  <c:pt idx="249">
                    <c:v>Đông Sài Gòn</c:v>
                  </c:pt>
                  <c:pt idx="250">
                    <c:v>Đồng Tháp</c:v>
                  </c:pt>
                  <c:pt idx="251">
                    <c:v>Gia Định</c:v>
                  </c:pt>
                  <c:pt idx="252">
                    <c:v>Kiên Giang</c:v>
                  </c:pt>
                  <c:pt idx="253">
                    <c:v>Kinh Dương Vương</c:v>
                  </c:pt>
                  <c:pt idx="254">
                    <c:v>Long An</c:v>
                  </c:pt>
                  <c:pt idx="255">
                    <c:v>Miền Nam</c:v>
                  </c:pt>
                  <c:pt idx="256">
                    <c:v>Ngọc An</c:v>
                  </c:pt>
                  <c:pt idx="257">
                    <c:v>Ngọc Phát</c:v>
                  </c:pt>
                  <c:pt idx="258">
                    <c:v>Tây Đô</c:v>
                  </c:pt>
                  <c:pt idx="259">
                    <c:v>Tây Ninh</c:v>
                  </c:pt>
                  <c:pt idx="260">
                    <c:v>Tiền Giang</c:v>
                  </c:pt>
                  <c:pt idx="261">
                    <c:v>Trường Chinh</c:v>
                  </c:pt>
                  <c:pt idx="262">
                    <c:v>Việt Hàn</c:v>
                  </c:pt>
                  <c:pt idx="263">
                    <c:v>Vĩnh Long</c:v>
                  </c:pt>
                  <c:pt idx="264">
                    <c:v>(blank)</c:v>
                  </c:pt>
                  <c:pt idx="265">
                    <c:v>An Giang</c:v>
                  </c:pt>
                  <c:pt idx="266">
                    <c:v>An Phú</c:v>
                  </c:pt>
                  <c:pt idx="267">
                    <c:v>Bà Rịa Vũng Tàu</c:v>
                  </c:pt>
                  <c:pt idx="268">
                    <c:v>Bạc Liêu</c:v>
                  </c:pt>
                  <c:pt idx="269">
                    <c:v>Bến Tre</c:v>
                  </c:pt>
                  <c:pt idx="270">
                    <c:v>Bình Dương</c:v>
                  </c:pt>
                  <c:pt idx="271">
                    <c:v>Bình Phước</c:v>
                  </c:pt>
                  <c:pt idx="272">
                    <c:v>Bình Thuận</c:v>
                  </c:pt>
                  <c:pt idx="273">
                    <c:v>Cà Mau</c:v>
                  </c:pt>
                  <c:pt idx="274">
                    <c:v>Đông Sài Gòn</c:v>
                  </c:pt>
                  <c:pt idx="275">
                    <c:v>Đồng Tháp</c:v>
                  </c:pt>
                  <c:pt idx="276">
                    <c:v>Gia Định</c:v>
                  </c:pt>
                  <c:pt idx="277">
                    <c:v>Kiên Giang</c:v>
                  </c:pt>
                  <c:pt idx="278">
                    <c:v>Kinh Dương Vương</c:v>
                  </c:pt>
                  <c:pt idx="279">
                    <c:v>Long An</c:v>
                  </c:pt>
                  <c:pt idx="280">
                    <c:v>Miền Nam</c:v>
                  </c:pt>
                  <c:pt idx="281">
                    <c:v>Ngọc An</c:v>
                  </c:pt>
                  <c:pt idx="282">
                    <c:v>Ngọc Phát</c:v>
                  </c:pt>
                  <c:pt idx="283">
                    <c:v>Tây Đô</c:v>
                  </c:pt>
                  <c:pt idx="284">
                    <c:v>Tây Ninh</c:v>
                  </c:pt>
                  <c:pt idx="285">
                    <c:v>Tiền Giang</c:v>
                  </c:pt>
                  <c:pt idx="286">
                    <c:v>Trường Chinh</c:v>
                  </c:pt>
                  <c:pt idx="287">
                    <c:v>Việt Hàn</c:v>
                  </c:pt>
                  <c:pt idx="288">
                    <c:v>Vĩnh Long</c:v>
                  </c:pt>
                </c:lvl>
                <c:lvl>
                  <c:pt idx="0">
                    <c:v>1</c:v>
                  </c:pt>
                  <c:pt idx="24">
                    <c:v>2</c:v>
                  </c:pt>
                  <c:pt idx="48">
                    <c:v>3</c:v>
                  </c:pt>
                  <c:pt idx="72">
                    <c:v>4</c:v>
                  </c:pt>
                  <c:pt idx="96">
                    <c:v>5</c:v>
                  </c:pt>
                  <c:pt idx="120">
                    <c:v>6</c:v>
                  </c:pt>
                  <c:pt idx="144">
                    <c:v>7</c:v>
                  </c:pt>
                  <c:pt idx="168">
                    <c:v>8</c:v>
                  </c:pt>
                  <c:pt idx="192">
                    <c:v>9</c:v>
                  </c:pt>
                  <c:pt idx="216">
                    <c:v>10</c:v>
                  </c:pt>
                  <c:pt idx="240">
                    <c:v>11</c:v>
                  </c:pt>
                  <c:pt idx="264">
                    <c:v>(blank)</c:v>
                  </c:pt>
                  <c:pt idx="265">
                    <c:v>12</c:v>
                  </c:pt>
                </c:lvl>
              </c:multiLvlStrCache>
            </c:multiLvlStrRef>
          </c:cat>
          <c:val>
            <c:numRef>
              <c:f>Pivot!$C$174:$C$476</c:f>
              <c:numCache>
                <c:formatCode>0%</c:formatCode>
                <c:ptCount val="289"/>
                <c:pt idx="0">
                  <c:v>7.3394495412844041E-2</c:v>
                </c:pt>
                <c:pt idx="1">
                  <c:v>#N/A</c:v>
                </c:pt>
                <c:pt idx="2">
                  <c:v>0.10849056603773585</c:v>
                </c:pt>
                <c:pt idx="3">
                  <c:v>2.4793388429752067E-2</c:v>
                </c:pt>
                <c:pt idx="4">
                  <c:v>1.7543859649122806E-2</c:v>
                </c:pt>
                <c:pt idx="5">
                  <c:v>4.975124378109453E-2</c:v>
                </c:pt>
                <c:pt idx="6">
                  <c:v>5.0847457627118647E-2</c:v>
                </c:pt>
                <c:pt idx="7">
                  <c:v>0.11180124223602485</c:v>
                </c:pt>
                <c:pt idx="8">
                  <c:v>0.10152284263959391</c:v>
                </c:pt>
                <c:pt idx="9">
                  <c:v>1.680672268907563E-2</c:v>
                </c:pt>
                <c:pt idx="10">
                  <c:v>0.12962962962962962</c:v>
                </c:pt>
                <c:pt idx="11">
                  <c:v>9.7087378640776691E-3</c:v>
                </c:pt>
                <c:pt idx="12">
                  <c:v>6.097560975609756E-2</c:v>
                </c:pt>
                <c:pt idx="13">
                  <c:v>#N/A</c:v>
                </c:pt>
                <c:pt idx="14">
                  <c:v>0.22666666666666666</c:v>
                </c:pt>
                <c:pt idx="15">
                  <c:v>2.7777777777777776E-2</c:v>
                </c:pt>
                <c:pt idx="16">
                  <c:v>5.7251908396946563E-2</c:v>
                </c:pt>
                <c:pt idx="17">
                  <c:v>4.363636363636364E-2</c:v>
                </c:pt>
                <c:pt idx="18">
                  <c:v>2.0618556701030927E-2</c:v>
                </c:pt>
                <c:pt idx="19">
                  <c:v>6.9620253164556958E-2</c:v>
                </c:pt>
                <c:pt idx="20">
                  <c:v>0.34615384615384615</c:v>
                </c:pt>
                <c:pt idx="21">
                  <c:v>#N/A</c:v>
                </c:pt>
                <c:pt idx="22">
                  <c:v>2.2556390977443608E-2</c:v>
                </c:pt>
                <c:pt idx="23">
                  <c:v>2.7522935779816515E-2</c:v>
                </c:pt>
                <c:pt idx="24">
                  <c:v>7.1005917159763315E-2</c:v>
                </c:pt>
                <c:pt idx="25">
                  <c:v>#N/A</c:v>
                </c:pt>
                <c:pt idx="26">
                  <c:v>8.2352941176470587E-2</c:v>
                </c:pt>
                <c:pt idx="27">
                  <c:v>3.5087719298245612E-2</c:v>
                </c:pt>
                <c:pt idx="28">
                  <c:v>0</c:v>
                </c:pt>
                <c:pt idx="29">
                  <c:v>0.10714285714285714</c:v>
                </c:pt>
                <c:pt idx="30">
                  <c:v>8.4337349397590355E-2</c:v>
                </c:pt>
                <c:pt idx="31">
                  <c:v>7.407407407407407E-2</c:v>
                </c:pt>
                <c:pt idx="32">
                  <c:v>9.1787439613526575E-2</c:v>
                </c:pt>
                <c:pt idx="33">
                  <c:v>0.10344827586206896</c:v>
                </c:pt>
                <c:pt idx="34">
                  <c:v>0.1</c:v>
                </c:pt>
                <c:pt idx="35">
                  <c:v>1.4388489208633094E-2</c:v>
                </c:pt>
                <c:pt idx="36">
                  <c:v>3.4965034965034968E-2</c:v>
                </c:pt>
                <c:pt idx="37">
                  <c:v>#N/A</c:v>
                </c:pt>
                <c:pt idx="38">
                  <c:v>0.15909090909090909</c:v>
                </c:pt>
                <c:pt idx="39">
                  <c:v>0</c:v>
                </c:pt>
                <c:pt idx="40">
                  <c:v>4.878048780487805E-2</c:v>
                </c:pt>
                <c:pt idx="41">
                  <c:v>4.4692737430167599E-2</c:v>
                </c:pt>
                <c:pt idx="42">
                  <c:v>5.0505050505050504E-2</c:v>
                </c:pt>
                <c:pt idx="43">
                  <c:v>6.5217391304347824E-2</c:v>
                </c:pt>
                <c:pt idx="44">
                  <c:v>0.13513513513513514</c:v>
                </c:pt>
                <c:pt idx="45">
                  <c:v>0</c:v>
                </c:pt>
                <c:pt idx="46">
                  <c:v>1.2195121951219513E-2</c:v>
                </c:pt>
                <c:pt idx="47">
                  <c:v>3.5714285714285712E-2</c:v>
                </c:pt>
                <c:pt idx="48">
                  <c:v>9.0225563909774431E-2</c:v>
                </c:pt>
                <c:pt idx="49">
                  <c:v>#N/A</c:v>
                </c:pt>
                <c:pt idx="50">
                  <c:v>0.10309278350515463</c:v>
                </c:pt>
                <c:pt idx="51">
                  <c:v>1.8518518518518517E-2</c:v>
                </c:pt>
                <c:pt idx="52">
                  <c:v>3.9215686274509803E-2</c:v>
                </c:pt>
                <c:pt idx="53">
                  <c:v>9.0090090090090086E-2</c:v>
                </c:pt>
                <c:pt idx="54">
                  <c:v>0.11363636363636363</c:v>
                </c:pt>
                <c:pt idx="55">
                  <c:v>0.11009174311926606</c:v>
                </c:pt>
                <c:pt idx="56">
                  <c:v>0.1419753086419753</c:v>
                </c:pt>
                <c:pt idx="57">
                  <c:v>8.7866108786610872E-2</c:v>
                </c:pt>
                <c:pt idx="58">
                  <c:v>8.3333333333333329E-2</c:v>
                </c:pt>
                <c:pt idx="59">
                  <c:v>1.7441860465116279E-2</c:v>
                </c:pt>
                <c:pt idx="60">
                  <c:v>0.33333333333333331</c:v>
                </c:pt>
                <c:pt idx="61">
                  <c:v>1.5748031496062992E-2</c:v>
                </c:pt>
                <c:pt idx="62">
                  <c:v>0.13559322033898305</c:v>
                </c:pt>
                <c:pt idx="63">
                  <c:v>4.5454545454545456E-2</c:v>
                </c:pt>
                <c:pt idx="64">
                  <c:v>4.5714285714285714E-2</c:v>
                </c:pt>
                <c:pt idx="65">
                  <c:v>6.6666666666666666E-2</c:v>
                </c:pt>
                <c:pt idx="66">
                  <c:v>7.6923076923076927E-2</c:v>
                </c:pt>
                <c:pt idx="67">
                  <c:v>0.12871287128712872</c:v>
                </c:pt>
                <c:pt idx="68">
                  <c:v>0.10416666666666667</c:v>
                </c:pt>
                <c:pt idx="69">
                  <c:v>2.8409090909090908E-2</c:v>
                </c:pt>
                <c:pt idx="70">
                  <c:v>5.9523809523809521E-3</c:v>
                </c:pt>
                <c:pt idx="71">
                  <c:v>1.8518518518518517E-2</c:v>
                </c:pt>
                <c:pt idx="72">
                  <c:v>7.5268817204301078E-2</c:v>
                </c:pt>
                <c:pt idx="73">
                  <c:v>#N/A</c:v>
                </c:pt>
                <c:pt idx="74">
                  <c:v>0.10204081632653061</c:v>
                </c:pt>
                <c:pt idx="75">
                  <c:v>5.1948051948051951E-2</c:v>
                </c:pt>
                <c:pt idx="76">
                  <c:v>2.1276595744680851E-2</c:v>
                </c:pt>
                <c:pt idx="77">
                  <c:v>0.11363636363636363</c:v>
                </c:pt>
                <c:pt idx="78">
                  <c:v>7.6388888888888895E-2</c:v>
                </c:pt>
                <c:pt idx="79">
                  <c:v>0.11392405063291139</c:v>
                </c:pt>
                <c:pt idx="80">
                  <c:v>8.0645161290322578E-2</c:v>
                </c:pt>
                <c:pt idx="81">
                  <c:v>0.12755102040816327</c:v>
                </c:pt>
                <c:pt idx="82">
                  <c:v>6.4171122994652413E-2</c:v>
                </c:pt>
                <c:pt idx="83">
                  <c:v>5.4945054945054944E-2</c:v>
                </c:pt>
                <c:pt idx="84">
                  <c:v>0.35714285714285715</c:v>
                </c:pt>
                <c:pt idx="85">
                  <c:v>0.15094339622641509</c:v>
                </c:pt>
                <c:pt idx="86">
                  <c:v>7.3170731707317069E-2</c:v>
                </c:pt>
                <c:pt idx="87">
                  <c:v>2.247191011235955E-2</c:v>
                </c:pt>
                <c:pt idx="88">
                  <c:v>9.8765432098765427E-2</c:v>
                </c:pt>
                <c:pt idx="89">
                  <c:v>0.13043478260869565</c:v>
                </c:pt>
                <c:pt idx="90">
                  <c:v>6.9230769230769235E-2</c:v>
                </c:pt>
                <c:pt idx="91">
                  <c:v>0.34523809523809523</c:v>
                </c:pt>
                <c:pt idx="92">
                  <c:v>6.9444444444444448E-2</c:v>
                </c:pt>
                <c:pt idx="93">
                  <c:v>1.1363636363636364E-2</c:v>
                </c:pt>
                <c:pt idx="94">
                  <c:v>1.7857142857142856E-2</c:v>
                </c:pt>
                <c:pt idx="95">
                  <c:v>2.1276595744680851E-2</c:v>
                </c:pt>
                <c:pt idx="96">
                  <c:v>2.6143790849673203E-2</c:v>
                </c:pt>
                <c:pt idx="97">
                  <c:v>0</c:v>
                </c:pt>
                <c:pt idx="98">
                  <c:v>0.14942528735632185</c:v>
                </c:pt>
                <c:pt idx="99">
                  <c:v>0.12269938650306748</c:v>
                </c:pt>
                <c:pt idx="100">
                  <c:v>4.6153846153846156E-2</c:v>
                </c:pt>
                <c:pt idx="101">
                  <c:v>0.1111111111111111</c:v>
                </c:pt>
                <c:pt idx="102">
                  <c:v>0.19607843137254902</c:v>
                </c:pt>
                <c:pt idx="103">
                  <c:v>0.12727272727272726</c:v>
                </c:pt>
                <c:pt idx="104">
                  <c:v>0.1417910447761194</c:v>
                </c:pt>
                <c:pt idx="105">
                  <c:v>8.3769633507853408E-2</c:v>
                </c:pt>
                <c:pt idx="106">
                  <c:v>5.5865921787709494E-2</c:v>
                </c:pt>
                <c:pt idx="107">
                  <c:v>9.6153846153846159E-2</c:v>
                </c:pt>
                <c:pt idx="108">
                  <c:v>0.34</c:v>
                </c:pt>
                <c:pt idx="109">
                  <c:v>0.11320754716981132</c:v>
                </c:pt>
                <c:pt idx="110">
                  <c:v>0.21739130434782608</c:v>
                </c:pt>
                <c:pt idx="111">
                  <c:v>0.13953488372093023</c:v>
                </c:pt>
                <c:pt idx="112">
                  <c:v>3.3755274261603373E-2</c:v>
                </c:pt>
                <c:pt idx="113">
                  <c:v>0.36979166666666669</c:v>
                </c:pt>
                <c:pt idx="114">
                  <c:v>0.04</c:v>
                </c:pt>
                <c:pt idx="115">
                  <c:v>5.5555555555555552E-2</c:v>
                </c:pt>
                <c:pt idx="116">
                  <c:v>4.5977011494252873E-2</c:v>
                </c:pt>
                <c:pt idx="117">
                  <c:v>7.3529411764705885E-2</c:v>
                </c:pt>
                <c:pt idx="118">
                  <c:v>2.6086956521739129E-2</c:v>
                </c:pt>
                <c:pt idx="119">
                  <c:v>2.7777777777777776E-2</c:v>
                </c:pt>
                <c:pt idx="120">
                  <c:v>2.030456852791878E-2</c:v>
                </c:pt>
                <c:pt idx="121">
                  <c:v>#N/A</c:v>
                </c:pt>
                <c:pt idx="122">
                  <c:v>6.1068702290076333E-2</c:v>
                </c:pt>
                <c:pt idx="123">
                  <c:v>3.6363636363636362E-2</c:v>
                </c:pt>
                <c:pt idx="124">
                  <c:v>2.1428571428571429E-2</c:v>
                </c:pt>
                <c:pt idx="125">
                  <c:v>1.8329938900203666E-2</c:v>
                </c:pt>
                <c:pt idx="126">
                  <c:v>3.6363636363636362E-2</c:v>
                </c:pt>
                <c:pt idx="127">
                  <c:v>0.16470588235294117</c:v>
                </c:pt>
                <c:pt idx="128">
                  <c:v>8.0808080808080815E-2</c:v>
                </c:pt>
                <c:pt idx="129">
                  <c:v>6.4516129032258064E-3</c:v>
                </c:pt>
                <c:pt idx="130">
                  <c:v>8.5365853658536592E-2</c:v>
                </c:pt>
                <c:pt idx="131">
                  <c:v>0.2857142857142857</c:v>
                </c:pt>
                <c:pt idx="132">
                  <c:v>7.1428571428571425E-2</c:v>
                </c:pt>
                <c:pt idx="133">
                  <c:v>0.16129032258064516</c:v>
                </c:pt>
                <c:pt idx="134">
                  <c:v>0.12195121951219512</c:v>
                </c:pt>
                <c:pt idx="135">
                  <c:v>0.04</c:v>
                </c:pt>
                <c:pt idx="136">
                  <c:v>8.9108910891089105E-2</c:v>
                </c:pt>
                <c:pt idx="137">
                  <c:v>6.0913705583756347E-2</c:v>
                </c:pt>
                <c:pt idx="138">
                  <c:v>2.5210084033613446E-2</c:v>
                </c:pt>
                <c:pt idx="139">
                  <c:v>4.6153846153846156E-2</c:v>
                </c:pt>
                <c:pt idx="140">
                  <c:v>0.12987012987012986</c:v>
                </c:pt>
                <c:pt idx="141">
                  <c:v>5.7591623036649213E-2</c:v>
                </c:pt>
                <c:pt idx="142">
                  <c:v>1.9736842105263157E-2</c:v>
                </c:pt>
                <c:pt idx="143">
                  <c:v>2.3622047244094488E-2</c:v>
                </c:pt>
                <c:pt idx="144">
                  <c:v>7.3529411764705885E-2</c:v>
                </c:pt>
                <c:pt idx="145">
                  <c:v>#N/A</c:v>
                </c:pt>
                <c:pt idx="146">
                  <c:v>0.125</c:v>
                </c:pt>
                <c:pt idx="147">
                  <c:v>1.9900497512437811E-2</c:v>
                </c:pt>
                <c:pt idx="148">
                  <c:v>3.0769230769230771E-2</c:v>
                </c:pt>
                <c:pt idx="149">
                  <c:v>0.10909090909090909</c:v>
                </c:pt>
                <c:pt idx="150">
                  <c:v>0.14473684210526316</c:v>
                </c:pt>
                <c:pt idx="151">
                  <c:v>0.10280373831775701</c:v>
                </c:pt>
                <c:pt idx="152">
                  <c:v>6.363636363636363E-2</c:v>
                </c:pt>
                <c:pt idx="153">
                  <c:v>9.4736842105263161E-2</c:v>
                </c:pt>
                <c:pt idx="154">
                  <c:v>6.5934065934065936E-2</c:v>
                </c:pt>
                <c:pt idx="155">
                  <c:v>8.1395348837209308E-2</c:v>
                </c:pt>
                <c:pt idx="156">
                  <c:v>0.13829787234042554</c:v>
                </c:pt>
                <c:pt idx="157">
                  <c:v>0.16949152542372881</c:v>
                </c:pt>
                <c:pt idx="158">
                  <c:v>7.0754716981132074E-2</c:v>
                </c:pt>
                <c:pt idx="159">
                  <c:v>#N/A</c:v>
                </c:pt>
                <c:pt idx="160">
                  <c:v>0.26363636363636361</c:v>
                </c:pt>
                <c:pt idx="161">
                  <c:v>0.11515151515151516</c:v>
                </c:pt>
                <c:pt idx="162">
                  <c:v>5.7142857142857141E-2</c:v>
                </c:pt>
                <c:pt idx="163">
                  <c:v>4.6052631578947366E-2</c:v>
                </c:pt>
                <c:pt idx="164">
                  <c:v>0.16470588235294117</c:v>
                </c:pt>
                <c:pt idx="165">
                  <c:v>0.16113744075829384</c:v>
                </c:pt>
                <c:pt idx="166">
                  <c:v>4.49438202247191E-2</c:v>
                </c:pt>
                <c:pt idx="167">
                  <c:v>3.4883720930232558E-2</c:v>
                </c:pt>
                <c:pt idx="168">
                  <c:v>6.25E-2</c:v>
                </c:pt>
                <c:pt idx="169">
                  <c:v>1.9607843137254902E-2</c:v>
                </c:pt>
                <c:pt idx="170">
                  <c:v>0.18620689655172415</c:v>
                </c:pt>
                <c:pt idx="171">
                  <c:v>3.7735849056603772E-2</c:v>
                </c:pt>
                <c:pt idx="172">
                  <c:v>5.8536585365853662E-2</c:v>
                </c:pt>
                <c:pt idx="173">
                  <c:v>0.32291666666666669</c:v>
                </c:pt>
                <c:pt idx="174">
                  <c:v>3.90625E-2</c:v>
                </c:pt>
                <c:pt idx="175">
                  <c:v>7.281553398058252E-2</c:v>
                </c:pt>
                <c:pt idx="176">
                  <c:v>9.2592592592592587E-2</c:v>
                </c:pt>
                <c:pt idx="177">
                  <c:v>6.9958847736625515E-2</c:v>
                </c:pt>
                <c:pt idx="178">
                  <c:v>0.34042553191489361</c:v>
                </c:pt>
                <c:pt idx="179">
                  <c:v>6.0728744939271252E-2</c:v>
                </c:pt>
                <c:pt idx="180">
                  <c:v>5.1612903225806452E-2</c:v>
                </c:pt>
                <c:pt idx="181">
                  <c:v>0.13333333333333333</c:v>
                </c:pt>
                <c:pt idx="182">
                  <c:v>0.1079136690647482</c:v>
                </c:pt>
                <c:pt idx="183">
                  <c:v>5.0847457627118647E-2</c:v>
                </c:pt>
                <c:pt idx="184">
                  <c:v>0.189873417721519</c:v>
                </c:pt>
                <c:pt idx="185">
                  <c:v>0.15492957746478872</c:v>
                </c:pt>
                <c:pt idx="186">
                  <c:v>4.3165467625899283E-2</c:v>
                </c:pt>
                <c:pt idx="187">
                  <c:v>7.2289156626506021E-2</c:v>
                </c:pt>
                <c:pt idx="188">
                  <c:v>0.14893617021276595</c:v>
                </c:pt>
                <c:pt idx="189">
                  <c:v>0.14000000000000001</c:v>
                </c:pt>
                <c:pt idx="190">
                  <c:v>4.9382716049382713E-2</c:v>
                </c:pt>
                <c:pt idx="191">
                  <c:v>1.8633540372670808E-2</c:v>
                </c:pt>
                <c:pt idx="192">
                  <c:v>4.8000000000000001E-2</c:v>
                </c:pt>
                <c:pt idx="193">
                  <c:v>4.4776119402985072E-2</c:v>
                </c:pt>
                <c:pt idx="194">
                  <c:v>0.11</c:v>
                </c:pt>
                <c:pt idx="195">
                  <c:v>2.8248587570621469E-2</c:v>
                </c:pt>
                <c:pt idx="196">
                  <c:v>7.3170731707317069E-2</c:v>
                </c:pt>
                <c:pt idx="197">
                  <c:v>0.29203539823008851</c:v>
                </c:pt>
                <c:pt idx="198">
                  <c:v>7.8947368421052627E-2</c:v>
                </c:pt>
                <c:pt idx="199">
                  <c:v>0.18333333333333332</c:v>
                </c:pt>
                <c:pt idx="200">
                  <c:v>4.3478260869565216E-2</c:v>
                </c:pt>
                <c:pt idx="201">
                  <c:v>6.8965517241379309E-2</c:v>
                </c:pt>
                <c:pt idx="202">
                  <c:v>6.6176470588235295E-2</c:v>
                </c:pt>
                <c:pt idx="203">
                  <c:v>6.4935064935064929E-2</c:v>
                </c:pt>
                <c:pt idx="204">
                  <c:v>0.11363636363636363</c:v>
                </c:pt>
                <c:pt idx="205">
                  <c:v>0.13114754098360656</c:v>
                </c:pt>
                <c:pt idx="206">
                  <c:v>0.30232558139534882</c:v>
                </c:pt>
                <c:pt idx="207">
                  <c:v>3.3333333333333333E-2</c:v>
                </c:pt>
                <c:pt idx="208">
                  <c:v>0.12173913043478261</c:v>
                </c:pt>
                <c:pt idx="209">
                  <c:v>7.0093457943925228E-2</c:v>
                </c:pt>
                <c:pt idx="210">
                  <c:v>7.5268817204301078E-2</c:v>
                </c:pt>
                <c:pt idx="211">
                  <c:v>5.8139534883720929E-2</c:v>
                </c:pt>
                <c:pt idx="212">
                  <c:v>9.2105263157894732E-2</c:v>
                </c:pt>
                <c:pt idx="213">
                  <c:v>0.17010309278350516</c:v>
                </c:pt>
                <c:pt idx="214">
                  <c:v>9.3333333333333338E-2</c:v>
                </c:pt>
                <c:pt idx="215">
                  <c:v>4.2168674698795178E-2</c:v>
                </c:pt>
                <c:pt idx="216">
                  <c:v>6.1728395061728392E-2</c:v>
                </c:pt>
                <c:pt idx="217">
                  <c:v>0</c:v>
                </c:pt>
                <c:pt idx="218">
                  <c:v>0.15668202764976957</c:v>
                </c:pt>
                <c:pt idx="219">
                  <c:v>5.1724137931034482E-2</c:v>
                </c:pt>
                <c:pt idx="220">
                  <c:v>0.12244897959183673</c:v>
                </c:pt>
                <c:pt idx="221">
                  <c:v>5.8823529411764705E-2</c:v>
                </c:pt>
                <c:pt idx="222">
                  <c:v>5.6818181818181816E-2</c:v>
                </c:pt>
                <c:pt idx="223">
                  <c:v>7.9365079365079361E-2</c:v>
                </c:pt>
                <c:pt idx="224">
                  <c:v>5.4054054054054057E-2</c:v>
                </c:pt>
                <c:pt idx="225">
                  <c:v>9.9290780141843976E-2</c:v>
                </c:pt>
                <c:pt idx="226">
                  <c:v>5.6179775280898875E-2</c:v>
                </c:pt>
                <c:pt idx="227">
                  <c:v>8.0536912751677847E-2</c:v>
                </c:pt>
                <c:pt idx="228">
                  <c:v>7.8014184397163122E-2</c:v>
                </c:pt>
                <c:pt idx="229">
                  <c:v>6.3953488372093026E-2</c:v>
                </c:pt>
                <c:pt idx="230">
                  <c:v>9.7744360902255634E-2</c:v>
                </c:pt>
                <c:pt idx="231">
                  <c:v>3.7383177570093455E-2</c:v>
                </c:pt>
                <c:pt idx="232">
                  <c:v>0.10101010101010101</c:v>
                </c:pt>
                <c:pt idx="233">
                  <c:v>0.16289592760180996</c:v>
                </c:pt>
                <c:pt idx="234">
                  <c:v>4.1666666666666664E-2</c:v>
                </c:pt>
                <c:pt idx="235">
                  <c:v>0.11627906976744186</c:v>
                </c:pt>
                <c:pt idx="236">
                  <c:v>5.6122448979591837E-2</c:v>
                </c:pt>
                <c:pt idx="237">
                  <c:v>4.2801556420233464E-2</c:v>
                </c:pt>
                <c:pt idx="238">
                  <c:v>0.13725490196078433</c:v>
                </c:pt>
                <c:pt idx="239">
                  <c:v>5.0955414012738856E-2</c:v>
                </c:pt>
                <c:pt idx="240">
                  <c:v>3.0303030303030304E-2</c:v>
                </c:pt>
                <c:pt idx="241">
                  <c:v>1.5748031496062992E-2</c:v>
                </c:pt>
                <c:pt idx="242">
                  <c:v>7.6923076923076927E-2</c:v>
                </c:pt>
                <c:pt idx="243">
                  <c:v>7.5949367088607597E-2</c:v>
                </c:pt>
                <c:pt idx="244">
                  <c:v>0.15929203539823009</c:v>
                </c:pt>
                <c:pt idx="245">
                  <c:v>3.9024390243902439E-2</c:v>
                </c:pt>
                <c:pt idx="246">
                  <c:v>4.4999999999999998E-2</c:v>
                </c:pt>
                <c:pt idx="247">
                  <c:v>8.8235294117647065E-2</c:v>
                </c:pt>
                <c:pt idx="248">
                  <c:v>0.13114754098360656</c:v>
                </c:pt>
                <c:pt idx="249">
                  <c:v>0.10280373831775701</c:v>
                </c:pt>
                <c:pt idx="250">
                  <c:v>6.6666666666666666E-2</c:v>
                </c:pt>
                <c:pt idx="251">
                  <c:v>8.1081081081081086E-2</c:v>
                </c:pt>
                <c:pt idx="252">
                  <c:v>6.5420560747663545E-2</c:v>
                </c:pt>
                <c:pt idx="253">
                  <c:v>7.792207792207792E-2</c:v>
                </c:pt>
                <c:pt idx="254">
                  <c:v>5.3254437869822487E-2</c:v>
                </c:pt>
                <c:pt idx="255">
                  <c:v>7.2916666666666671E-2</c:v>
                </c:pt>
                <c:pt idx="256">
                  <c:v>8.2987551867219914E-2</c:v>
                </c:pt>
                <c:pt idx="257">
                  <c:v>7.2072072072072071E-2</c:v>
                </c:pt>
                <c:pt idx="258">
                  <c:v>4.4554455445544552E-2</c:v>
                </c:pt>
                <c:pt idx="259">
                  <c:v>1.3888888888888888E-2</c:v>
                </c:pt>
                <c:pt idx="260">
                  <c:v>6.8627450980392163E-2</c:v>
                </c:pt>
                <c:pt idx="261">
                  <c:v>7.746478873239436E-2</c:v>
                </c:pt>
                <c:pt idx="262">
                  <c:v>2.5210084033613446E-2</c:v>
                </c:pt>
                <c:pt idx="263">
                  <c:v>7.3684210526315783E-2</c:v>
                </c:pt>
                <c:pt idx="264">
                  <c:v>#N/A</c:v>
                </c:pt>
                <c:pt idx="265">
                  <c:v>2.5252525252525252E-2</c:v>
                </c:pt>
                <c:pt idx="266">
                  <c:v>6.3829787234042548E-2</c:v>
                </c:pt>
                <c:pt idx="267">
                  <c:v>0.20833333333333334</c:v>
                </c:pt>
                <c:pt idx="268">
                  <c:v>4.195804195804196E-2</c:v>
                </c:pt>
                <c:pt idx="269">
                  <c:v>0.11320754716981132</c:v>
                </c:pt>
                <c:pt idx="270">
                  <c:v>0.10062893081761007</c:v>
                </c:pt>
                <c:pt idx="271">
                  <c:v>6.535947712418301E-2</c:v>
                </c:pt>
                <c:pt idx="272">
                  <c:v>0.13432835820895522</c:v>
                </c:pt>
                <c:pt idx="273">
                  <c:v>9.6774193548387094E-2</c:v>
                </c:pt>
                <c:pt idx="274">
                  <c:v>6.8750000000000006E-2</c:v>
                </c:pt>
                <c:pt idx="275">
                  <c:v>5.7142857142857141E-2</c:v>
                </c:pt>
                <c:pt idx="276">
                  <c:v>9.1743119266055051E-2</c:v>
                </c:pt>
                <c:pt idx="277">
                  <c:v>2.8985507246376812E-2</c:v>
                </c:pt>
                <c:pt idx="278">
                  <c:v>0.08</c:v>
                </c:pt>
                <c:pt idx="279">
                  <c:v>5.2238805970149252E-2</c:v>
                </c:pt>
                <c:pt idx="280">
                  <c:v>0.11827956989247312</c:v>
                </c:pt>
                <c:pt idx="281">
                  <c:v>0.11607142857142858</c:v>
                </c:pt>
                <c:pt idx="282">
                  <c:v>6.9306930693069313E-2</c:v>
                </c:pt>
                <c:pt idx="283">
                  <c:v>4.6511627906976744E-2</c:v>
                </c:pt>
                <c:pt idx="284">
                  <c:v>6.741573033707865E-2</c:v>
                </c:pt>
                <c:pt idx="285">
                  <c:v>3.825136612021858E-2</c:v>
                </c:pt>
                <c:pt idx="286">
                  <c:v>0.11023622047244094</c:v>
                </c:pt>
                <c:pt idx="287">
                  <c:v>4.878048780487805E-2</c:v>
                </c:pt>
                <c:pt idx="288">
                  <c:v>8.8607594936708861E-2</c:v>
                </c:pt>
              </c:numCache>
            </c:numRef>
          </c:val>
          <c:smooth val="0"/>
          <c:extLst>
            <c:ext xmlns:c16="http://schemas.microsoft.com/office/drawing/2014/chart" uri="{C3380CC4-5D6E-409C-BE32-E72D297353CC}">
              <c16:uniqueId val="{00000001-7BC1-484E-9D47-AFC74B28585E}"/>
            </c:ext>
          </c:extLst>
        </c:ser>
        <c:dLbls>
          <c:showLegendKey val="0"/>
          <c:showVal val="1"/>
          <c:showCatName val="0"/>
          <c:showSerName val="0"/>
          <c:showPercent val="0"/>
          <c:showBubbleSize val="0"/>
        </c:dLbls>
        <c:marker val="1"/>
        <c:smooth val="0"/>
        <c:axId val="738067855"/>
        <c:axId val="738085327"/>
      </c:lineChart>
      <c:catAx>
        <c:axId val="7380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92815"/>
        <c:crosses val="autoZero"/>
        <c:auto val="1"/>
        <c:lblAlgn val="ctr"/>
        <c:lblOffset val="100"/>
        <c:noMultiLvlLbl val="0"/>
      </c:catAx>
      <c:valAx>
        <c:axId val="73809281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82415"/>
        <c:crosses val="autoZero"/>
        <c:crossBetween val="between"/>
      </c:valAx>
      <c:valAx>
        <c:axId val="73808532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67855"/>
        <c:crosses val="max"/>
        <c:crossBetween val="between"/>
      </c:valAx>
      <c:catAx>
        <c:axId val="738067855"/>
        <c:scaling>
          <c:orientation val="minMax"/>
        </c:scaling>
        <c:delete val="1"/>
        <c:axPos val="b"/>
        <c:numFmt formatCode="General" sourceLinked="1"/>
        <c:majorTickMark val="out"/>
        <c:minorTickMark val="none"/>
        <c:tickLblPos val="nextTo"/>
        <c:crossAx val="7380853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A9AE"/>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1"/>
          <c:order val="1"/>
          <c:tx>
            <c:strRef>
              <c:f>Pivot!$C$8</c:f>
              <c:strCache>
                <c:ptCount val="1"/>
                <c:pt idx="0">
                  <c:v>KM_DV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Pivot!$C$9:$C$34</c:f>
              <c:numCache>
                <c:formatCode>General</c:formatCode>
                <c:ptCount val="25"/>
                <c:pt idx="0">
                  <c:v>7</c:v>
                </c:pt>
                <c:pt idx="2">
                  <c:v>5</c:v>
                </c:pt>
                <c:pt idx="3">
                  <c:v>11</c:v>
                </c:pt>
                <c:pt idx="4">
                  <c:v>4</c:v>
                </c:pt>
                <c:pt idx="5">
                  <c:v>4</c:v>
                </c:pt>
                <c:pt idx="6">
                  <c:v>6</c:v>
                </c:pt>
                <c:pt idx="7">
                  <c:v>5</c:v>
                </c:pt>
                <c:pt idx="8">
                  <c:v>2</c:v>
                </c:pt>
                <c:pt idx="9">
                  <c:v>11</c:v>
                </c:pt>
                <c:pt idx="10">
                  <c:v>4</c:v>
                </c:pt>
                <c:pt idx="11">
                  <c:v>6</c:v>
                </c:pt>
                <c:pt idx="12">
                  <c:v>8</c:v>
                </c:pt>
                <c:pt idx="13">
                  <c:v>3</c:v>
                </c:pt>
                <c:pt idx="14">
                  <c:v>4</c:v>
                </c:pt>
                <c:pt idx="15">
                  <c:v>8</c:v>
                </c:pt>
                <c:pt idx="16">
                  <c:v>8</c:v>
                </c:pt>
                <c:pt idx="17">
                  <c:v>8</c:v>
                </c:pt>
                <c:pt idx="18">
                  <c:v>14</c:v>
                </c:pt>
                <c:pt idx="19">
                  <c:v>10</c:v>
                </c:pt>
                <c:pt idx="20">
                  <c:v>3</c:v>
                </c:pt>
                <c:pt idx="21">
                  <c:v>5</c:v>
                </c:pt>
                <c:pt idx="22">
                  <c:v>4</c:v>
                </c:pt>
                <c:pt idx="23">
                  <c:v>10</c:v>
                </c:pt>
              </c:numCache>
            </c:numRef>
          </c:val>
          <c:extLst>
            <c:ext xmlns:c16="http://schemas.microsoft.com/office/drawing/2014/chart" uri="{C3380CC4-5D6E-409C-BE32-E72D297353CC}">
              <c16:uniqueId val="{00000001-836C-429A-A698-8234A8643704}"/>
            </c:ext>
          </c:extLst>
        </c:ser>
        <c:ser>
          <c:idx val="2"/>
          <c:order val="2"/>
          <c:tx>
            <c:strRef>
              <c:f>Pivot!$D$8</c:f>
              <c:strCache>
                <c:ptCount val="1"/>
                <c:pt idx="0">
                  <c:v>QC_Online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Pivot!$D$9:$D$34</c:f>
              <c:numCache>
                <c:formatCode>General</c:formatCode>
                <c:ptCount val="25"/>
                <c:pt idx="0">
                  <c:v>9</c:v>
                </c:pt>
                <c:pt idx="1">
                  <c:v>6</c:v>
                </c:pt>
                <c:pt idx="2">
                  <c:v>4</c:v>
                </c:pt>
                <c:pt idx="3">
                  <c:v>11</c:v>
                </c:pt>
                <c:pt idx="4">
                  <c:v>9</c:v>
                </c:pt>
                <c:pt idx="5">
                  <c:v>9</c:v>
                </c:pt>
                <c:pt idx="6">
                  <c:v>5</c:v>
                </c:pt>
                <c:pt idx="7">
                  <c:v>15</c:v>
                </c:pt>
                <c:pt idx="8">
                  <c:v>8</c:v>
                </c:pt>
                <c:pt idx="9">
                  <c:v>6</c:v>
                </c:pt>
                <c:pt idx="10">
                  <c:v>8</c:v>
                </c:pt>
                <c:pt idx="11">
                  <c:v>19</c:v>
                </c:pt>
                <c:pt idx="12">
                  <c:v>9</c:v>
                </c:pt>
                <c:pt idx="13">
                  <c:v>10</c:v>
                </c:pt>
                <c:pt idx="14">
                  <c:v>12</c:v>
                </c:pt>
                <c:pt idx="15">
                  <c:v>11</c:v>
                </c:pt>
                <c:pt idx="16">
                  <c:v>13</c:v>
                </c:pt>
                <c:pt idx="17">
                  <c:v>9</c:v>
                </c:pt>
                <c:pt idx="18">
                  <c:v>13</c:v>
                </c:pt>
                <c:pt idx="19">
                  <c:v>5</c:v>
                </c:pt>
                <c:pt idx="20">
                  <c:v>20</c:v>
                </c:pt>
                <c:pt idx="21">
                  <c:v>9</c:v>
                </c:pt>
                <c:pt idx="22">
                  <c:v>9</c:v>
                </c:pt>
                <c:pt idx="23">
                  <c:v>11</c:v>
                </c:pt>
              </c:numCache>
            </c:numRef>
          </c:val>
          <c:extLst>
            <c:ext xmlns:c16="http://schemas.microsoft.com/office/drawing/2014/chart" uri="{C3380CC4-5D6E-409C-BE32-E72D297353CC}">
              <c16:uniqueId val="{00000002-836C-429A-A698-8234A8643704}"/>
            </c:ext>
          </c:extLst>
        </c:ser>
        <c:ser>
          <c:idx val="3"/>
          <c:order val="3"/>
          <c:tx>
            <c:strRef>
              <c:f>Pivot!$E$8</c:f>
              <c:strCache>
                <c:ptCount val="1"/>
                <c:pt idx="0">
                  <c:v>Test-drive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Pivot!$E$9:$E$34</c:f>
              <c:numCache>
                <c:formatCode>General</c:formatCode>
                <c:ptCount val="25"/>
                <c:pt idx="0">
                  <c:v>10</c:v>
                </c:pt>
                <c:pt idx="2">
                  <c:v>3</c:v>
                </c:pt>
                <c:pt idx="3">
                  <c:v>6</c:v>
                </c:pt>
                <c:pt idx="4">
                  <c:v>5</c:v>
                </c:pt>
                <c:pt idx="5">
                  <c:v>2</c:v>
                </c:pt>
                <c:pt idx="6">
                  <c:v>7</c:v>
                </c:pt>
                <c:pt idx="7">
                  <c:v>4</c:v>
                </c:pt>
                <c:pt idx="8">
                  <c:v>6</c:v>
                </c:pt>
                <c:pt idx="9">
                  <c:v>5</c:v>
                </c:pt>
                <c:pt idx="10">
                  <c:v>8</c:v>
                </c:pt>
                <c:pt idx="11">
                  <c:v>4</c:v>
                </c:pt>
                <c:pt idx="12">
                  <c:v>10</c:v>
                </c:pt>
                <c:pt idx="13">
                  <c:v>3</c:v>
                </c:pt>
                <c:pt idx="14">
                  <c:v>3</c:v>
                </c:pt>
                <c:pt idx="15">
                  <c:v>1</c:v>
                </c:pt>
                <c:pt idx="16">
                  <c:v>6</c:v>
                </c:pt>
                <c:pt idx="17">
                  <c:v>2</c:v>
                </c:pt>
                <c:pt idx="18">
                  <c:v>13</c:v>
                </c:pt>
                <c:pt idx="19">
                  <c:v>4</c:v>
                </c:pt>
                <c:pt idx="20">
                  <c:v>2</c:v>
                </c:pt>
                <c:pt idx="21">
                  <c:v>5</c:v>
                </c:pt>
                <c:pt idx="22">
                  <c:v>2</c:v>
                </c:pt>
                <c:pt idx="23">
                  <c:v>7</c:v>
                </c:pt>
              </c:numCache>
            </c:numRef>
          </c:val>
          <c:extLst>
            <c:ext xmlns:c16="http://schemas.microsoft.com/office/drawing/2014/chart" uri="{C3380CC4-5D6E-409C-BE32-E72D297353CC}">
              <c16:uniqueId val="{00000003-836C-429A-A698-8234A8643704}"/>
            </c:ext>
          </c:extLst>
        </c:ser>
        <c:ser>
          <c:idx val="4"/>
          <c:order val="4"/>
          <c:tx>
            <c:strRef>
              <c:f>Pivot!$F$8</c:f>
              <c:strCache>
                <c:ptCount val="1"/>
                <c:pt idx="0">
                  <c:v>Event.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Pivot!$F$9:$F$34</c:f>
              <c:numCache>
                <c:formatCode>General</c:formatCode>
                <c:ptCount val="25"/>
                <c:pt idx="0">
                  <c:v>11</c:v>
                </c:pt>
                <c:pt idx="1">
                  <c:v>1</c:v>
                </c:pt>
                <c:pt idx="2">
                  <c:v>5</c:v>
                </c:pt>
                <c:pt idx="3">
                  <c:v>10</c:v>
                </c:pt>
                <c:pt idx="4">
                  <c:v>11</c:v>
                </c:pt>
                <c:pt idx="5">
                  <c:v>6</c:v>
                </c:pt>
                <c:pt idx="6">
                  <c:v>9</c:v>
                </c:pt>
                <c:pt idx="7">
                  <c:v>7</c:v>
                </c:pt>
                <c:pt idx="8">
                  <c:v>10</c:v>
                </c:pt>
                <c:pt idx="9">
                  <c:v>3</c:v>
                </c:pt>
                <c:pt idx="10">
                  <c:v>16</c:v>
                </c:pt>
                <c:pt idx="11">
                  <c:v>3</c:v>
                </c:pt>
                <c:pt idx="12">
                  <c:v>13</c:v>
                </c:pt>
                <c:pt idx="13">
                  <c:v>5</c:v>
                </c:pt>
                <c:pt idx="14">
                  <c:v>10</c:v>
                </c:pt>
                <c:pt idx="15">
                  <c:v>3</c:v>
                </c:pt>
                <c:pt idx="16">
                  <c:v>8</c:v>
                </c:pt>
                <c:pt idx="17">
                  <c:v>9</c:v>
                </c:pt>
                <c:pt idx="18">
                  <c:v>7</c:v>
                </c:pt>
                <c:pt idx="19">
                  <c:v>9</c:v>
                </c:pt>
                <c:pt idx="20">
                  <c:v>7</c:v>
                </c:pt>
                <c:pt idx="21">
                  <c:v>5</c:v>
                </c:pt>
                <c:pt idx="22">
                  <c:v>3</c:v>
                </c:pt>
                <c:pt idx="23">
                  <c:v>11</c:v>
                </c:pt>
              </c:numCache>
            </c:numRef>
          </c:val>
          <c:extLst>
            <c:ext xmlns:c16="http://schemas.microsoft.com/office/drawing/2014/chart" uri="{C3380CC4-5D6E-409C-BE32-E72D297353CC}">
              <c16:uniqueId val="{00000004-836C-429A-A698-8234A8643704}"/>
            </c:ext>
          </c:extLst>
        </c:ser>
        <c:ser>
          <c:idx val="5"/>
          <c:order val="5"/>
          <c:tx>
            <c:strRef>
              <c:f>Pivot!$G$8</c:f>
              <c:strCache>
                <c:ptCount val="1"/>
                <c:pt idx="0">
                  <c:v>QC_Thương hiệu</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Pivot!$G$9:$G$34</c:f>
              <c:numCache>
                <c:formatCode>General</c:formatCode>
                <c:ptCount val="25"/>
                <c:pt idx="0">
                  <c:v>11</c:v>
                </c:pt>
                <c:pt idx="2">
                  <c:v>12</c:v>
                </c:pt>
                <c:pt idx="3">
                  <c:v>7</c:v>
                </c:pt>
                <c:pt idx="4">
                  <c:v>10</c:v>
                </c:pt>
                <c:pt idx="5">
                  <c:v>6</c:v>
                </c:pt>
                <c:pt idx="6">
                  <c:v>2</c:v>
                </c:pt>
                <c:pt idx="7">
                  <c:v>10</c:v>
                </c:pt>
                <c:pt idx="8">
                  <c:v>8</c:v>
                </c:pt>
                <c:pt idx="10">
                  <c:v>6</c:v>
                </c:pt>
                <c:pt idx="11">
                  <c:v>1</c:v>
                </c:pt>
                <c:pt idx="12">
                  <c:v>7</c:v>
                </c:pt>
                <c:pt idx="14">
                  <c:v>6</c:v>
                </c:pt>
                <c:pt idx="15">
                  <c:v>4</c:v>
                </c:pt>
                <c:pt idx="16">
                  <c:v>10</c:v>
                </c:pt>
                <c:pt idx="17">
                  <c:v>9</c:v>
                </c:pt>
                <c:pt idx="18">
                  <c:v>12</c:v>
                </c:pt>
                <c:pt idx="19">
                  <c:v>13</c:v>
                </c:pt>
                <c:pt idx="20">
                  <c:v>9</c:v>
                </c:pt>
                <c:pt idx="21">
                  <c:v>6</c:v>
                </c:pt>
                <c:pt idx="23">
                  <c:v>5</c:v>
                </c:pt>
              </c:numCache>
            </c:numRef>
          </c:val>
          <c:extLst>
            <c:ext xmlns:c16="http://schemas.microsoft.com/office/drawing/2014/chart" uri="{C3380CC4-5D6E-409C-BE32-E72D297353CC}">
              <c16:uniqueId val="{00000005-836C-429A-A698-8234A8643704}"/>
            </c:ext>
          </c:extLst>
        </c:ser>
        <c:ser>
          <c:idx val="6"/>
          <c:order val="6"/>
          <c:tx>
            <c:strRef>
              <c:f>Pivot!$H$8</c:f>
              <c:strCache>
                <c:ptCount val="1"/>
                <c:pt idx="0">
                  <c:v>TTTH_CSR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Pivot!$H$9:$H$34</c:f>
              <c:numCache>
                <c:formatCode>General</c:formatCode>
                <c:ptCount val="25"/>
                <c:pt idx="0">
                  <c:v>4</c:v>
                </c:pt>
                <c:pt idx="2">
                  <c:v>7</c:v>
                </c:pt>
                <c:pt idx="3">
                  <c:v>10</c:v>
                </c:pt>
                <c:pt idx="4">
                  <c:v>1</c:v>
                </c:pt>
                <c:pt idx="5">
                  <c:v>4</c:v>
                </c:pt>
                <c:pt idx="6">
                  <c:v>4</c:v>
                </c:pt>
                <c:pt idx="7">
                  <c:v>5</c:v>
                </c:pt>
                <c:pt idx="8">
                  <c:v>2</c:v>
                </c:pt>
                <c:pt idx="10">
                  <c:v>2</c:v>
                </c:pt>
                <c:pt idx="12">
                  <c:v>1</c:v>
                </c:pt>
                <c:pt idx="14">
                  <c:v>11</c:v>
                </c:pt>
                <c:pt idx="15">
                  <c:v>1</c:v>
                </c:pt>
                <c:pt idx="16">
                  <c:v>5</c:v>
                </c:pt>
                <c:pt idx="17">
                  <c:v>3</c:v>
                </c:pt>
                <c:pt idx="18">
                  <c:v>6</c:v>
                </c:pt>
                <c:pt idx="19">
                  <c:v>1</c:v>
                </c:pt>
                <c:pt idx="20">
                  <c:v>5</c:v>
                </c:pt>
                <c:pt idx="21">
                  <c:v>2</c:v>
                </c:pt>
                <c:pt idx="22">
                  <c:v>1</c:v>
                </c:pt>
              </c:numCache>
            </c:numRef>
          </c:val>
          <c:extLst>
            <c:ext xmlns:c16="http://schemas.microsoft.com/office/drawing/2014/chart" uri="{C3380CC4-5D6E-409C-BE32-E72D297353CC}">
              <c16:uniqueId val="{00000006-836C-429A-A698-8234A8643704}"/>
            </c:ext>
          </c:extLst>
        </c:ser>
        <c:ser>
          <c:idx val="7"/>
          <c:order val="7"/>
          <c:tx>
            <c:strRef>
              <c:f>Pivot!$I$8</c:f>
              <c:strCache>
                <c:ptCount val="1"/>
                <c:pt idx="0">
                  <c:v>QC_Website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Pivot!$I$9:$I$34</c:f>
              <c:numCache>
                <c:formatCode>General</c:formatCode>
                <c:ptCount val="25"/>
                <c:pt idx="0">
                  <c:v>5</c:v>
                </c:pt>
                <c:pt idx="1">
                  <c:v>2</c:v>
                </c:pt>
                <c:pt idx="2">
                  <c:v>9</c:v>
                </c:pt>
                <c:pt idx="3">
                  <c:v>7</c:v>
                </c:pt>
                <c:pt idx="4">
                  <c:v>8</c:v>
                </c:pt>
                <c:pt idx="5">
                  <c:v>5</c:v>
                </c:pt>
                <c:pt idx="6">
                  <c:v>8</c:v>
                </c:pt>
                <c:pt idx="7">
                  <c:v>8</c:v>
                </c:pt>
                <c:pt idx="8">
                  <c:v>10</c:v>
                </c:pt>
                <c:pt idx="9">
                  <c:v>7</c:v>
                </c:pt>
                <c:pt idx="10">
                  <c:v>7</c:v>
                </c:pt>
                <c:pt idx="11">
                  <c:v>2</c:v>
                </c:pt>
                <c:pt idx="12">
                  <c:v>7</c:v>
                </c:pt>
                <c:pt idx="13">
                  <c:v>3</c:v>
                </c:pt>
                <c:pt idx="14">
                  <c:v>6</c:v>
                </c:pt>
                <c:pt idx="15">
                  <c:v>5</c:v>
                </c:pt>
                <c:pt idx="16">
                  <c:v>9</c:v>
                </c:pt>
                <c:pt idx="17">
                  <c:v>7</c:v>
                </c:pt>
                <c:pt idx="18">
                  <c:v>6</c:v>
                </c:pt>
                <c:pt idx="19">
                  <c:v>7</c:v>
                </c:pt>
                <c:pt idx="20">
                  <c:v>6</c:v>
                </c:pt>
                <c:pt idx="21">
                  <c:v>3</c:v>
                </c:pt>
                <c:pt idx="22">
                  <c:v>4</c:v>
                </c:pt>
                <c:pt idx="23">
                  <c:v>7</c:v>
                </c:pt>
              </c:numCache>
            </c:numRef>
          </c:val>
          <c:extLst>
            <c:ext xmlns:c16="http://schemas.microsoft.com/office/drawing/2014/chart" uri="{C3380CC4-5D6E-409C-BE32-E72D297353CC}">
              <c16:uniqueId val="{00000007-836C-429A-A698-8234A8643704}"/>
            </c:ext>
          </c:extLst>
        </c:ser>
        <c:ser>
          <c:idx val="0"/>
          <c:order val="0"/>
          <c:tx>
            <c:strRef>
              <c:f>Pivot!$B$8</c:f>
              <c:strCache>
                <c:ptCount val="1"/>
                <c:pt idx="0">
                  <c:v>KM_BH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Pivot!$B$9:$B$34</c:f>
              <c:numCache>
                <c:formatCode>General</c:formatCode>
                <c:ptCount val="25"/>
                <c:pt idx="0">
                  <c:v>14</c:v>
                </c:pt>
                <c:pt idx="1">
                  <c:v>5</c:v>
                </c:pt>
                <c:pt idx="2">
                  <c:v>9</c:v>
                </c:pt>
                <c:pt idx="3">
                  <c:v>10</c:v>
                </c:pt>
                <c:pt idx="4">
                  <c:v>16</c:v>
                </c:pt>
                <c:pt idx="5">
                  <c:v>11</c:v>
                </c:pt>
                <c:pt idx="6">
                  <c:v>8</c:v>
                </c:pt>
                <c:pt idx="7">
                  <c:v>12</c:v>
                </c:pt>
                <c:pt idx="8">
                  <c:v>11</c:v>
                </c:pt>
                <c:pt idx="9">
                  <c:v>14</c:v>
                </c:pt>
                <c:pt idx="10">
                  <c:v>11</c:v>
                </c:pt>
                <c:pt idx="11">
                  <c:v>15</c:v>
                </c:pt>
                <c:pt idx="12">
                  <c:v>13</c:v>
                </c:pt>
                <c:pt idx="13">
                  <c:v>16</c:v>
                </c:pt>
                <c:pt idx="14">
                  <c:v>12</c:v>
                </c:pt>
                <c:pt idx="15">
                  <c:v>16</c:v>
                </c:pt>
                <c:pt idx="16">
                  <c:v>20</c:v>
                </c:pt>
                <c:pt idx="17">
                  <c:v>17</c:v>
                </c:pt>
                <c:pt idx="18">
                  <c:v>13</c:v>
                </c:pt>
                <c:pt idx="19">
                  <c:v>13</c:v>
                </c:pt>
                <c:pt idx="20">
                  <c:v>8</c:v>
                </c:pt>
                <c:pt idx="21">
                  <c:v>6</c:v>
                </c:pt>
                <c:pt idx="22">
                  <c:v>17</c:v>
                </c:pt>
                <c:pt idx="23">
                  <c:v>15</c:v>
                </c:pt>
              </c:numCache>
            </c:numRef>
          </c:val>
          <c:extLst>
            <c:ext xmlns:c16="http://schemas.microsoft.com/office/drawing/2014/chart" uri="{C3380CC4-5D6E-409C-BE32-E72D297353CC}">
              <c16:uniqueId val="{00000000-836C-429A-A698-8234A8643704}"/>
            </c:ext>
          </c:extLst>
        </c:ser>
        <c:dLbls>
          <c:showLegendKey val="0"/>
          <c:showVal val="0"/>
          <c:showCatName val="0"/>
          <c:showSerName val="0"/>
          <c:showPercent val="0"/>
          <c:showBubbleSize val="0"/>
        </c:dLbls>
        <c:gapWidth val="150"/>
        <c:overlap val="100"/>
        <c:axId val="696787295"/>
        <c:axId val="1816011183"/>
      </c:barChart>
      <c:catAx>
        <c:axId val="69678729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1183"/>
        <c:crosses val="autoZero"/>
        <c:auto val="1"/>
        <c:lblAlgn val="ctr"/>
        <c:lblOffset val="100"/>
        <c:noMultiLvlLbl val="0"/>
      </c:catAx>
      <c:valAx>
        <c:axId val="18160111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87295"/>
        <c:crosses val="autoZero"/>
        <c:crossBetween val="between"/>
      </c:valAx>
      <c:spPr>
        <a:noFill/>
        <a:ln>
          <a:noFill/>
        </a:ln>
        <a:effectLst/>
      </c:spPr>
    </c:plotArea>
    <c:legend>
      <c:legendPos val="r"/>
      <c:layout>
        <c:manualLayout>
          <c:xMode val="edge"/>
          <c:yMode val="edge"/>
          <c:x val="0.86352183535732963"/>
          <c:y val="0.15714197422455514"/>
          <c:w val="0.13043573417254922"/>
          <c:h val="0.52457515675952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2022.xlsx]Pivot!PivotTable6</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0837390967445E-2"/>
          <c:y val="9.2140948444146581E-2"/>
          <c:w val="0.88828259981779911"/>
          <c:h val="0.50091029997048042"/>
        </c:manualLayout>
      </c:layout>
      <c:barChart>
        <c:barDir val="col"/>
        <c:grouping val="clustered"/>
        <c:varyColors val="0"/>
        <c:ser>
          <c:idx val="0"/>
          <c:order val="0"/>
          <c:tx>
            <c:strRef>
              <c:f>Pivot!$D$38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Pivot!$C$39:$C$64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Pivot!$D$39:$D$64</c:f>
              <c:numCache>
                <c:formatCode>_-* #,##0_-;\-* #,##0_-;_-* "-"??_-;_-@_-</c:formatCode>
                <c:ptCount val="25"/>
                <c:pt idx="0">
                  <c:v>1893</c:v>
                </c:pt>
                <c:pt idx="1">
                  <c:v>488</c:v>
                </c:pt>
                <c:pt idx="2">
                  <c:v>2281</c:v>
                </c:pt>
                <c:pt idx="3">
                  <c:v>1625</c:v>
                </c:pt>
                <c:pt idx="4">
                  <c:v>1221</c:v>
                </c:pt>
                <c:pt idx="5">
                  <c:v>2005</c:v>
                </c:pt>
                <c:pt idx="6">
                  <c:v>1256</c:v>
                </c:pt>
                <c:pt idx="7">
                  <c:v>1783</c:v>
                </c:pt>
                <c:pt idx="8">
                  <c:v>1635</c:v>
                </c:pt>
                <c:pt idx="9">
                  <c:v>2237</c:v>
                </c:pt>
                <c:pt idx="10">
                  <c:v>1567</c:v>
                </c:pt>
                <c:pt idx="11">
                  <c:v>1434</c:v>
                </c:pt>
                <c:pt idx="12">
                  <c:v>1380</c:v>
                </c:pt>
                <c:pt idx="13">
                  <c:v>863</c:v>
                </c:pt>
                <c:pt idx="14">
                  <c:v>1243</c:v>
                </c:pt>
                <c:pt idx="15">
                  <c:v>782</c:v>
                </c:pt>
                <c:pt idx="16">
                  <c:v>2363</c:v>
                </c:pt>
                <c:pt idx="17">
                  <c:v>2372</c:v>
                </c:pt>
                <c:pt idx="18">
                  <c:v>1683</c:v>
                </c:pt>
                <c:pt idx="19">
                  <c:v>1224</c:v>
                </c:pt>
                <c:pt idx="20">
                  <c:v>1313</c:v>
                </c:pt>
                <c:pt idx="21">
                  <c:v>1837</c:v>
                </c:pt>
                <c:pt idx="22">
                  <c:v>1519</c:v>
                </c:pt>
                <c:pt idx="23">
                  <c:v>1357</c:v>
                </c:pt>
              </c:numCache>
            </c:numRef>
          </c:val>
          <c:extLst>
            <c:ext xmlns:c16="http://schemas.microsoft.com/office/drawing/2014/chart" uri="{C3380CC4-5D6E-409C-BE32-E72D297353CC}">
              <c16:uniqueId val="{00000000-478E-43B2-9415-99F384D4A6B9}"/>
            </c:ext>
          </c:extLst>
        </c:ser>
        <c:dLbls>
          <c:dLblPos val="outEnd"/>
          <c:showLegendKey val="0"/>
          <c:showVal val="1"/>
          <c:showCatName val="0"/>
          <c:showSerName val="0"/>
          <c:showPercent val="0"/>
          <c:showBubbleSize val="0"/>
        </c:dLbls>
        <c:gapWidth val="100"/>
        <c:overlap val="-24"/>
        <c:axId val="1190403823"/>
        <c:axId val="1704228095"/>
      </c:barChart>
      <c:catAx>
        <c:axId val="1190403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28095"/>
        <c:crosses val="autoZero"/>
        <c:auto val="1"/>
        <c:lblAlgn val="ctr"/>
        <c:lblOffset val="100"/>
        <c:noMultiLvlLbl val="0"/>
      </c:catAx>
      <c:valAx>
        <c:axId val="170422809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0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7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2022.xlsx]Pivot!PivotTable7</c:name>
    <c:fmtId val="9"/>
  </c:pivotSource>
  <c:chart>
    <c:autoTitleDeleted val="1"/>
    <c:pivotFmts>
      <c:pivotFmt>
        <c:idx val="0"/>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2"/>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3"/>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4"/>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5"/>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6"/>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7"/>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8"/>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9"/>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10"/>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11"/>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12"/>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13"/>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
        <c:idx val="14"/>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pivotFmt>
    </c:pivotFmts>
    <c:plotArea>
      <c:layout/>
      <c:lineChart>
        <c:grouping val="standard"/>
        <c:varyColors val="0"/>
        <c:ser>
          <c:idx val="0"/>
          <c:order val="0"/>
          <c:tx>
            <c:strRef>
              <c:f>Pivot!$J$38</c:f>
              <c:strCache>
                <c:ptCount val="1"/>
                <c:pt idx="0">
                  <c:v>Total</c:v>
                </c:pt>
              </c:strCache>
            </c:strRef>
          </c:tx>
          <c:spPr>
            <a:ln w="34925" cap="rnd">
              <a:solidFill>
                <a:schemeClr val="accent2"/>
              </a:solidFill>
              <a:round/>
            </a:ln>
            <a:effectLst>
              <a:outerShdw blurRad="50800" dist="38100" dir="5400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0-0D40-4574-99C4-9A5F69CB3A6F}"/>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0D40-4574-99C4-9A5F69CB3A6F}"/>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2-0D40-4574-99C4-9A5F69CB3A6F}"/>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4-E3F3-4DB9-B7D8-BB6D968398F0}"/>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6-E3F3-4DB9-B7D8-BB6D968398F0}"/>
              </c:ext>
            </c:extLst>
          </c:dPt>
          <c:dPt>
            <c:idx val="1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5-F799-44FA-A8CF-46D86A8C1248}"/>
              </c:ext>
            </c:extLst>
          </c:dPt>
          <c:dPt>
            <c:idx val="1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6-F799-44FA-A8CF-46D86A8C1248}"/>
              </c:ext>
            </c:extLst>
          </c:dPt>
          <c:dPt>
            <c:idx val="1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7-F799-44FA-A8CF-46D86A8C1248}"/>
              </c:ext>
            </c:extLst>
          </c:dPt>
          <c:dPt>
            <c:idx val="1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68C6-44E7-AE67-BA83FA165009}"/>
              </c:ext>
            </c:extLst>
          </c:dPt>
          <c:dPt>
            <c:idx val="1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3CB8-46B9-8239-EE051545D721}"/>
              </c:ext>
            </c:extLst>
          </c:dPt>
          <c:dPt>
            <c:idx val="1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0-0D04-49CD-AD54-70E4158B4819}"/>
              </c:ext>
            </c:extLst>
          </c:dPt>
          <c:dP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C-F799-44FA-A8CF-46D86A8C1248}"/>
              </c:ext>
            </c:extLst>
          </c:dPt>
          <c:dPt>
            <c:idx val="2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3-61EC-4BD0-A64C-68656DC17D6A}"/>
              </c:ext>
            </c:extLst>
          </c:dPt>
          <c:dPt>
            <c:idx val="2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solidFill>
                  <a:round/>
                </a:ln>
                <a:effectLst>
                  <a:outerShdw blurRad="50800" dist="38100" dir="5400000" algn="t" rotWithShape="0">
                    <a:prstClr val="black">
                      <a:alpha val="40000"/>
                    </a:prstClr>
                  </a:outerShdw>
                </a:effectLst>
              </c:spPr>
            </c:marker>
            <c:bubble3D val="0"/>
            <c:spPr>
              <a:ln w="34925" cap="rnd">
                <a:solidFill>
                  <a:schemeClr val="accent2"/>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4-07E3-4982-87B5-371332BC96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Pivot!$I$39:$I$64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Pivot!$J$39:$J$64</c:f>
              <c:numCache>
                <c:formatCode>_-* #,##0_-;\-* #,##0_-;_-* "-"??_-;_-@_-</c:formatCode>
                <c:ptCount val="25"/>
                <c:pt idx="0">
                  <c:v>100</c:v>
                </c:pt>
                <c:pt idx="1">
                  <c:v>11</c:v>
                </c:pt>
                <c:pt idx="2">
                  <c:v>264</c:v>
                </c:pt>
                <c:pt idx="3">
                  <c:v>72</c:v>
                </c:pt>
                <c:pt idx="4">
                  <c:v>71</c:v>
                </c:pt>
                <c:pt idx="5">
                  <c:v>179</c:v>
                </c:pt>
                <c:pt idx="6">
                  <c:v>91</c:v>
                </c:pt>
                <c:pt idx="7">
                  <c:v>201</c:v>
                </c:pt>
                <c:pt idx="8">
                  <c:v>150</c:v>
                </c:pt>
                <c:pt idx="9">
                  <c:v>171</c:v>
                </c:pt>
                <c:pt idx="10">
                  <c:v>122</c:v>
                </c:pt>
                <c:pt idx="11">
                  <c:v>85</c:v>
                </c:pt>
                <c:pt idx="12">
                  <c:v>140</c:v>
                </c:pt>
                <c:pt idx="13">
                  <c:v>80</c:v>
                </c:pt>
                <c:pt idx="14">
                  <c:v>143</c:v>
                </c:pt>
                <c:pt idx="15">
                  <c:v>44</c:v>
                </c:pt>
                <c:pt idx="16">
                  <c:v>226</c:v>
                </c:pt>
                <c:pt idx="17">
                  <c:v>258</c:v>
                </c:pt>
                <c:pt idx="18">
                  <c:v>84</c:v>
                </c:pt>
                <c:pt idx="19">
                  <c:v>99</c:v>
                </c:pt>
                <c:pt idx="20">
                  <c:v>130</c:v>
                </c:pt>
                <c:pt idx="21">
                  <c:v>151</c:v>
                </c:pt>
                <c:pt idx="22">
                  <c:v>50</c:v>
                </c:pt>
                <c:pt idx="23">
                  <c:v>50</c:v>
                </c:pt>
              </c:numCache>
            </c:numRef>
          </c:val>
          <c:smooth val="0"/>
          <c:extLst>
            <c:ext xmlns:c16="http://schemas.microsoft.com/office/drawing/2014/chart" uri="{C3380CC4-5D6E-409C-BE32-E72D297353CC}">
              <c16:uniqueId val="{00000000-3CA0-4039-81D2-73A71BE2E3EC}"/>
            </c:ext>
          </c:extLst>
        </c:ser>
        <c:dLbls>
          <c:dLblPos val="t"/>
          <c:showLegendKey val="0"/>
          <c:showVal val="1"/>
          <c:showCatName val="0"/>
          <c:showSerName val="0"/>
          <c:showPercent val="0"/>
          <c:showBubbleSize val="0"/>
        </c:dLbls>
        <c:marker val="1"/>
        <c:smooth val="0"/>
        <c:axId val="1892813903"/>
        <c:axId val="1892814319"/>
      </c:lineChart>
      <c:catAx>
        <c:axId val="1892813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814319"/>
        <c:crosses val="autoZero"/>
        <c:auto val="1"/>
        <c:lblAlgn val="ctr"/>
        <c:lblOffset val="100"/>
        <c:noMultiLvlLbl val="0"/>
      </c:catAx>
      <c:valAx>
        <c:axId val="1892814319"/>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81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2022.xlsx]Pivot!PivotTable9</c:name>
    <c:fmtId val="1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F7199"/>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6F7199"/>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98936060099258E-2"/>
          <c:y val="2.5428331875182269E-2"/>
          <c:w val="0.92054447117286575"/>
          <c:h val="0.59877114319043456"/>
        </c:manualLayout>
      </c:layout>
      <c:lineChart>
        <c:grouping val="standard"/>
        <c:varyColors val="0"/>
        <c:ser>
          <c:idx val="0"/>
          <c:order val="0"/>
          <c:tx>
            <c:strRef>
              <c:f>Pivot!$R$38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Pivot!$Q$39:$Q$64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Pivot!$R$39:$R$64</c:f>
              <c:numCache>
                <c:formatCode>0.0%</c:formatCode>
                <c:ptCount val="25"/>
                <c:pt idx="0">
                  <c:v>5.2826201796090863E-2</c:v>
                </c:pt>
                <c:pt idx="1">
                  <c:v>2.2540983606557378E-2</c:v>
                </c:pt>
                <c:pt idx="2">
                  <c:v>0.11573871109162648</c:v>
                </c:pt>
                <c:pt idx="3">
                  <c:v>4.4307692307692305E-2</c:v>
                </c:pt>
                <c:pt idx="4">
                  <c:v>5.8149058149058151E-2</c:v>
                </c:pt>
                <c:pt idx="5">
                  <c:v>8.9276807980049874E-2</c:v>
                </c:pt>
                <c:pt idx="6">
                  <c:v>7.2452229299363055E-2</c:v>
                </c:pt>
                <c:pt idx="7">
                  <c:v>0.11273135165451487</c:v>
                </c:pt>
                <c:pt idx="8">
                  <c:v>9.1743119266055051E-2</c:v>
                </c:pt>
                <c:pt idx="9">
                  <c:v>7.6441662941439434E-2</c:v>
                </c:pt>
                <c:pt idx="10">
                  <c:v>7.78557753669432E-2</c:v>
                </c:pt>
                <c:pt idx="11">
                  <c:v>5.9274755927475595E-2</c:v>
                </c:pt>
                <c:pt idx="12">
                  <c:v>0.10144927536231885</c:v>
                </c:pt>
                <c:pt idx="13">
                  <c:v>9.2699884125144849E-2</c:v>
                </c:pt>
                <c:pt idx="14">
                  <c:v>0.11504424778761062</c:v>
                </c:pt>
                <c:pt idx="15">
                  <c:v>5.6265984654731455E-2</c:v>
                </c:pt>
                <c:pt idx="16">
                  <c:v>9.5641134151502327E-2</c:v>
                </c:pt>
                <c:pt idx="17">
                  <c:v>0.1087689713322091</c:v>
                </c:pt>
                <c:pt idx="18">
                  <c:v>4.9910873440285206E-2</c:v>
                </c:pt>
                <c:pt idx="19">
                  <c:v>8.0882352941176475E-2</c:v>
                </c:pt>
                <c:pt idx="20">
                  <c:v>9.9009900990099015E-2</c:v>
                </c:pt>
                <c:pt idx="21">
                  <c:v>8.2199237887860641E-2</c:v>
                </c:pt>
                <c:pt idx="22">
                  <c:v>3.2916392363396975E-2</c:v>
                </c:pt>
                <c:pt idx="23">
                  <c:v>3.6845983787767135E-2</c:v>
                </c:pt>
                <c:pt idx="24">
                  <c:v>#N/A</c:v>
                </c:pt>
              </c:numCache>
            </c:numRef>
          </c:val>
          <c:smooth val="0"/>
          <c:extLst>
            <c:ext xmlns:c16="http://schemas.microsoft.com/office/drawing/2014/chart" uri="{C3380CC4-5D6E-409C-BE32-E72D297353CC}">
              <c16:uniqueId val="{00000000-DBD6-4984-9DC8-5398CE38846E}"/>
            </c:ext>
          </c:extLst>
        </c:ser>
        <c:dLbls>
          <c:dLblPos val="t"/>
          <c:showLegendKey val="0"/>
          <c:showVal val="1"/>
          <c:showCatName val="0"/>
          <c:showSerName val="0"/>
          <c:showPercent val="0"/>
          <c:showBubbleSize val="0"/>
        </c:dLbls>
        <c:marker val="1"/>
        <c:smooth val="0"/>
        <c:axId val="1931949615"/>
        <c:axId val="1931960015"/>
      </c:lineChart>
      <c:catAx>
        <c:axId val="1931949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60015"/>
        <c:crosses val="autoZero"/>
        <c:auto val="1"/>
        <c:lblAlgn val="ctr"/>
        <c:lblOffset val="100"/>
        <c:noMultiLvlLbl val="0"/>
      </c:catAx>
      <c:valAx>
        <c:axId val="19319600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9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2022.xlsx]Pivot!PivotTable13</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Pivot!$L$70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Pivot!$K$71:$K$96</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Pivot!$L$71:$L$96</c:f>
              <c:numCache>
                <c:formatCode>0%</c:formatCode>
                <c:ptCount val="25"/>
                <c:pt idx="0">
                  <c:v>0.20618556701030927</c:v>
                </c:pt>
                <c:pt idx="1">
                  <c:v>4.3478260869565216E-2</c:v>
                </c:pt>
                <c:pt idx="2">
                  <c:v>0.22391857506361323</c:v>
                </c:pt>
                <c:pt idx="3">
                  <c:v>0.25899280575539568</c:v>
                </c:pt>
                <c:pt idx="4">
                  <c:v>0.14609053497942387</c:v>
                </c:pt>
                <c:pt idx="5">
                  <c:v>6.3430191353649898E-2</c:v>
                </c:pt>
                <c:pt idx="6">
                  <c:v>6.4265536723163846E-2</c:v>
                </c:pt>
                <c:pt idx="7">
                  <c:v>0.37853107344632769</c:v>
                </c:pt>
                <c:pt idx="8">
                  <c:v>0.3401360544217687</c:v>
                </c:pt>
                <c:pt idx="9">
                  <c:v>0.16101694915254236</c:v>
                </c:pt>
                <c:pt idx="10">
                  <c:v>0.26180257510729615</c:v>
                </c:pt>
                <c:pt idx="11">
                  <c:v>9.2290988056460369E-2</c:v>
                </c:pt>
                <c:pt idx="12">
                  <c:v>0.2734375</c:v>
                </c:pt>
                <c:pt idx="13">
                  <c:v>9.1743119266055051E-2</c:v>
                </c:pt>
                <c:pt idx="14">
                  <c:v>0.16784037558685447</c:v>
                </c:pt>
                <c:pt idx="15">
                  <c:v>2.072538860103627E-2</c:v>
                </c:pt>
                <c:pt idx="16">
                  <c:v>8.330261702911905E-2</c:v>
                </c:pt>
                <c:pt idx="17">
                  <c:v>0.12181303116147309</c:v>
                </c:pt>
                <c:pt idx="18">
                  <c:v>8.9266737513283748E-2</c:v>
                </c:pt>
                <c:pt idx="19">
                  <c:v>0.14002828854314003</c:v>
                </c:pt>
                <c:pt idx="20">
                  <c:v>0.18361581920903955</c:v>
                </c:pt>
                <c:pt idx="21">
                  <c:v>7.2422062350119901E-2</c:v>
                </c:pt>
                <c:pt idx="22">
                  <c:v>5.2301255230125521E-2</c:v>
                </c:pt>
                <c:pt idx="23">
                  <c:v>0.15151515151515152</c:v>
                </c:pt>
                <c:pt idx="24">
                  <c:v>#N/A</c:v>
                </c:pt>
              </c:numCache>
            </c:numRef>
          </c:val>
          <c:smooth val="0"/>
          <c:extLst>
            <c:ext xmlns:c16="http://schemas.microsoft.com/office/drawing/2014/chart" uri="{C3380CC4-5D6E-409C-BE32-E72D297353CC}">
              <c16:uniqueId val="{00000000-0A9A-4593-B736-F009E9D9FB1A}"/>
            </c:ext>
          </c:extLst>
        </c:ser>
        <c:dLbls>
          <c:dLblPos val="t"/>
          <c:showLegendKey val="0"/>
          <c:showVal val="1"/>
          <c:showCatName val="0"/>
          <c:showSerName val="0"/>
          <c:showPercent val="0"/>
          <c:showBubbleSize val="0"/>
        </c:dLbls>
        <c:marker val="1"/>
        <c:smooth val="0"/>
        <c:axId val="1158604959"/>
        <c:axId val="1158619935"/>
      </c:lineChart>
      <c:catAx>
        <c:axId val="1158604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19935"/>
        <c:crosses val="autoZero"/>
        <c:auto val="1"/>
        <c:lblAlgn val="ctr"/>
        <c:lblOffset val="100"/>
        <c:noMultiLvlLbl val="0"/>
      </c:catAx>
      <c:valAx>
        <c:axId val="1158619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0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c:name>
    <c:fmtId val="1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Pivot!$R$69</c:f>
              <c:strCache>
                <c:ptCount val="1"/>
                <c:pt idx="0">
                  <c:v>Average of Hoàn thành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Pivot!$Q$70:$Q$95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Pivot!$R$70:$R$95</c:f>
              <c:numCache>
                <c:formatCode>General</c:formatCode>
                <c:ptCount val="25"/>
                <c:pt idx="0">
                  <c:v>1.1249999999999998</c:v>
                </c:pt>
                <c:pt idx="1">
                  <c:v>0.19583333333333333</c:v>
                </c:pt>
                <c:pt idx="2">
                  <c:v>1.0941666666666665</c:v>
                </c:pt>
                <c:pt idx="3">
                  <c:v>0.97500000000000009</c:v>
                </c:pt>
                <c:pt idx="4">
                  <c:v>0.96583333333333332</c:v>
                </c:pt>
                <c:pt idx="5">
                  <c:v>1.0158333333333334</c:v>
                </c:pt>
                <c:pt idx="6">
                  <c:v>0.93416666666666659</c:v>
                </c:pt>
                <c:pt idx="7">
                  <c:v>1.18</c:v>
                </c:pt>
                <c:pt idx="8">
                  <c:v>1.1099999999999999</c:v>
                </c:pt>
                <c:pt idx="9">
                  <c:v>0.98491666666666655</c:v>
                </c:pt>
                <c:pt idx="10">
                  <c:v>1.1616666666666668</c:v>
                </c:pt>
                <c:pt idx="11">
                  <c:v>0.85666666666666647</c:v>
                </c:pt>
                <c:pt idx="12">
                  <c:v>1.1775</c:v>
                </c:pt>
                <c:pt idx="13">
                  <c:v>0.63833333333333331</c:v>
                </c:pt>
                <c:pt idx="14">
                  <c:v>1.2591666666666665</c:v>
                </c:pt>
                <c:pt idx="15">
                  <c:v>1.04</c:v>
                </c:pt>
                <c:pt idx="16">
                  <c:v>1.2068749999999999</c:v>
                </c:pt>
                <c:pt idx="17">
                  <c:v>1.0825000000000002</c:v>
                </c:pt>
                <c:pt idx="18">
                  <c:v>1.1850000000000001</c:v>
                </c:pt>
                <c:pt idx="19">
                  <c:v>1.0033333333333334</c:v>
                </c:pt>
                <c:pt idx="20">
                  <c:v>1.2025000000000001</c:v>
                </c:pt>
                <c:pt idx="21">
                  <c:v>1.0416666666666667</c:v>
                </c:pt>
                <c:pt idx="22">
                  <c:v>0.91499999999999992</c:v>
                </c:pt>
                <c:pt idx="23">
                  <c:v>1.0991666666666668</c:v>
                </c:pt>
              </c:numCache>
            </c:numRef>
          </c:val>
          <c:smooth val="0"/>
          <c:extLst>
            <c:ext xmlns:c16="http://schemas.microsoft.com/office/drawing/2014/chart" uri="{C3380CC4-5D6E-409C-BE32-E72D297353CC}">
              <c16:uniqueId val="{00000000-41E9-4F43-97D4-11FBCF81A32D}"/>
            </c:ext>
          </c:extLst>
        </c:ser>
        <c:ser>
          <c:idx val="1"/>
          <c:order val="1"/>
          <c:tx>
            <c:strRef>
              <c:f>Pivot!$S$69</c:f>
              <c:strCache>
                <c:ptCount val="1"/>
                <c:pt idx="0">
                  <c:v>Average of Hệ số Mi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Pivot!$Q$70:$Q$95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Pivot!$S$70:$S$95</c:f>
              <c:numCache>
                <c:formatCode>General</c:formatCode>
                <c:ptCount val="25"/>
                <c:pt idx="0">
                  <c:v>1</c:v>
                </c:pt>
                <c:pt idx="1">
                  <c:v>8.3333333333333329E-2</c:v>
                </c:pt>
                <c:pt idx="2">
                  <c:v>1</c:v>
                </c:pt>
                <c:pt idx="3">
                  <c:v>0.83333333333333337</c:v>
                </c:pt>
                <c:pt idx="4">
                  <c:v>0.77083333333333337</c:v>
                </c:pt>
                <c:pt idx="5">
                  <c:v>0.89583333333333337</c:v>
                </c:pt>
                <c:pt idx="6">
                  <c:v>0.89583333333333337</c:v>
                </c:pt>
                <c:pt idx="7">
                  <c:v>1</c:v>
                </c:pt>
                <c:pt idx="8">
                  <c:v>0.9375</c:v>
                </c:pt>
                <c:pt idx="9">
                  <c:v>0.75</c:v>
                </c:pt>
                <c:pt idx="10">
                  <c:v>1</c:v>
                </c:pt>
                <c:pt idx="11">
                  <c:v>0.52083333333333337</c:v>
                </c:pt>
                <c:pt idx="12">
                  <c:v>0.95833333333333337</c:v>
                </c:pt>
                <c:pt idx="13">
                  <c:v>0.41666666666666669</c:v>
                </c:pt>
                <c:pt idx="14">
                  <c:v>1</c:v>
                </c:pt>
                <c:pt idx="15">
                  <c:v>0.875</c:v>
                </c:pt>
                <c:pt idx="16">
                  <c:v>0.921875</c:v>
                </c:pt>
                <c:pt idx="17">
                  <c:v>1</c:v>
                </c:pt>
                <c:pt idx="18">
                  <c:v>0.97916666666666663</c:v>
                </c:pt>
                <c:pt idx="19">
                  <c:v>0.85416666666666663</c:v>
                </c:pt>
                <c:pt idx="20">
                  <c:v>1</c:v>
                </c:pt>
                <c:pt idx="21">
                  <c:v>0.89583333333333337</c:v>
                </c:pt>
                <c:pt idx="22">
                  <c:v>0.77083333333333337</c:v>
                </c:pt>
                <c:pt idx="23">
                  <c:v>0.97916666666666663</c:v>
                </c:pt>
              </c:numCache>
            </c:numRef>
          </c:val>
          <c:smooth val="0"/>
          <c:extLst>
            <c:ext xmlns:c16="http://schemas.microsoft.com/office/drawing/2014/chart" uri="{C3380CC4-5D6E-409C-BE32-E72D297353CC}">
              <c16:uniqueId val="{00000000-760A-4653-9A3D-ACAB7D485C72}"/>
            </c:ext>
          </c:extLst>
        </c:ser>
        <c:dLbls>
          <c:dLblPos val="t"/>
          <c:showLegendKey val="0"/>
          <c:showVal val="1"/>
          <c:showCatName val="0"/>
          <c:showSerName val="0"/>
          <c:showPercent val="0"/>
          <c:showBubbleSize val="0"/>
        </c:dLbls>
        <c:marker val="1"/>
        <c:smooth val="0"/>
        <c:axId val="168379711"/>
        <c:axId val="168378879"/>
      </c:lineChart>
      <c:catAx>
        <c:axId val="16837971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8879"/>
        <c:crosses val="autoZero"/>
        <c:auto val="1"/>
        <c:lblAlgn val="ctr"/>
        <c:lblOffset val="100"/>
        <c:noMultiLvlLbl val="0"/>
      </c:catAx>
      <c:valAx>
        <c:axId val="168378879"/>
        <c:scaling>
          <c:orientation val="minMax"/>
        </c:scaling>
        <c:delete val="1"/>
        <c:axPos val="l"/>
        <c:numFmt formatCode="General" sourceLinked="1"/>
        <c:majorTickMark val="none"/>
        <c:minorTickMark val="none"/>
        <c:tickLblPos val="nextTo"/>
        <c:crossAx val="168379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 Dashboard_2022_ Sơ kết MKT 2022.xlsx]Pivot!PivotTable7</c:name>
    <c:fmtId val="11"/>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79233467888004E-2"/>
          <c:y val="0.12936806003408602"/>
          <c:w val="0.9700925836631018"/>
          <c:h val="0.53755186313891945"/>
        </c:manualLayout>
      </c:layout>
      <c:barChart>
        <c:barDir val="col"/>
        <c:grouping val="clustered"/>
        <c:varyColors val="0"/>
        <c:ser>
          <c:idx val="0"/>
          <c:order val="0"/>
          <c:tx>
            <c:strRef>
              <c:f>Pivot!$J$38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Pivot!$I$39:$I$64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Pivot!$J$39:$J$64</c:f>
              <c:numCache>
                <c:formatCode>_-* #,##0_-;\-* #,##0_-;_-* "-"??_-;_-@_-</c:formatCode>
                <c:ptCount val="25"/>
                <c:pt idx="0">
                  <c:v>100</c:v>
                </c:pt>
                <c:pt idx="1">
                  <c:v>11</c:v>
                </c:pt>
                <c:pt idx="2">
                  <c:v>264</c:v>
                </c:pt>
                <c:pt idx="3">
                  <c:v>72</c:v>
                </c:pt>
                <c:pt idx="4">
                  <c:v>71</c:v>
                </c:pt>
                <c:pt idx="5">
                  <c:v>179</c:v>
                </c:pt>
                <c:pt idx="6">
                  <c:v>91</c:v>
                </c:pt>
                <c:pt idx="7">
                  <c:v>201</c:v>
                </c:pt>
                <c:pt idx="8">
                  <c:v>150</c:v>
                </c:pt>
                <c:pt idx="9">
                  <c:v>171</c:v>
                </c:pt>
                <c:pt idx="10">
                  <c:v>122</c:v>
                </c:pt>
                <c:pt idx="11">
                  <c:v>85</c:v>
                </c:pt>
                <c:pt idx="12">
                  <c:v>140</c:v>
                </c:pt>
                <c:pt idx="13">
                  <c:v>80</c:v>
                </c:pt>
                <c:pt idx="14">
                  <c:v>143</c:v>
                </c:pt>
                <c:pt idx="15">
                  <c:v>44</c:v>
                </c:pt>
                <c:pt idx="16">
                  <c:v>226</c:v>
                </c:pt>
                <c:pt idx="17">
                  <c:v>258</c:v>
                </c:pt>
                <c:pt idx="18">
                  <c:v>84</c:v>
                </c:pt>
                <c:pt idx="19">
                  <c:v>99</c:v>
                </c:pt>
                <c:pt idx="20">
                  <c:v>130</c:v>
                </c:pt>
                <c:pt idx="21">
                  <c:v>151</c:v>
                </c:pt>
                <c:pt idx="22">
                  <c:v>50</c:v>
                </c:pt>
                <c:pt idx="23">
                  <c:v>50</c:v>
                </c:pt>
              </c:numCache>
            </c:numRef>
          </c:val>
          <c:extLst>
            <c:ext xmlns:c16="http://schemas.microsoft.com/office/drawing/2014/chart" uri="{C3380CC4-5D6E-409C-BE32-E72D297353CC}">
              <c16:uniqueId val="{00000000-BFEA-4D2E-95ED-0893CE655F3D}"/>
            </c:ext>
          </c:extLst>
        </c:ser>
        <c:dLbls>
          <c:dLblPos val="outEnd"/>
          <c:showLegendKey val="0"/>
          <c:showVal val="1"/>
          <c:showCatName val="0"/>
          <c:showSerName val="0"/>
          <c:showPercent val="0"/>
          <c:showBubbleSize val="0"/>
        </c:dLbls>
        <c:gapWidth val="100"/>
        <c:overlap val="-24"/>
        <c:axId val="1892813903"/>
        <c:axId val="1892814319"/>
      </c:barChart>
      <c:catAx>
        <c:axId val="1892813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814319"/>
        <c:crosses val="autoZero"/>
        <c:auto val="1"/>
        <c:lblAlgn val="ctr"/>
        <c:lblOffset val="100"/>
        <c:noMultiLvlLbl val="0"/>
      </c:catAx>
      <c:valAx>
        <c:axId val="1892814319"/>
        <c:scaling>
          <c:orientation val="minMax"/>
        </c:scaling>
        <c:delete val="1"/>
        <c:axPos val="l"/>
        <c:numFmt formatCode="_-* #,##0_-;\-* #,##0_-;_-* &quot;-&quot;??_-;_-@_-" sourceLinked="1"/>
        <c:majorTickMark val="none"/>
        <c:minorTickMark val="none"/>
        <c:tickLblPos val="nextTo"/>
        <c:crossAx val="189281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5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2022.xlsx]Pivot!PivotTable8</c:name>
    <c:fmtId val="19"/>
  </c:pivotSource>
  <c:chart>
    <c:autoTitleDeleted val="1"/>
    <c:pivotFmts>
      <c:pivotFmt>
        <c:idx val="0"/>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05467154342269E-2"/>
          <c:y val="2.5428331875182269E-2"/>
          <c:w val="0.91367023940772862"/>
          <c:h val="0.59877114319043456"/>
        </c:manualLayout>
      </c:layout>
      <c:barChart>
        <c:barDir val="col"/>
        <c:grouping val="clustered"/>
        <c:varyColors val="0"/>
        <c:ser>
          <c:idx val="0"/>
          <c:order val="0"/>
          <c:tx>
            <c:strRef>
              <c:f>Pivot!$B$103</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Pivot!$A$104:$A$129</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Pivot!$B$104:$B$129</c:f>
              <c:numCache>
                <c:formatCode>#,##0,</c:formatCode>
                <c:ptCount val="25"/>
                <c:pt idx="0">
                  <c:v>60711242.931914002</c:v>
                </c:pt>
                <c:pt idx="1">
                  <c:v>0</c:v>
                </c:pt>
                <c:pt idx="2">
                  <c:v>219353708.51946479</c:v>
                </c:pt>
                <c:pt idx="3">
                  <c:v>10925068.305635199</c:v>
                </c:pt>
                <c:pt idx="4">
                  <c:v>21656340.598848701</c:v>
                </c:pt>
                <c:pt idx="5">
                  <c:v>235028556.1070326</c:v>
                </c:pt>
                <c:pt idx="6">
                  <c:v>107341491.285384</c:v>
                </c:pt>
                <c:pt idx="7">
                  <c:v>84827094.871650994</c:v>
                </c:pt>
                <c:pt idx="8">
                  <c:v>26329536.376137</c:v>
                </c:pt>
                <c:pt idx="9">
                  <c:v>40808152.4324774</c:v>
                </c:pt>
                <c:pt idx="10">
                  <c:v>56670202.025511995</c:v>
                </c:pt>
                <c:pt idx="11">
                  <c:v>24600552.441328198</c:v>
                </c:pt>
                <c:pt idx="12">
                  <c:v>61599085.712575197</c:v>
                </c:pt>
                <c:pt idx="13">
                  <c:v>17741953</c:v>
                </c:pt>
                <c:pt idx="14">
                  <c:v>73015679.816096008</c:v>
                </c:pt>
                <c:pt idx="15">
                  <c:v>86380080.6938546</c:v>
                </c:pt>
                <c:pt idx="16">
                  <c:v>146084940.82856399</c:v>
                </c:pt>
                <c:pt idx="17">
                  <c:v>257038537.34974399</c:v>
                </c:pt>
                <c:pt idx="18">
                  <c:v>53287580.963663995</c:v>
                </c:pt>
                <c:pt idx="19">
                  <c:v>83852168.326169595</c:v>
                </c:pt>
                <c:pt idx="20">
                  <c:v>41857496.264614403</c:v>
                </c:pt>
                <c:pt idx="21">
                  <c:v>113240800.6881156</c:v>
                </c:pt>
                <c:pt idx="22">
                  <c:v>20209158.659412801</c:v>
                </c:pt>
                <c:pt idx="23">
                  <c:v>24779604.609463997</c:v>
                </c:pt>
              </c:numCache>
            </c:numRef>
          </c:val>
          <c:extLst>
            <c:ext xmlns:c16="http://schemas.microsoft.com/office/drawing/2014/chart" uri="{C3380CC4-5D6E-409C-BE32-E72D297353CC}">
              <c16:uniqueId val="{00000000-CA1F-4E8A-9DD4-CAA851698A94}"/>
            </c:ext>
          </c:extLst>
        </c:ser>
        <c:dLbls>
          <c:dLblPos val="outEnd"/>
          <c:showLegendKey val="0"/>
          <c:showVal val="1"/>
          <c:showCatName val="0"/>
          <c:showSerName val="0"/>
          <c:showPercent val="0"/>
          <c:showBubbleSize val="0"/>
        </c:dLbls>
        <c:gapWidth val="100"/>
        <c:overlap val="-24"/>
        <c:axId val="2040832799"/>
        <c:axId val="2040828223"/>
      </c:barChart>
      <c:catAx>
        <c:axId val="2040832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28223"/>
        <c:crosses val="autoZero"/>
        <c:auto val="1"/>
        <c:lblAlgn val="ctr"/>
        <c:lblOffset val="100"/>
        <c:noMultiLvlLbl val="0"/>
      </c:catAx>
      <c:valAx>
        <c:axId val="20408282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2022.xlsx]Pivot!PivotTable15</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Pivot!$J$106</c:f>
              <c:strCache>
                <c:ptCount val="1"/>
                <c:pt idx="0">
                  <c:v>Gifts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Pivot!$J$107</c:f>
              <c:numCache>
                <c:formatCode>General</c:formatCode>
                <c:ptCount val="1"/>
                <c:pt idx="0">
                  <c:v>48</c:v>
                </c:pt>
              </c:numCache>
            </c:numRef>
          </c:val>
          <c:extLst>
            <c:ext xmlns:c16="http://schemas.microsoft.com/office/drawing/2014/chart" uri="{C3380CC4-5D6E-409C-BE32-E72D297353CC}">
              <c16:uniqueId val="{00000000-99A8-4D1B-BE37-A313789A1BD1}"/>
            </c:ext>
          </c:extLst>
        </c:ser>
        <c:ser>
          <c:idx val="1"/>
          <c:order val="1"/>
          <c:tx>
            <c:strRef>
              <c:f>Pivot!$K$106</c:f>
              <c:strCache>
                <c:ptCount val="1"/>
                <c:pt idx="0">
                  <c:v>Car club/Sponsor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Pivot!$K$107</c:f>
              <c:numCache>
                <c:formatCode>General</c:formatCode>
                <c:ptCount val="1"/>
                <c:pt idx="0">
                  <c:v>9</c:v>
                </c:pt>
              </c:numCache>
            </c:numRef>
          </c:val>
          <c:extLst>
            <c:ext xmlns:c16="http://schemas.microsoft.com/office/drawing/2014/chart" uri="{C3380CC4-5D6E-409C-BE32-E72D297353CC}">
              <c16:uniqueId val="{00000001-99A8-4D1B-BE37-A313789A1BD1}"/>
            </c:ext>
          </c:extLst>
        </c:ser>
        <c:ser>
          <c:idx val="2"/>
          <c:order val="2"/>
          <c:tx>
            <c:strRef>
              <c:f>Pivot!$L$106</c:f>
              <c:strCache>
                <c:ptCount val="1"/>
                <c:pt idx="0">
                  <c:v>E mail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Pivot!$L$107</c:f>
              <c:numCache>
                <c:formatCode>General</c:formatCode>
                <c:ptCount val="1"/>
                <c:pt idx="0">
                  <c:v>37</c:v>
                </c:pt>
              </c:numCache>
            </c:numRef>
          </c:val>
          <c:extLst>
            <c:ext xmlns:c16="http://schemas.microsoft.com/office/drawing/2014/chart" uri="{C3380CC4-5D6E-409C-BE32-E72D297353CC}">
              <c16:uniqueId val="{00000002-99A8-4D1B-BE37-A313789A1BD1}"/>
            </c:ext>
          </c:extLst>
        </c:ser>
        <c:ser>
          <c:idx val="3"/>
          <c:order val="3"/>
          <c:tx>
            <c:strRef>
              <c:f>Pivot!$M$106</c:f>
              <c:strCache>
                <c:ptCount val="1"/>
                <c:pt idx="0">
                  <c:v>Google Adwords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Pivot!$M$107</c:f>
              <c:numCache>
                <c:formatCode>General</c:formatCode>
                <c:ptCount val="1"/>
                <c:pt idx="0">
                  <c:v>8859</c:v>
                </c:pt>
              </c:numCache>
            </c:numRef>
          </c:val>
          <c:extLst>
            <c:ext xmlns:c16="http://schemas.microsoft.com/office/drawing/2014/chart" uri="{C3380CC4-5D6E-409C-BE32-E72D297353CC}">
              <c16:uniqueId val="{00000003-99A8-4D1B-BE37-A313789A1BD1}"/>
            </c:ext>
          </c:extLst>
        </c:ser>
        <c:ser>
          <c:idx val="4"/>
          <c:order val="4"/>
          <c:tx>
            <c:strRef>
              <c:f>Pivot!$N$106</c:f>
              <c:strCache>
                <c:ptCount val="1"/>
                <c:pt idx="0">
                  <c:v>Facebook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Pivot!$N$107</c:f>
              <c:numCache>
                <c:formatCode>General</c:formatCode>
                <c:ptCount val="1"/>
                <c:pt idx="0">
                  <c:v>14815</c:v>
                </c:pt>
              </c:numCache>
            </c:numRef>
          </c:val>
          <c:extLst>
            <c:ext xmlns:c16="http://schemas.microsoft.com/office/drawing/2014/chart" uri="{C3380CC4-5D6E-409C-BE32-E72D297353CC}">
              <c16:uniqueId val="{00000004-99A8-4D1B-BE37-A313789A1BD1}"/>
            </c:ext>
          </c:extLst>
        </c:ser>
        <c:ser>
          <c:idx val="5"/>
          <c:order val="5"/>
          <c:tx>
            <c:strRef>
              <c:f>Pivot!$O$106</c:f>
              <c:strCache>
                <c:ptCount val="1"/>
                <c:pt idx="0">
                  <c:v>TV/Radio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Pivot!$O$107</c:f>
              <c:numCache>
                <c:formatCode>General</c:formatCode>
                <c:ptCount val="1"/>
                <c:pt idx="0">
                  <c:v>15</c:v>
                </c:pt>
              </c:numCache>
            </c:numRef>
          </c:val>
          <c:extLst>
            <c:ext xmlns:c16="http://schemas.microsoft.com/office/drawing/2014/chart" uri="{C3380CC4-5D6E-409C-BE32-E72D297353CC}">
              <c16:uniqueId val="{00000005-99A8-4D1B-BE37-A313789A1BD1}"/>
            </c:ext>
          </c:extLst>
        </c:ser>
        <c:ser>
          <c:idx val="6"/>
          <c:order val="6"/>
          <c:tx>
            <c:strRef>
              <c:f>Pivot!$P$106</c:f>
              <c:strCache>
                <c:ptCount val="1"/>
                <c:pt idx="0">
                  <c:v>Biển bảng/OOH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Pivot!$P$107</c:f>
              <c:numCache>
                <c:formatCode>General</c:formatCode>
                <c:ptCount val="1"/>
                <c:pt idx="0">
                  <c:v>149</c:v>
                </c:pt>
              </c:numCache>
            </c:numRef>
          </c:val>
          <c:extLst>
            <c:ext xmlns:c16="http://schemas.microsoft.com/office/drawing/2014/chart" uri="{C3380CC4-5D6E-409C-BE32-E72D297353CC}">
              <c16:uniqueId val="{00000006-99A8-4D1B-BE37-A313789A1BD1}"/>
            </c:ext>
          </c:extLst>
        </c:ser>
        <c:ser>
          <c:idx val="7"/>
          <c:order val="7"/>
          <c:tx>
            <c:strRef>
              <c:f>Pivot!$Q$106</c:f>
              <c:strCache>
                <c:ptCount val="1"/>
                <c:pt idx="0">
                  <c:v>SMS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Pivot!$Q$107</c:f>
              <c:numCache>
                <c:formatCode>General</c:formatCode>
                <c:ptCount val="1"/>
                <c:pt idx="0">
                  <c:v>202</c:v>
                </c:pt>
              </c:numCache>
            </c:numRef>
          </c:val>
          <c:extLst>
            <c:ext xmlns:c16="http://schemas.microsoft.com/office/drawing/2014/chart" uri="{C3380CC4-5D6E-409C-BE32-E72D297353CC}">
              <c16:uniqueId val="{00000007-99A8-4D1B-BE37-A313789A1BD1}"/>
            </c:ext>
          </c:extLst>
        </c:ser>
        <c:ser>
          <c:idx val="8"/>
          <c:order val="8"/>
          <c:tx>
            <c:strRef>
              <c:f>Pivot!$R$106</c:f>
              <c:strCache>
                <c:ptCount val="1"/>
                <c:pt idx="0">
                  <c:v>Online banner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Pivot!$R$107</c:f>
              <c:numCache>
                <c:formatCode>General</c:formatCode>
                <c:ptCount val="1"/>
                <c:pt idx="0">
                  <c:v>818</c:v>
                </c:pt>
              </c:numCache>
            </c:numRef>
          </c:val>
          <c:extLst>
            <c:ext xmlns:c16="http://schemas.microsoft.com/office/drawing/2014/chart" uri="{C3380CC4-5D6E-409C-BE32-E72D297353CC}">
              <c16:uniqueId val="{00000008-99A8-4D1B-BE37-A313789A1BD1}"/>
            </c:ext>
          </c:extLst>
        </c:ser>
        <c:ser>
          <c:idx val="9"/>
          <c:order val="9"/>
          <c:tx>
            <c:strRef>
              <c:f>Pivot!$S$106</c:f>
              <c:strCache>
                <c:ptCount val="1"/>
                <c:pt idx="0">
                  <c:v>Zalo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Pivot!$S$107</c:f>
              <c:numCache>
                <c:formatCode>General</c:formatCode>
                <c:ptCount val="1"/>
                <c:pt idx="0">
                  <c:v>1872</c:v>
                </c:pt>
              </c:numCache>
            </c:numRef>
          </c:val>
          <c:extLst>
            <c:ext xmlns:c16="http://schemas.microsoft.com/office/drawing/2014/chart" uri="{C3380CC4-5D6E-409C-BE32-E72D297353CC}">
              <c16:uniqueId val="{00000009-99A8-4D1B-BE37-A313789A1BD1}"/>
            </c:ext>
          </c:extLst>
        </c:ser>
        <c:ser>
          <c:idx val="10"/>
          <c:order val="10"/>
          <c:tx>
            <c:strRef>
              <c:f>Pivot!$T$106</c:f>
              <c:strCache>
                <c:ptCount val="1"/>
                <c:pt idx="0">
                  <c:v>Print Ads/ PR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Pivot!$T$107</c:f>
              <c:numCache>
                <c:formatCode>General</c:formatCode>
                <c:ptCount val="1"/>
                <c:pt idx="0">
                  <c:v>78</c:v>
                </c:pt>
              </c:numCache>
            </c:numRef>
          </c:val>
          <c:extLst>
            <c:ext xmlns:c16="http://schemas.microsoft.com/office/drawing/2014/chart" uri="{C3380CC4-5D6E-409C-BE32-E72D297353CC}">
              <c16:uniqueId val="{0000000A-99A8-4D1B-BE37-A313789A1BD1}"/>
            </c:ext>
          </c:extLst>
        </c:ser>
        <c:ser>
          <c:idx val="11"/>
          <c:order val="11"/>
          <c:tx>
            <c:strRef>
              <c:f>Pivot!$U$106</c:f>
              <c:strCache>
                <c:ptCount val="1"/>
                <c:pt idx="0">
                  <c:v>Youtube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Pivot!$U$107</c:f>
              <c:numCache>
                <c:formatCode>General</c:formatCode>
                <c:ptCount val="1"/>
                <c:pt idx="0">
                  <c:v>512</c:v>
                </c:pt>
              </c:numCache>
            </c:numRef>
          </c:val>
          <c:extLst>
            <c:ext xmlns:c16="http://schemas.microsoft.com/office/drawing/2014/chart" uri="{C3380CC4-5D6E-409C-BE32-E72D297353CC}">
              <c16:uniqueId val="{0000000B-99A8-4D1B-BE37-A313789A1BD1}"/>
            </c:ext>
          </c:extLst>
        </c:ser>
        <c:ser>
          <c:idx val="12"/>
          <c:order val="12"/>
          <c:tx>
            <c:strRef>
              <c:f>Pivot!$V$106</c:f>
              <c:strCache>
                <c:ptCount val="1"/>
                <c:pt idx="0">
                  <c:v>Sự kiện(lái thử/ roadshow)</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Pivot!$V$107</c:f>
              <c:numCache>
                <c:formatCode>General</c:formatCode>
                <c:ptCount val="1"/>
                <c:pt idx="0">
                  <c:v>8603</c:v>
                </c:pt>
              </c:numCache>
            </c:numRef>
          </c:val>
          <c:extLst>
            <c:ext xmlns:c16="http://schemas.microsoft.com/office/drawing/2014/chart" uri="{C3380CC4-5D6E-409C-BE32-E72D297353CC}">
              <c16:uniqueId val="{0000000C-99A8-4D1B-BE37-A313789A1BD1}"/>
            </c:ext>
          </c:extLst>
        </c:ser>
        <c:ser>
          <c:idx val="13"/>
          <c:order val="13"/>
          <c:tx>
            <c:strRef>
              <c:f>Pivot!$W$106</c:f>
              <c:strCache>
                <c:ptCount val="1"/>
                <c:pt idx="0">
                  <c:v>KH Showroom</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Pivot!$W$107</c:f>
              <c:numCache>
                <c:formatCode>General</c:formatCode>
                <c:ptCount val="1"/>
                <c:pt idx="0">
                  <c:v>9688</c:v>
                </c:pt>
              </c:numCache>
            </c:numRef>
          </c:val>
          <c:extLst>
            <c:ext xmlns:c16="http://schemas.microsoft.com/office/drawing/2014/chart" uri="{C3380CC4-5D6E-409C-BE32-E72D297353CC}">
              <c16:uniqueId val="{0000000D-99A8-4D1B-BE37-A313789A1BD1}"/>
            </c:ext>
          </c:extLst>
        </c:ser>
        <c:ser>
          <c:idx val="14"/>
          <c:order val="14"/>
          <c:tx>
            <c:strRef>
              <c:f>Pivot!$X$106</c:f>
              <c:strCache>
                <c:ptCount val="1"/>
                <c:pt idx="0">
                  <c:v>Khác</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Pivot!$J$107</c:f>
              <c:strCache>
                <c:ptCount val="1"/>
                <c:pt idx="0">
                  <c:v>Total</c:v>
                </c:pt>
              </c:strCache>
            </c:strRef>
          </c:cat>
          <c:val>
            <c:numRef>
              <c:f>Pivot!$X$107</c:f>
              <c:numCache>
                <c:formatCode>General</c:formatCode>
                <c:ptCount val="1"/>
                <c:pt idx="0">
                  <c:v>1748</c:v>
                </c:pt>
              </c:numCache>
            </c:numRef>
          </c:val>
          <c:extLst>
            <c:ext xmlns:c16="http://schemas.microsoft.com/office/drawing/2014/chart" uri="{C3380CC4-5D6E-409C-BE32-E72D297353CC}">
              <c16:uniqueId val="{0000000F-99A8-4D1B-BE37-A313789A1BD1}"/>
            </c:ext>
          </c:extLst>
        </c:ser>
        <c:dLbls>
          <c:dLblPos val="outEnd"/>
          <c:showLegendKey val="0"/>
          <c:showVal val="1"/>
          <c:showCatName val="0"/>
          <c:showSerName val="0"/>
          <c:showPercent val="0"/>
          <c:showBubbleSize val="0"/>
        </c:dLbls>
        <c:gapWidth val="100"/>
        <c:overlap val="-24"/>
        <c:axId val="2040846111"/>
        <c:axId val="2040846527"/>
      </c:barChart>
      <c:catAx>
        <c:axId val="2040846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46527"/>
        <c:crosses val="autoZero"/>
        <c:auto val="1"/>
        <c:lblAlgn val="ctr"/>
        <c:lblOffset val="100"/>
        <c:noMultiLvlLbl val="0"/>
      </c:catAx>
      <c:valAx>
        <c:axId val="2040846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4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8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2022.xlsx]Pivot!PivotTable17</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8.2829420456993583E-2"/>
          <c:y val="5.0925925925925923E-2"/>
          <c:w val="0.88963514664441234"/>
          <c:h val="0.62002843394575691"/>
        </c:manualLayout>
      </c:layout>
      <c:barChart>
        <c:barDir val="col"/>
        <c:grouping val="clustered"/>
        <c:varyColors val="0"/>
        <c:ser>
          <c:idx val="0"/>
          <c:order val="0"/>
          <c:tx>
            <c:strRef>
              <c:f>Pivot!$J$111</c:f>
              <c:strCache>
                <c:ptCount val="1"/>
                <c:pt idx="0">
                  <c:v>Gifts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Pivot!$J$112</c:f>
              <c:numCache>
                <c:formatCode>General</c:formatCode>
                <c:ptCount val="1"/>
                <c:pt idx="0">
                  <c:v>712.2</c:v>
                </c:pt>
              </c:numCache>
            </c:numRef>
          </c:val>
          <c:extLst>
            <c:ext xmlns:c16="http://schemas.microsoft.com/office/drawing/2014/chart" uri="{C3380CC4-5D6E-409C-BE32-E72D297353CC}">
              <c16:uniqueId val="{00000000-BF33-4FA6-8582-531C86833786}"/>
            </c:ext>
          </c:extLst>
        </c:ser>
        <c:ser>
          <c:idx val="1"/>
          <c:order val="1"/>
          <c:tx>
            <c:strRef>
              <c:f>Pivot!$K$111</c:f>
              <c:strCache>
                <c:ptCount val="1"/>
                <c:pt idx="0">
                  <c:v>Car club/Sponsor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Pivot!$K$112</c:f>
              <c:numCache>
                <c:formatCode>General</c:formatCode>
                <c:ptCount val="1"/>
                <c:pt idx="0">
                  <c:v>48.9</c:v>
                </c:pt>
              </c:numCache>
            </c:numRef>
          </c:val>
          <c:extLst>
            <c:ext xmlns:c16="http://schemas.microsoft.com/office/drawing/2014/chart" uri="{C3380CC4-5D6E-409C-BE32-E72D297353CC}">
              <c16:uniqueId val="{00000001-BF33-4FA6-8582-531C86833786}"/>
            </c:ext>
          </c:extLst>
        </c:ser>
        <c:ser>
          <c:idx val="2"/>
          <c:order val="2"/>
          <c:tx>
            <c:strRef>
              <c:f>Pivot!$L$111</c:f>
              <c:strCache>
                <c:ptCount val="1"/>
                <c:pt idx="0">
                  <c:v>E mail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Pivot!$L$112</c:f>
              <c:numCache>
                <c:formatCode>General</c:formatCode>
                <c:ptCount val="1"/>
                <c:pt idx="0">
                  <c:v>41.436999999999998</c:v>
                </c:pt>
              </c:numCache>
            </c:numRef>
          </c:val>
          <c:extLst>
            <c:ext xmlns:c16="http://schemas.microsoft.com/office/drawing/2014/chart" uri="{C3380CC4-5D6E-409C-BE32-E72D297353CC}">
              <c16:uniqueId val="{00000002-BF33-4FA6-8582-531C86833786}"/>
            </c:ext>
          </c:extLst>
        </c:ser>
        <c:ser>
          <c:idx val="3"/>
          <c:order val="3"/>
          <c:tx>
            <c:strRef>
              <c:f>Pivot!$M$111</c:f>
              <c:strCache>
                <c:ptCount val="1"/>
                <c:pt idx="0">
                  <c:v>Google Adwords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Pivot!$M$112</c:f>
              <c:numCache>
                <c:formatCode>General</c:formatCode>
                <c:ptCount val="1"/>
                <c:pt idx="0">
                  <c:v>4044.76</c:v>
                </c:pt>
              </c:numCache>
            </c:numRef>
          </c:val>
          <c:extLst>
            <c:ext xmlns:c16="http://schemas.microsoft.com/office/drawing/2014/chart" uri="{C3380CC4-5D6E-409C-BE32-E72D297353CC}">
              <c16:uniqueId val="{00000003-BF33-4FA6-8582-531C86833786}"/>
            </c:ext>
          </c:extLst>
        </c:ser>
        <c:ser>
          <c:idx val="4"/>
          <c:order val="4"/>
          <c:tx>
            <c:strRef>
              <c:f>Pivot!$N$111</c:f>
              <c:strCache>
                <c:ptCount val="1"/>
                <c:pt idx="0">
                  <c:v>Facebook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Pivot!$N$112</c:f>
              <c:numCache>
                <c:formatCode>General</c:formatCode>
                <c:ptCount val="1"/>
                <c:pt idx="0">
                  <c:v>5412.3450000000003</c:v>
                </c:pt>
              </c:numCache>
            </c:numRef>
          </c:val>
          <c:extLst>
            <c:ext xmlns:c16="http://schemas.microsoft.com/office/drawing/2014/chart" uri="{C3380CC4-5D6E-409C-BE32-E72D297353CC}">
              <c16:uniqueId val="{00000004-BF33-4FA6-8582-531C86833786}"/>
            </c:ext>
          </c:extLst>
        </c:ser>
        <c:ser>
          <c:idx val="5"/>
          <c:order val="5"/>
          <c:tx>
            <c:strRef>
              <c:f>Pivot!$O$111</c:f>
              <c:strCache>
                <c:ptCount val="1"/>
                <c:pt idx="0">
                  <c:v>TV/Radio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Pivot!$O$112</c:f>
              <c:numCache>
                <c:formatCode>General</c:formatCode>
                <c:ptCount val="1"/>
                <c:pt idx="0">
                  <c:v>12</c:v>
                </c:pt>
              </c:numCache>
            </c:numRef>
          </c:val>
          <c:extLst>
            <c:ext xmlns:c16="http://schemas.microsoft.com/office/drawing/2014/chart" uri="{C3380CC4-5D6E-409C-BE32-E72D297353CC}">
              <c16:uniqueId val="{00000005-BF33-4FA6-8582-531C86833786}"/>
            </c:ext>
          </c:extLst>
        </c:ser>
        <c:ser>
          <c:idx val="6"/>
          <c:order val="6"/>
          <c:tx>
            <c:strRef>
              <c:f>Pivot!$P$111</c:f>
              <c:strCache>
                <c:ptCount val="1"/>
                <c:pt idx="0">
                  <c:v>Biển bảng/ OOH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Pivot!$P$112</c:f>
              <c:numCache>
                <c:formatCode>General</c:formatCode>
                <c:ptCount val="1"/>
                <c:pt idx="0">
                  <c:v>1839.5499999999993</c:v>
                </c:pt>
              </c:numCache>
            </c:numRef>
          </c:val>
          <c:extLst>
            <c:ext xmlns:c16="http://schemas.microsoft.com/office/drawing/2014/chart" uri="{C3380CC4-5D6E-409C-BE32-E72D297353CC}">
              <c16:uniqueId val="{00000006-BF33-4FA6-8582-531C86833786}"/>
            </c:ext>
          </c:extLst>
        </c:ser>
        <c:ser>
          <c:idx val="7"/>
          <c:order val="7"/>
          <c:tx>
            <c:strRef>
              <c:f>Pivot!$Q$111</c:f>
              <c:strCache>
                <c:ptCount val="1"/>
                <c:pt idx="0">
                  <c:v>SMS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Pivot!$Q$112</c:f>
              <c:numCache>
                <c:formatCode>General</c:formatCode>
                <c:ptCount val="1"/>
                <c:pt idx="0">
                  <c:v>339.46300000000014</c:v>
                </c:pt>
              </c:numCache>
            </c:numRef>
          </c:val>
          <c:extLst>
            <c:ext xmlns:c16="http://schemas.microsoft.com/office/drawing/2014/chart" uri="{C3380CC4-5D6E-409C-BE32-E72D297353CC}">
              <c16:uniqueId val="{00000007-BF33-4FA6-8582-531C86833786}"/>
            </c:ext>
          </c:extLst>
        </c:ser>
        <c:ser>
          <c:idx val="8"/>
          <c:order val="8"/>
          <c:tx>
            <c:strRef>
              <c:f>Pivot!$R$111</c:f>
              <c:strCache>
                <c:ptCount val="1"/>
                <c:pt idx="0">
                  <c:v>Online banner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Pivot!$R$112</c:f>
              <c:numCache>
                <c:formatCode>General</c:formatCode>
                <c:ptCount val="1"/>
                <c:pt idx="0">
                  <c:v>1268.8389999999999</c:v>
                </c:pt>
              </c:numCache>
            </c:numRef>
          </c:val>
          <c:extLst>
            <c:ext xmlns:c16="http://schemas.microsoft.com/office/drawing/2014/chart" uri="{C3380CC4-5D6E-409C-BE32-E72D297353CC}">
              <c16:uniqueId val="{00000008-BF33-4FA6-8582-531C86833786}"/>
            </c:ext>
          </c:extLst>
        </c:ser>
        <c:ser>
          <c:idx val="9"/>
          <c:order val="9"/>
          <c:tx>
            <c:strRef>
              <c:f>Pivot!$S$111</c:f>
              <c:strCache>
                <c:ptCount val="1"/>
                <c:pt idx="0">
                  <c:v>Zalo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Pivot!$S$112</c:f>
              <c:numCache>
                <c:formatCode>General</c:formatCode>
                <c:ptCount val="1"/>
                <c:pt idx="0">
                  <c:v>518.11599999999999</c:v>
                </c:pt>
              </c:numCache>
            </c:numRef>
          </c:val>
          <c:extLst>
            <c:ext xmlns:c16="http://schemas.microsoft.com/office/drawing/2014/chart" uri="{C3380CC4-5D6E-409C-BE32-E72D297353CC}">
              <c16:uniqueId val="{00000009-BF33-4FA6-8582-531C86833786}"/>
            </c:ext>
          </c:extLst>
        </c:ser>
        <c:ser>
          <c:idx val="10"/>
          <c:order val="10"/>
          <c:tx>
            <c:strRef>
              <c:f>Pivot!$T$111</c:f>
              <c:strCache>
                <c:ptCount val="1"/>
                <c:pt idx="0">
                  <c:v>Print Ads/ PR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Pivot!$T$112</c:f>
              <c:numCache>
                <c:formatCode>General</c:formatCode>
                <c:ptCount val="1"/>
                <c:pt idx="0">
                  <c:v>378.4</c:v>
                </c:pt>
              </c:numCache>
            </c:numRef>
          </c:val>
          <c:extLst>
            <c:ext xmlns:c16="http://schemas.microsoft.com/office/drawing/2014/chart" uri="{C3380CC4-5D6E-409C-BE32-E72D297353CC}">
              <c16:uniqueId val="{0000000A-BF33-4FA6-8582-531C86833786}"/>
            </c:ext>
          </c:extLst>
        </c:ser>
        <c:ser>
          <c:idx val="11"/>
          <c:order val="11"/>
          <c:tx>
            <c:strRef>
              <c:f>Pivot!$U$111</c:f>
              <c:strCache>
                <c:ptCount val="1"/>
                <c:pt idx="0">
                  <c:v>Youtube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Pivot!$U$112</c:f>
              <c:numCache>
                <c:formatCode>General</c:formatCode>
                <c:ptCount val="1"/>
                <c:pt idx="0">
                  <c:v>461.69</c:v>
                </c:pt>
              </c:numCache>
            </c:numRef>
          </c:val>
          <c:extLst>
            <c:ext xmlns:c16="http://schemas.microsoft.com/office/drawing/2014/chart" uri="{C3380CC4-5D6E-409C-BE32-E72D297353CC}">
              <c16:uniqueId val="{0000000B-BF33-4FA6-8582-531C86833786}"/>
            </c:ext>
          </c:extLst>
        </c:ser>
        <c:ser>
          <c:idx val="12"/>
          <c:order val="12"/>
          <c:tx>
            <c:strRef>
              <c:f>Pivot!$V$111</c:f>
              <c:strCache>
                <c:ptCount val="1"/>
                <c:pt idx="0">
                  <c:v>Sự kiện(lái thử/ roadshow)</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Pivot!$V$112</c:f>
              <c:numCache>
                <c:formatCode>General</c:formatCode>
                <c:ptCount val="1"/>
                <c:pt idx="0">
                  <c:v>6428.5150000000003</c:v>
                </c:pt>
              </c:numCache>
            </c:numRef>
          </c:val>
          <c:extLst>
            <c:ext xmlns:c16="http://schemas.microsoft.com/office/drawing/2014/chart" uri="{C3380CC4-5D6E-409C-BE32-E72D297353CC}">
              <c16:uniqueId val="{0000000C-BF33-4FA6-8582-531C86833786}"/>
            </c:ext>
          </c:extLst>
        </c:ser>
        <c:ser>
          <c:idx val="13"/>
          <c:order val="13"/>
          <c:tx>
            <c:strRef>
              <c:f>Pivot!$W$111</c:f>
              <c:strCache>
                <c:ptCount val="1"/>
                <c:pt idx="0">
                  <c:v>KH Showroom</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Pivot!$W$112</c:f>
              <c:numCache>
                <c:formatCode>General</c:formatCode>
                <c:ptCount val="1"/>
                <c:pt idx="0">
                  <c:v>115</c:v>
                </c:pt>
              </c:numCache>
            </c:numRef>
          </c:val>
          <c:extLst>
            <c:ext xmlns:c16="http://schemas.microsoft.com/office/drawing/2014/chart" uri="{C3380CC4-5D6E-409C-BE32-E72D297353CC}">
              <c16:uniqueId val="{0000000D-BF33-4FA6-8582-531C86833786}"/>
            </c:ext>
          </c:extLst>
        </c:ser>
        <c:ser>
          <c:idx val="14"/>
          <c:order val="14"/>
          <c:tx>
            <c:strRef>
              <c:f>Pivot!$X$111</c:f>
              <c:strCache>
                <c:ptCount val="1"/>
                <c:pt idx="0">
                  <c:v>Khác</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Pivot!$J$112</c:f>
              <c:strCache>
                <c:ptCount val="1"/>
                <c:pt idx="0">
                  <c:v>Total</c:v>
                </c:pt>
              </c:strCache>
            </c:strRef>
          </c:cat>
          <c:val>
            <c:numRef>
              <c:f>Pivot!$X$112</c:f>
              <c:numCache>
                <c:formatCode>General</c:formatCode>
                <c:ptCount val="1"/>
                <c:pt idx="0">
                  <c:v>475.8</c:v>
                </c:pt>
              </c:numCache>
            </c:numRef>
          </c:val>
          <c:extLst>
            <c:ext xmlns:c16="http://schemas.microsoft.com/office/drawing/2014/chart" uri="{C3380CC4-5D6E-409C-BE32-E72D297353CC}">
              <c16:uniqueId val="{0000000E-BF33-4FA6-8582-531C86833786}"/>
            </c:ext>
          </c:extLst>
        </c:ser>
        <c:dLbls>
          <c:showLegendKey val="0"/>
          <c:showVal val="0"/>
          <c:showCatName val="0"/>
          <c:showSerName val="0"/>
          <c:showPercent val="0"/>
          <c:showBubbleSize val="0"/>
        </c:dLbls>
        <c:gapWidth val="100"/>
        <c:overlap val="-24"/>
        <c:axId val="286531167"/>
        <c:axId val="286534495"/>
      </c:barChart>
      <c:catAx>
        <c:axId val="286531167"/>
        <c:scaling>
          <c:orientation val="minMax"/>
        </c:scaling>
        <c:delete val="1"/>
        <c:axPos val="b"/>
        <c:numFmt formatCode="General" sourceLinked="1"/>
        <c:majorTickMark val="none"/>
        <c:minorTickMark val="none"/>
        <c:tickLblPos val="nextTo"/>
        <c:crossAx val="286534495"/>
        <c:crosses val="autoZero"/>
        <c:auto val="1"/>
        <c:lblAlgn val="ctr"/>
        <c:lblOffset val="100"/>
        <c:noMultiLvlLbl val="0"/>
      </c:catAx>
      <c:valAx>
        <c:axId val="286534495"/>
        <c:scaling>
          <c:orientation val="minMax"/>
        </c:scaling>
        <c:delete val="1"/>
        <c:axPos val="l"/>
        <c:numFmt formatCode="General" sourceLinked="1"/>
        <c:majorTickMark val="none"/>
        <c:minorTickMark val="none"/>
        <c:tickLblPos val="nextTo"/>
        <c:crossAx val="286531167"/>
        <c:crosses val="autoZero"/>
        <c:crossBetween val="between"/>
      </c:valAx>
      <c:spPr>
        <a:noFill/>
        <a:ln>
          <a:noFill/>
        </a:ln>
        <a:effectLst/>
      </c:spPr>
    </c:plotArea>
    <c:legend>
      <c:legendPos val="b"/>
      <c:layout>
        <c:manualLayout>
          <c:xMode val="edge"/>
          <c:yMode val="edge"/>
          <c:x val="2.2573536064025696E-2"/>
          <c:y val="0.75983522892971722"/>
          <c:w val="0.96236239428571768"/>
          <c:h val="0.2123869932925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7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2022.xlsx]Pivot!PivotTable11</c:name>
    <c:fmtId val="1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7307975497375E-3"/>
          <c:y val="0.10185185185185185"/>
          <c:w val="0.93888888888888888"/>
          <c:h val="0.89814814814814814"/>
        </c:manualLayout>
      </c:layout>
      <c:barChart>
        <c:barDir val="col"/>
        <c:grouping val="clustered"/>
        <c:varyColors val="0"/>
        <c:ser>
          <c:idx val="0"/>
          <c:order val="0"/>
          <c:tx>
            <c:strRef>
              <c:f>Pivot!$AB$38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Pivot!$AA$39:$AA$64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Pivot!$AB$39:$AB$64</c:f>
              <c:numCache>
                <c:formatCode>0.00_);[Red]\(0.00\)</c:formatCode>
                <c:ptCount val="25"/>
                <c:pt idx="0">
                  <c:v>67</c:v>
                </c:pt>
                <c:pt idx="1">
                  <c:v>17</c:v>
                </c:pt>
                <c:pt idx="2">
                  <c:v>83</c:v>
                </c:pt>
                <c:pt idx="3">
                  <c:v>56</c:v>
                </c:pt>
                <c:pt idx="4">
                  <c:v>56</c:v>
                </c:pt>
                <c:pt idx="5">
                  <c:v>78</c:v>
                </c:pt>
                <c:pt idx="6">
                  <c:v>57</c:v>
                </c:pt>
                <c:pt idx="7">
                  <c:v>62</c:v>
                </c:pt>
                <c:pt idx="8">
                  <c:v>74</c:v>
                </c:pt>
                <c:pt idx="9">
                  <c:v>56</c:v>
                </c:pt>
                <c:pt idx="10">
                  <c:v>47</c:v>
                </c:pt>
                <c:pt idx="11">
                  <c:v>52</c:v>
                </c:pt>
                <c:pt idx="12">
                  <c:v>72</c:v>
                </c:pt>
                <c:pt idx="13">
                  <c:v>49</c:v>
                </c:pt>
                <c:pt idx="14">
                  <c:v>36</c:v>
                </c:pt>
                <c:pt idx="15">
                  <c:v>54</c:v>
                </c:pt>
                <c:pt idx="16">
                  <c:v>98</c:v>
                </c:pt>
                <c:pt idx="17">
                  <c:v>75</c:v>
                </c:pt>
                <c:pt idx="18">
                  <c:v>69</c:v>
                </c:pt>
                <c:pt idx="19">
                  <c:v>69</c:v>
                </c:pt>
                <c:pt idx="20">
                  <c:v>78</c:v>
                </c:pt>
                <c:pt idx="21">
                  <c:v>38</c:v>
                </c:pt>
                <c:pt idx="22">
                  <c:v>58</c:v>
                </c:pt>
                <c:pt idx="23">
                  <c:v>66</c:v>
                </c:pt>
              </c:numCache>
            </c:numRef>
          </c:val>
          <c:extLst>
            <c:ext xmlns:c16="http://schemas.microsoft.com/office/drawing/2014/chart" uri="{C3380CC4-5D6E-409C-BE32-E72D297353CC}">
              <c16:uniqueId val="{00000000-144E-47C6-8F5A-DF618434850C}"/>
            </c:ext>
          </c:extLst>
        </c:ser>
        <c:dLbls>
          <c:showLegendKey val="0"/>
          <c:showVal val="0"/>
          <c:showCatName val="0"/>
          <c:showSerName val="0"/>
          <c:showPercent val="0"/>
          <c:showBubbleSize val="0"/>
        </c:dLbls>
        <c:gapWidth val="100"/>
        <c:overlap val="-24"/>
        <c:axId val="1702173664"/>
        <c:axId val="1702171168"/>
      </c:barChart>
      <c:catAx>
        <c:axId val="1702173664"/>
        <c:scaling>
          <c:orientation val="minMax"/>
        </c:scaling>
        <c:delete val="1"/>
        <c:axPos val="b"/>
        <c:numFmt formatCode="General" sourceLinked="1"/>
        <c:majorTickMark val="none"/>
        <c:minorTickMark val="none"/>
        <c:tickLblPos val="nextTo"/>
        <c:crossAx val="1702171168"/>
        <c:crosses val="autoZero"/>
        <c:auto val="1"/>
        <c:lblAlgn val="ctr"/>
        <c:lblOffset val="100"/>
        <c:noMultiLvlLbl val="0"/>
      </c:catAx>
      <c:valAx>
        <c:axId val="1702171168"/>
        <c:scaling>
          <c:orientation val="minMax"/>
        </c:scaling>
        <c:delete val="1"/>
        <c:axPos val="l"/>
        <c:numFmt formatCode="0.00_);[Red]\(0.00\)" sourceLinked="1"/>
        <c:majorTickMark val="none"/>
        <c:minorTickMark val="none"/>
        <c:tickLblPos val="nextTo"/>
        <c:crossAx val="170217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2022.xlsx]Pivot!PivotTable18</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Pivot!$AF$19</c:f>
              <c:strCache>
                <c:ptCount val="1"/>
                <c:pt idx="0">
                  <c:v>Biển bảng/ OOH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Pivot!$AF$20:$AF$45</c:f>
              <c:numCache>
                <c:formatCode>General</c:formatCode>
                <c:ptCount val="25"/>
                <c:pt idx="0">
                  <c:v>8</c:v>
                </c:pt>
                <c:pt idx="2">
                  <c:v>10</c:v>
                </c:pt>
                <c:pt idx="3">
                  <c:v>8</c:v>
                </c:pt>
                <c:pt idx="4">
                  <c:v>5</c:v>
                </c:pt>
                <c:pt idx="5">
                  <c:v>11</c:v>
                </c:pt>
                <c:pt idx="7">
                  <c:v>11</c:v>
                </c:pt>
                <c:pt idx="8">
                  <c:v>7</c:v>
                </c:pt>
                <c:pt idx="9">
                  <c:v>1</c:v>
                </c:pt>
                <c:pt idx="10">
                  <c:v>5</c:v>
                </c:pt>
                <c:pt idx="11">
                  <c:v>6</c:v>
                </c:pt>
                <c:pt idx="12">
                  <c:v>5</c:v>
                </c:pt>
                <c:pt idx="13">
                  <c:v>1</c:v>
                </c:pt>
                <c:pt idx="15">
                  <c:v>1</c:v>
                </c:pt>
                <c:pt idx="16">
                  <c:v>2</c:v>
                </c:pt>
                <c:pt idx="17">
                  <c:v>10</c:v>
                </c:pt>
                <c:pt idx="18">
                  <c:v>5</c:v>
                </c:pt>
                <c:pt idx="19">
                  <c:v>9</c:v>
                </c:pt>
                <c:pt idx="20">
                  <c:v>7</c:v>
                </c:pt>
                <c:pt idx="21">
                  <c:v>3</c:v>
                </c:pt>
                <c:pt idx="22">
                  <c:v>1</c:v>
                </c:pt>
                <c:pt idx="23">
                  <c:v>3</c:v>
                </c:pt>
              </c:numCache>
            </c:numRef>
          </c:val>
          <c:extLst>
            <c:ext xmlns:c16="http://schemas.microsoft.com/office/drawing/2014/chart" uri="{C3380CC4-5D6E-409C-BE32-E72D297353CC}">
              <c16:uniqueId val="{00000000-E8FE-41C3-948D-1E845653FFBA}"/>
            </c:ext>
          </c:extLst>
        </c:ser>
        <c:ser>
          <c:idx val="1"/>
          <c:order val="1"/>
          <c:tx>
            <c:strRef>
              <c:f>Pivot!$AG$19</c:f>
              <c:strCache>
                <c:ptCount val="1"/>
                <c:pt idx="0">
                  <c:v>SMS brandname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Pivot!$AG$20:$AG$45</c:f>
              <c:numCache>
                <c:formatCode>General</c:formatCode>
                <c:ptCount val="25"/>
                <c:pt idx="0">
                  <c:v>9</c:v>
                </c:pt>
                <c:pt idx="1">
                  <c:v>1</c:v>
                </c:pt>
                <c:pt idx="2">
                  <c:v>10</c:v>
                </c:pt>
                <c:pt idx="3">
                  <c:v>10</c:v>
                </c:pt>
                <c:pt idx="4">
                  <c:v>7</c:v>
                </c:pt>
                <c:pt idx="5">
                  <c:v>10</c:v>
                </c:pt>
                <c:pt idx="6">
                  <c:v>8</c:v>
                </c:pt>
                <c:pt idx="7">
                  <c:v>10</c:v>
                </c:pt>
                <c:pt idx="8">
                  <c:v>12</c:v>
                </c:pt>
                <c:pt idx="9">
                  <c:v>7</c:v>
                </c:pt>
                <c:pt idx="10">
                  <c:v>2</c:v>
                </c:pt>
                <c:pt idx="11">
                  <c:v>9</c:v>
                </c:pt>
                <c:pt idx="12">
                  <c:v>8</c:v>
                </c:pt>
                <c:pt idx="13">
                  <c:v>7</c:v>
                </c:pt>
                <c:pt idx="14">
                  <c:v>4</c:v>
                </c:pt>
                <c:pt idx="15">
                  <c:v>8</c:v>
                </c:pt>
                <c:pt idx="16">
                  <c:v>11</c:v>
                </c:pt>
                <c:pt idx="17">
                  <c:v>9</c:v>
                </c:pt>
                <c:pt idx="18">
                  <c:v>8</c:v>
                </c:pt>
                <c:pt idx="19">
                  <c:v>10</c:v>
                </c:pt>
                <c:pt idx="20">
                  <c:v>7</c:v>
                </c:pt>
                <c:pt idx="21">
                  <c:v>2</c:v>
                </c:pt>
                <c:pt idx="22">
                  <c:v>11</c:v>
                </c:pt>
                <c:pt idx="23">
                  <c:v>8</c:v>
                </c:pt>
              </c:numCache>
            </c:numRef>
          </c:val>
          <c:extLst>
            <c:ext xmlns:c16="http://schemas.microsoft.com/office/drawing/2014/chart" uri="{C3380CC4-5D6E-409C-BE32-E72D297353CC}">
              <c16:uniqueId val="{00000001-E8FE-41C3-948D-1E845653FFBA}"/>
            </c:ext>
          </c:extLst>
        </c:ser>
        <c:ser>
          <c:idx val="2"/>
          <c:order val="2"/>
          <c:tx>
            <c:strRef>
              <c:f>Pivot!$AH$19</c:f>
              <c:strCache>
                <c:ptCount val="1"/>
                <c:pt idx="0">
                  <c:v>Direct mail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Pivot!$AH$20:$AH$45</c:f>
              <c:numCache>
                <c:formatCode>General</c:formatCode>
                <c:ptCount val="25"/>
                <c:pt idx="0">
                  <c:v>1</c:v>
                </c:pt>
                <c:pt idx="4">
                  <c:v>1</c:v>
                </c:pt>
                <c:pt idx="8">
                  <c:v>3</c:v>
                </c:pt>
                <c:pt idx="9">
                  <c:v>1</c:v>
                </c:pt>
                <c:pt idx="15">
                  <c:v>1</c:v>
                </c:pt>
                <c:pt idx="16">
                  <c:v>1</c:v>
                </c:pt>
                <c:pt idx="22">
                  <c:v>1</c:v>
                </c:pt>
              </c:numCache>
            </c:numRef>
          </c:val>
          <c:extLst>
            <c:ext xmlns:c16="http://schemas.microsoft.com/office/drawing/2014/chart" uri="{C3380CC4-5D6E-409C-BE32-E72D297353CC}">
              <c16:uniqueId val="{00000002-E8FE-41C3-948D-1E845653FFBA}"/>
            </c:ext>
          </c:extLst>
        </c:ser>
        <c:ser>
          <c:idx val="3"/>
          <c:order val="3"/>
          <c:tx>
            <c:strRef>
              <c:f>Pivot!$AI$19</c:f>
              <c:strCache>
                <c:ptCount val="1"/>
                <c:pt idx="0">
                  <c:v>Facebook Ads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Pivot!$AI$20:$AI$45</c:f>
              <c:numCache>
                <c:formatCode>General</c:formatCode>
                <c:ptCount val="25"/>
                <c:pt idx="0">
                  <c:v>12</c:v>
                </c:pt>
                <c:pt idx="1">
                  <c:v>6</c:v>
                </c:pt>
                <c:pt idx="2">
                  <c:v>12</c:v>
                </c:pt>
                <c:pt idx="3">
                  <c:v>12</c:v>
                </c:pt>
                <c:pt idx="4">
                  <c:v>12</c:v>
                </c:pt>
                <c:pt idx="5">
                  <c:v>11</c:v>
                </c:pt>
                <c:pt idx="6">
                  <c:v>11</c:v>
                </c:pt>
                <c:pt idx="7">
                  <c:v>12</c:v>
                </c:pt>
                <c:pt idx="8">
                  <c:v>12</c:v>
                </c:pt>
                <c:pt idx="9">
                  <c:v>12</c:v>
                </c:pt>
                <c:pt idx="10">
                  <c:v>12</c:v>
                </c:pt>
                <c:pt idx="11">
                  <c:v>12</c:v>
                </c:pt>
                <c:pt idx="12">
                  <c:v>12</c:v>
                </c:pt>
                <c:pt idx="13">
                  <c:v>10</c:v>
                </c:pt>
                <c:pt idx="14">
                  <c:v>12</c:v>
                </c:pt>
                <c:pt idx="15">
                  <c:v>11</c:v>
                </c:pt>
                <c:pt idx="16">
                  <c:v>15</c:v>
                </c:pt>
                <c:pt idx="17">
                  <c:v>12</c:v>
                </c:pt>
                <c:pt idx="18">
                  <c:v>12</c:v>
                </c:pt>
                <c:pt idx="19">
                  <c:v>12</c:v>
                </c:pt>
                <c:pt idx="20">
                  <c:v>12</c:v>
                </c:pt>
                <c:pt idx="21">
                  <c:v>11</c:v>
                </c:pt>
                <c:pt idx="22">
                  <c:v>11</c:v>
                </c:pt>
                <c:pt idx="23">
                  <c:v>12</c:v>
                </c:pt>
              </c:numCache>
            </c:numRef>
          </c:val>
          <c:extLst>
            <c:ext xmlns:c16="http://schemas.microsoft.com/office/drawing/2014/chart" uri="{C3380CC4-5D6E-409C-BE32-E72D297353CC}">
              <c16:uniqueId val="{00000003-E8FE-41C3-948D-1E845653FFBA}"/>
            </c:ext>
          </c:extLst>
        </c:ser>
        <c:ser>
          <c:idx val="4"/>
          <c:order val="4"/>
          <c:tx>
            <c:strRef>
              <c:f>Pivot!$AJ$19</c:f>
              <c:strCache>
                <c:ptCount val="1"/>
                <c:pt idx="0">
                  <c:v>Google Adwords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Pivot!$AJ$20:$AJ$45</c:f>
              <c:numCache>
                <c:formatCode>General</c:formatCode>
                <c:ptCount val="25"/>
                <c:pt idx="0">
                  <c:v>12</c:v>
                </c:pt>
                <c:pt idx="1">
                  <c:v>5</c:v>
                </c:pt>
                <c:pt idx="2">
                  <c:v>12</c:v>
                </c:pt>
                <c:pt idx="3">
                  <c:v>12</c:v>
                </c:pt>
                <c:pt idx="4">
                  <c:v>11</c:v>
                </c:pt>
                <c:pt idx="5">
                  <c:v>11</c:v>
                </c:pt>
                <c:pt idx="6">
                  <c:v>12</c:v>
                </c:pt>
                <c:pt idx="7">
                  <c:v>12</c:v>
                </c:pt>
                <c:pt idx="8">
                  <c:v>11</c:v>
                </c:pt>
                <c:pt idx="9">
                  <c:v>11</c:v>
                </c:pt>
                <c:pt idx="10">
                  <c:v>12</c:v>
                </c:pt>
                <c:pt idx="11">
                  <c:v>11</c:v>
                </c:pt>
                <c:pt idx="12">
                  <c:v>12</c:v>
                </c:pt>
                <c:pt idx="13">
                  <c:v>10</c:v>
                </c:pt>
                <c:pt idx="14">
                  <c:v>12</c:v>
                </c:pt>
                <c:pt idx="15">
                  <c:v>11</c:v>
                </c:pt>
                <c:pt idx="16">
                  <c:v>15</c:v>
                </c:pt>
                <c:pt idx="17">
                  <c:v>5</c:v>
                </c:pt>
                <c:pt idx="18">
                  <c:v>12</c:v>
                </c:pt>
                <c:pt idx="19">
                  <c:v>12</c:v>
                </c:pt>
                <c:pt idx="20">
                  <c:v>12</c:v>
                </c:pt>
                <c:pt idx="21">
                  <c:v>10</c:v>
                </c:pt>
                <c:pt idx="22">
                  <c:v>3</c:v>
                </c:pt>
                <c:pt idx="23">
                  <c:v>12</c:v>
                </c:pt>
              </c:numCache>
            </c:numRef>
          </c:val>
          <c:extLst>
            <c:ext xmlns:c16="http://schemas.microsoft.com/office/drawing/2014/chart" uri="{C3380CC4-5D6E-409C-BE32-E72D297353CC}">
              <c16:uniqueId val="{00000004-E8FE-41C3-948D-1E845653FFBA}"/>
            </c:ext>
          </c:extLst>
        </c:ser>
        <c:ser>
          <c:idx val="5"/>
          <c:order val="5"/>
          <c:tx>
            <c:strRef>
              <c:f>Pivot!$AK$19</c:f>
              <c:strCache>
                <c:ptCount val="1"/>
                <c:pt idx="0">
                  <c:v>Youtube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Pivot!$AK$20:$AK$45</c:f>
              <c:numCache>
                <c:formatCode>General</c:formatCode>
                <c:ptCount val="25"/>
                <c:pt idx="2">
                  <c:v>10</c:v>
                </c:pt>
                <c:pt idx="3">
                  <c:v>1</c:v>
                </c:pt>
                <c:pt idx="4">
                  <c:v>2</c:v>
                </c:pt>
                <c:pt idx="7">
                  <c:v>2</c:v>
                </c:pt>
                <c:pt idx="8">
                  <c:v>3</c:v>
                </c:pt>
                <c:pt idx="9">
                  <c:v>3</c:v>
                </c:pt>
                <c:pt idx="10">
                  <c:v>2</c:v>
                </c:pt>
                <c:pt idx="11">
                  <c:v>1</c:v>
                </c:pt>
                <c:pt idx="12">
                  <c:v>5</c:v>
                </c:pt>
                <c:pt idx="13">
                  <c:v>1</c:v>
                </c:pt>
                <c:pt idx="15">
                  <c:v>5</c:v>
                </c:pt>
                <c:pt idx="16">
                  <c:v>6</c:v>
                </c:pt>
                <c:pt idx="18">
                  <c:v>6</c:v>
                </c:pt>
                <c:pt idx="20">
                  <c:v>5</c:v>
                </c:pt>
                <c:pt idx="21">
                  <c:v>2</c:v>
                </c:pt>
                <c:pt idx="22">
                  <c:v>1</c:v>
                </c:pt>
                <c:pt idx="23">
                  <c:v>6</c:v>
                </c:pt>
              </c:numCache>
            </c:numRef>
          </c:val>
          <c:extLst>
            <c:ext xmlns:c16="http://schemas.microsoft.com/office/drawing/2014/chart" uri="{C3380CC4-5D6E-409C-BE32-E72D297353CC}">
              <c16:uniqueId val="{00000005-E8FE-41C3-948D-1E845653FFBA}"/>
            </c:ext>
          </c:extLst>
        </c:ser>
        <c:ser>
          <c:idx val="6"/>
          <c:order val="6"/>
          <c:tx>
            <c:strRef>
              <c:f>Pivot!$AL$19</c:f>
              <c:strCache>
                <c:ptCount val="1"/>
                <c:pt idx="0">
                  <c:v>Zalo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Pivot!$AL$20:$AL$45</c:f>
              <c:numCache>
                <c:formatCode>General</c:formatCode>
                <c:ptCount val="25"/>
                <c:pt idx="0">
                  <c:v>2</c:v>
                </c:pt>
                <c:pt idx="2">
                  <c:v>4</c:v>
                </c:pt>
                <c:pt idx="3">
                  <c:v>2</c:v>
                </c:pt>
                <c:pt idx="4">
                  <c:v>3</c:v>
                </c:pt>
                <c:pt idx="5">
                  <c:v>5</c:v>
                </c:pt>
                <c:pt idx="6">
                  <c:v>4</c:v>
                </c:pt>
                <c:pt idx="7">
                  <c:v>1</c:v>
                </c:pt>
                <c:pt idx="8">
                  <c:v>5</c:v>
                </c:pt>
                <c:pt idx="9">
                  <c:v>2</c:v>
                </c:pt>
                <c:pt idx="10">
                  <c:v>1</c:v>
                </c:pt>
                <c:pt idx="11">
                  <c:v>3</c:v>
                </c:pt>
                <c:pt idx="12">
                  <c:v>9</c:v>
                </c:pt>
                <c:pt idx="13">
                  <c:v>3</c:v>
                </c:pt>
                <c:pt idx="15">
                  <c:v>3</c:v>
                </c:pt>
                <c:pt idx="16">
                  <c:v>5</c:v>
                </c:pt>
                <c:pt idx="17">
                  <c:v>12</c:v>
                </c:pt>
                <c:pt idx="18">
                  <c:v>5</c:v>
                </c:pt>
                <c:pt idx="19">
                  <c:v>5</c:v>
                </c:pt>
                <c:pt idx="20">
                  <c:v>11</c:v>
                </c:pt>
                <c:pt idx="21">
                  <c:v>1</c:v>
                </c:pt>
                <c:pt idx="22">
                  <c:v>5</c:v>
                </c:pt>
                <c:pt idx="23">
                  <c:v>12</c:v>
                </c:pt>
              </c:numCache>
            </c:numRef>
          </c:val>
          <c:extLst>
            <c:ext xmlns:c16="http://schemas.microsoft.com/office/drawing/2014/chart" uri="{C3380CC4-5D6E-409C-BE32-E72D297353CC}">
              <c16:uniqueId val="{00000006-E8FE-41C3-948D-1E845653FFBA}"/>
            </c:ext>
          </c:extLst>
        </c:ser>
        <c:ser>
          <c:idx val="7"/>
          <c:order val="7"/>
          <c:tx>
            <c:strRef>
              <c:f>Pivot!$AM$19</c:f>
              <c:strCache>
                <c:ptCount val="1"/>
                <c:pt idx="0">
                  <c:v>Online banner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Pivot!$AM$20:$AM$45</c:f>
              <c:numCache>
                <c:formatCode>General</c:formatCode>
                <c:ptCount val="25"/>
                <c:pt idx="0">
                  <c:v>1</c:v>
                </c:pt>
                <c:pt idx="1">
                  <c:v>1</c:v>
                </c:pt>
                <c:pt idx="2">
                  <c:v>11</c:v>
                </c:pt>
                <c:pt idx="4">
                  <c:v>7</c:v>
                </c:pt>
                <c:pt idx="5">
                  <c:v>9</c:v>
                </c:pt>
                <c:pt idx="6">
                  <c:v>4</c:v>
                </c:pt>
                <c:pt idx="7">
                  <c:v>12</c:v>
                </c:pt>
                <c:pt idx="8">
                  <c:v>6</c:v>
                </c:pt>
                <c:pt idx="9">
                  <c:v>11</c:v>
                </c:pt>
                <c:pt idx="10">
                  <c:v>1</c:v>
                </c:pt>
                <c:pt idx="11">
                  <c:v>2</c:v>
                </c:pt>
                <c:pt idx="12">
                  <c:v>9</c:v>
                </c:pt>
                <c:pt idx="13">
                  <c:v>10</c:v>
                </c:pt>
                <c:pt idx="14">
                  <c:v>4</c:v>
                </c:pt>
                <c:pt idx="15">
                  <c:v>6</c:v>
                </c:pt>
                <c:pt idx="16">
                  <c:v>12</c:v>
                </c:pt>
                <c:pt idx="17">
                  <c:v>11</c:v>
                </c:pt>
                <c:pt idx="18">
                  <c:v>8</c:v>
                </c:pt>
                <c:pt idx="19">
                  <c:v>6</c:v>
                </c:pt>
                <c:pt idx="20">
                  <c:v>11</c:v>
                </c:pt>
                <c:pt idx="21">
                  <c:v>1</c:v>
                </c:pt>
                <c:pt idx="22">
                  <c:v>4</c:v>
                </c:pt>
                <c:pt idx="23">
                  <c:v>3</c:v>
                </c:pt>
              </c:numCache>
            </c:numRef>
          </c:val>
          <c:extLst>
            <c:ext xmlns:c16="http://schemas.microsoft.com/office/drawing/2014/chart" uri="{C3380CC4-5D6E-409C-BE32-E72D297353CC}">
              <c16:uniqueId val="{00000007-E8FE-41C3-948D-1E845653FFBA}"/>
            </c:ext>
          </c:extLst>
        </c:ser>
        <c:ser>
          <c:idx val="8"/>
          <c:order val="8"/>
          <c:tx>
            <c:strRef>
              <c:f>Pivot!$AN$19</c:f>
              <c:strCache>
                <c:ptCount val="1"/>
                <c:pt idx="0">
                  <c:v>Offline (Event,Lái thử...)</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Pivot!$AN$20:$AN$45</c:f>
              <c:numCache>
                <c:formatCode>General</c:formatCode>
                <c:ptCount val="25"/>
                <c:pt idx="0">
                  <c:v>9</c:v>
                </c:pt>
                <c:pt idx="1">
                  <c:v>2</c:v>
                </c:pt>
                <c:pt idx="2">
                  <c:v>10</c:v>
                </c:pt>
                <c:pt idx="3">
                  <c:v>9</c:v>
                </c:pt>
                <c:pt idx="4">
                  <c:v>8</c:v>
                </c:pt>
                <c:pt idx="5">
                  <c:v>9</c:v>
                </c:pt>
                <c:pt idx="6">
                  <c:v>9</c:v>
                </c:pt>
                <c:pt idx="7">
                  <c:v>2</c:v>
                </c:pt>
                <c:pt idx="8">
                  <c:v>12</c:v>
                </c:pt>
                <c:pt idx="9">
                  <c:v>6</c:v>
                </c:pt>
                <c:pt idx="10">
                  <c:v>10</c:v>
                </c:pt>
                <c:pt idx="11">
                  <c:v>7</c:v>
                </c:pt>
                <c:pt idx="12">
                  <c:v>11</c:v>
                </c:pt>
                <c:pt idx="13">
                  <c:v>7</c:v>
                </c:pt>
                <c:pt idx="14">
                  <c:v>5</c:v>
                </c:pt>
                <c:pt idx="15">
                  <c:v>6</c:v>
                </c:pt>
                <c:pt idx="16">
                  <c:v>13</c:v>
                </c:pt>
                <c:pt idx="17">
                  <c:v>11</c:v>
                </c:pt>
                <c:pt idx="18">
                  <c:v>7</c:v>
                </c:pt>
                <c:pt idx="19">
                  <c:v>9</c:v>
                </c:pt>
                <c:pt idx="20">
                  <c:v>7</c:v>
                </c:pt>
                <c:pt idx="21">
                  <c:v>4</c:v>
                </c:pt>
                <c:pt idx="22">
                  <c:v>5</c:v>
                </c:pt>
                <c:pt idx="23">
                  <c:v>9</c:v>
                </c:pt>
              </c:numCache>
            </c:numRef>
          </c:val>
          <c:extLst>
            <c:ext xmlns:c16="http://schemas.microsoft.com/office/drawing/2014/chart" uri="{C3380CC4-5D6E-409C-BE32-E72D297353CC}">
              <c16:uniqueId val="{00000008-E8FE-41C3-948D-1E845653FFBA}"/>
            </c:ext>
          </c:extLst>
        </c:ser>
        <c:ser>
          <c:idx val="9"/>
          <c:order val="9"/>
          <c:tx>
            <c:strRef>
              <c:f>Pivot!$AO$19</c:f>
              <c:strCache>
                <c:ptCount val="1"/>
                <c:pt idx="0">
                  <c:v>Car club/Sponsorship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Pivot!$AO$20:$AO$45</c:f>
              <c:numCache>
                <c:formatCode>General</c:formatCode>
                <c:ptCount val="25"/>
                <c:pt idx="6">
                  <c:v>1</c:v>
                </c:pt>
                <c:pt idx="16">
                  <c:v>1</c:v>
                </c:pt>
              </c:numCache>
            </c:numRef>
          </c:val>
          <c:extLst>
            <c:ext xmlns:c16="http://schemas.microsoft.com/office/drawing/2014/chart" uri="{C3380CC4-5D6E-409C-BE32-E72D297353CC}">
              <c16:uniqueId val="{00000009-E8FE-41C3-948D-1E845653FFBA}"/>
            </c:ext>
          </c:extLst>
        </c:ser>
        <c:ser>
          <c:idx val="10"/>
          <c:order val="10"/>
          <c:tx>
            <c:strRef>
              <c:f>Pivot!$AP$19</c:f>
              <c:strCache>
                <c:ptCount val="1"/>
                <c:pt idx="0">
                  <c:v>TV/Radio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Pivot!$AP$20:$AP$45</c:f>
              <c:numCache>
                <c:formatCode>General</c:formatCode>
                <c:ptCount val="25"/>
                <c:pt idx="5">
                  <c:v>1</c:v>
                </c:pt>
                <c:pt idx="21">
                  <c:v>1</c:v>
                </c:pt>
              </c:numCache>
            </c:numRef>
          </c:val>
          <c:extLst>
            <c:ext xmlns:c16="http://schemas.microsoft.com/office/drawing/2014/chart" uri="{C3380CC4-5D6E-409C-BE32-E72D297353CC}">
              <c16:uniqueId val="{0000000A-E8FE-41C3-948D-1E845653FFBA}"/>
            </c:ext>
          </c:extLst>
        </c:ser>
        <c:ser>
          <c:idx val="11"/>
          <c:order val="11"/>
          <c:tx>
            <c:strRef>
              <c:f>Pivot!$AQ$19</c:f>
              <c:strCache>
                <c:ptCount val="1"/>
                <c:pt idx="0">
                  <c:v>Print Ads/ PR Articles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Pivot!$AQ$20:$AQ$45</c:f>
              <c:numCache>
                <c:formatCode>General</c:formatCode>
                <c:ptCount val="25"/>
                <c:pt idx="0">
                  <c:v>2</c:v>
                </c:pt>
                <c:pt idx="1">
                  <c:v>1</c:v>
                </c:pt>
                <c:pt idx="5">
                  <c:v>9</c:v>
                </c:pt>
                <c:pt idx="6">
                  <c:v>5</c:v>
                </c:pt>
                <c:pt idx="9">
                  <c:v>2</c:v>
                </c:pt>
                <c:pt idx="10">
                  <c:v>1</c:v>
                </c:pt>
                <c:pt idx="11">
                  <c:v>1</c:v>
                </c:pt>
                <c:pt idx="16">
                  <c:v>10</c:v>
                </c:pt>
                <c:pt idx="17">
                  <c:v>2</c:v>
                </c:pt>
                <c:pt idx="18">
                  <c:v>1</c:v>
                </c:pt>
                <c:pt idx="19">
                  <c:v>2</c:v>
                </c:pt>
                <c:pt idx="20">
                  <c:v>3</c:v>
                </c:pt>
                <c:pt idx="21">
                  <c:v>3</c:v>
                </c:pt>
                <c:pt idx="22">
                  <c:v>9</c:v>
                </c:pt>
              </c:numCache>
            </c:numRef>
          </c:val>
          <c:extLst>
            <c:ext xmlns:c16="http://schemas.microsoft.com/office/drawing/2014/chart" uri="{C3380CC4-5D6E-409C-BE32-E72D297353CC}">
              <c16:uniqueId val="{0000000B-E8FE-41C3-948D-1E845653FFBA}"/>
            </c:ext>
          </c:extLst>
        </c:ser>
        <c:ser>
          <c:idx val="12"/>
          <c:order val="12"/>
          <c:tx>
            <c:strRef>
              <c:f>Pivot!$AR$19</c:f>
              <c:strCache>
                <c:ptCount val="1"/>
                <c:pt idx="0">
                  <c:v>CSR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Pivot!$AR$20:$AR$45</c:f>
              <c:numCache>
                <c:formatCode>General</c:formatCode>
                <c:ptCount val="25"/>
                <c:pt idx="0">
                  <c:v>2</c:v>
                </c:pt>
                <c:pt idx="1">
                  <c:v>1</c:v>
                </c:pt>
                <c:pt idx="2">
                  <c:v>4</c:v>
                </c:pt>
                <c:pt idx="5">
                  <c:v>2</c:v>
                </c:pt>
                <c:pt idx="6">
                  <c:v>2</c:v>
                </c:pt>
                <c:pt idx="8">
                  <c:v>1</c:v>
                </c:pt>
                <c:pt idx="10">
                  <c:v>1</c:v>
                </c:pt>
                <c:pt idx="12">
                  <c:v>1</c:v>
                </c:pt>
                <c:pt idx="15">
                  <c:v>1</c:v>
                </c:pt>
                <c:pt idx="16">
                  <c:v>8</c:v>
                </c:pt>
                <c:pt idx="17">
                  <c:v>1</c:v>
                </c:pt>
                <c:pt idx="18">
                  <c:v>4</c:v>
                </c:pt>
                <c:pt idx="19">
                  <c:v>1</c:v>
                </c:pt>
                <c:pt idx="20">
                  <c:v>3</c:v>
                </c:pt>
                <c:pt idx="22">
                  <c:v>3</c:v>
                </c:pt>
              </c:numCache>
            </c:numRef>
          </c:val>
          <c:extLst>
            <c:ext xmlns:c16="http://schemas.microsoft.com/office/drawing/2014/chart" uri="{C3380CC4-5D6E-409C-BE32-E72D297353CC}">
              <c16:uniqueId val="{0000000C-E8FE-41C3-948D-1E845653FFBA}"/>
            </c:ext>
          </c:extLst>
        </c:ser>
        <c:ser>
          <c:idx val="13"/>
          <c:order val="13"/>
          <c:tx>
            <c:strRef>
              <c:f>Pivot!$AS$19</c:f>
              <c:strCache>
                <c:ptCount val="1"/>
                <c:pt idx="0">
                  <c:v>Khác</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Pivot!$AS$20:$AS$45</c:f>
              <c:numCache>
                <c:formatCode>General</c:formatCode>
                <c:ptCount val="25"/>
                <c:pt idx="0">
                  <c:v>9</c:v>
                </c:pt>
                <c:pt idx="2">
                  <c:v>2</c:v>
                </c:pt>
                <c:pt idx="3">
                  <c:v>2</c:v>
                </c:pt>
                <c:pt idx="5">
                  <c:v>2</c:v>
                </c:pt>
                <c:pt idx="6">
                  <c:v>1</c:v>
                </c:pt>
                <c:pt idx="8">
                  <c:v>2</c:v>
                </c:pt>
                <c:pt idx="12">
                  <c:v>1</c:v>
                </c:pt>
                <c:pt idx="14">
                  <c:v>1</c:v>
                </c:pt>
                <c:pt idx="15">
                  <c:v>1</c:v>
                </c:pt>
                <c:pt idx="16">
                  <c:v>4</c:v>
                </c:pt>
                <c:pt idx="17">
                  <c:v>2</c:v>
                </c:pt>
                <c:pt idx="18">
                  <c:v>1</c:v>
                </c:pt>
                <c:pt idx="19">
                  <c:v>3</c:v>
                </c:pt>
                <c:pt idx="22">
                  <c:v>4</c:v>
                </c:pt>
                <c:pt idx="23">
                  <c:v>1</c:v>
                </c:pt>
              </c:numCache>
            </c:numRef>
          </c:val>
          <c:extLst>
            <c:ext xmlns:c16="http://schemas.microsoft.com/office/drawing/2014/chart" uri="{C3380CC4-5D6E-409C-BE32-E72D297353CC}">
              <c16:uniqueId val="{0000000D-E8FE-41C3-948D-1E845653FFBA}"/>
            </c:ext>
          </c:extLst>
        </c:ser>
        <c:dLbls>
          <c:dLblPos val="ctr"/>
          <c:showLegendKey val="0"/>
          <c:showVal val="1"/>
          <c:showCatName val="0"/>
          <c:showSerName val="0"/>
          <c:showPercent val="0"/>
          <c:showBubbleSize val="0"/>
        </c:dLbls>
        <c:gapWidth val="150"/>
        <c:overlap val="100"/>
        <c:axId val="1976687776"/>
        <c:axId val="1976684032"/>
      </c:barChart>
      <c:catAx>
        <c:axId val="1976687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684032"/>
        <c:crosses val="autoZero"/>
        <c:auto val="1"/>
        <c:lblAlgn val="ctr"/>
        <c:lblOffset val="100"/>
        <c:noMultiLvlLbl val="0"/>
      </c:catAx>
      <c:valAx>
        <c:axId val="19766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687776"/>
        <c:crosses val="autoZero"/>
        <c:crossBetween val="between"/>
      </c:valAx>
      <c:spPr>
        <a:noFill/>
        <a:ln>
          <a:noFill/>
        </a:ln>
        <a:effectLst/>
      </c:spPr>
    </c:plotArea>
    <c:legend>
      <c:legendPos val="b"/>
      <c:layout>
        <c:manualLayout>
          <c:xMode val="edge"/>
          <c:yMode val="edge"/>
          <c:x val="1.666307663976499E-2"/>
          <c:y val="0.81886410032079326"/>
          <c:w val="0.96667373896578579"/>
          <c:h val="0.153358121901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2022.xlsx]Pivot!PivotTable10</c:name>
    <c:fmtId val="22"/>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Pivot!$W$8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Pivot!$V$9:$V$34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Pivot!$W$9:$W$34</c:f>
              <c:numCache>
                <c:formatCode>0.00_);[Red]\(0.00\)</c:formatCode>
                <c:ptCount val="25"/>
                <c:pt idx="0">
                  <c:v>71</c:v>
                </c:pt>
                <c:pt idx="1">
                  <c:v>14</c:v>
                </c:pt>
                <c:pt idx="2">
                  <c:v>54</c:v>
                </c:pt>
                <c:pt idx="3">
                  <c:v>72</c:v>
                </c:pt>
                <c:pt idx="4">
                  <c:v>64</c:v>
                </c:pt>
                <c:pt idx="5">
                  <c:v>47</c:v>
                </c:pt>
                <c:pt idx="6">
                  <c:v>49</c:v>
                </c:pt>
                <c:pt idx="7">
                  <c:v>66</c:v>
                </c:pt>
                <c:pt idx="8">
                  <c:v>57</c:v>
                </c:pt>
                <c:pt idx="9">
                  <c:v>46</c:v>
                </c:pt>
                <c:pt idx="10">
                  <c:v>62</c:v>
                </c:pt>
                <c:pt idx="11">
                  <c:v>51</c:v>
                </c:pt>
                <c:pt idx="12">
                  <c:v>68</c:v>
                </c:pt>
                <c:pt idx="13">
                  <c:v>40</c:v>
                </c:pt>
                <c:pt idx="14">
                  <c:v>64</c:v>
                </c:pt>
                <c:pt idx="15">
                  <c:v>49</c:v>
                </c:pt>
                <c:pt idx="16">
                  <c:v>79</c:v>
                </c:pt>
                <c:pt idx="17">
                  <c:v>64</c:v>
                </c:pt>
                <c:pt idx="18">
                  <c:v>84</c:v>
                </c:pt>
                <c:pt idx="19">
                  <c:v>62</c:v>
                </c:pt>
                <c:pt idx="20">
                  <c:v>60</c:v>
                </c:pt>
                <c:pt idx="21">
                  <c:v>41</c:v>
                </c:pt>
                <c:pt idx="22">
                  <c:v>40</c:v>
                </c:pt>
                <c:pt idx="23">
                  <c:v>66</c:v>
                </c:pt>
              </c:numCache>
            </c:numRef>
          </c:val>
          <c:extLst>
            <c:ext xmlns:c16="http://schemas.microsoft.com/office/drawing/2014/chart" uri="{C3380CC4-5D6E-409C-BE32-E72D297353CC}">
              <c16:uniqueId val="{00000000-3EED-4F00-B009-3C6C0CBB7976}"/>
            </c:ext>
          </c:extLst>
        </c:ser>
        <c:dLbls>
          <c:showLegendKey val="0"/>
          <c:showVal val="1"/>
          <c:showCatName val="0"/>
          <c:showSerName val="0"/>
          <c:showPercent val="0"/>
          <c:showBubbleSize val="0"/>
        </c:dLbls>
        <c:axId val="1127149599"/>
        <c:axId val="1127143359"/>
      </c:radarChart>
      <c:catAx>
        <c:axId val="1127149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ln>
                  <a:solidFill>
                    <a:schemeClr val="accent1"/>
                  </a:solidFill>
                </a:ln>
                <a:solidFill>
                  <a:schemeClr val="tx1"/>
                </a:solidFill>
                <a:latin typeface="+mn-lt"/>
                <a:ea typeface="+mn-ea"/>
                <a:cs typeface="+mn-cs"/>
              </a:defRPr>
            </a:pPr>
            <a:endParaRPr lang="en-US"/>
          </a:p>
        </c:txPr>
        <c:crossAx val="1127143359"/>
        <c:crosses val="autoZero"/>
        <c:auto val="1"/>
        <c:lblAlgn val="ctr"/>
        <c:lblOffset val="100"/>
        <c:noMultiLvlLbl val="0"/>
      </c:catAx>
      <c:valAx>
        <c:axId val="1127143359"/>
        <c:scaling>
          <c:orientation val="minMax"/>
        </c:scaling>
        <c:delete val="1"/>
        <c:axPos val="l"/>
        <c:minorGridlines>
          <c:spPr>
            <a:ln w="9525" cap="flat" cmpd="sng" algn="ctr">
              <a:solidFill>
                <a:schemeClr val="tx1">
                  <a:lumMod val="5000"/>
                  <a:lumOff val="95000"/>
                </a:schemeClr>
              </a:solidFill>
              <a:round/>
            </a:ln>
            <a:effectLst/>
          </c:spPr>
        </c:minorGridlines>
        <c:numFmt formatCode="0.00_);[Red]\(0.00\)" sourceLinked="1"/>
        <c:majorTickMark val="none"/>
        <c:minorTickMark val="none"/>
        <c:tickLblPos val="nextTo"/>
        <c:crossAx val="112714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2022.xlsx]Pivot!PivotTable3</c:name>
    <c:fmtId val="21"/>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Pivot!$AB$68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Pivot!$AA$69:$AA$94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Pivot!$AB$69:$AB$94</c:f>
              <c:numCache>
                <c:formatCode>_-* #,##0_-;\-* #,##0_-;_-* "-"??_-;_-@_-</c:formatCode>
                <c:ptCount val="25"/>
                <c:pt idx="0">
                  <c:v>370500</c:v>
                </c:pt>
                <c:pt idx="1">
                  <c:v>324180</c:v>
                </c:pt>
                <c:pt idx="2">
                  <c:v>1084000</c:v>
                </c:pt>
                <c:pt idx="3">
                  <c:v>735400</c:v>
                </c:pt>
                <c:pt idx="4">
                  <c:v>374000</c:v>
                </c:pt>
                <c:pt idx="5">
                  <c:v>718000</c:v>
                </c:pt>
                <c:pt idx="6">
                  <c:v>1044000</c:v>
                </c:pt>
                <c:pt idx="7">
                  <c:v>679000</c:v>
                </c:pt>
                <c:pt idx="8">
                  <c:v>616000</c:v>
                </c:pt>
                <c:pt idx="9">
                  <c:v>717000</c:v>
                </c:pt>
                <c:pt idx="10">
                  <c:v>596000</c:v>
                </c:pt>
                <c:pt idx="11">
                  <c:v>695900</c:v>
                </c:pt>
                <c:pt idx="12">
                  <c:v>715300</c:v>
                </c:pt>
                <c:pt idx="13">
                  <c:v>758550</c:v>
                </c:pt>
                <c:pt idx="14">
                  <c:v>329700</c:v>
                </c:pt>
                <c:pt idx="15">
                  <c:v>1314800</c:v>
                </c:pt>
                <c:pt idx="16">
                  <c:v>2504325</c:v>
                </c:pt>
                <c:pt idx="17">
                  <c:v>1121000</c:v>
                </c:pt>
                <c:pt idx="18">
                  <c:v>591000</c:v>
                </c:pt>
                <c:pt idx="19">
                  <c:v>821700</c:v>
                </c:pt>
                <c:pt idx="20">
                  <c:v>708790</c:v>
                </c:pt>
                <c:pt idx="21">
                  <c:v>692000</c:v>
                </c:pt>
                <c:pt idx="22">
                  <c:v>470020</c:v>
                </c:pt>
                <c:pt idx="23">
                  <c:v>628900</c:v>
                </c:pt>
              </c:numCache>
            </c:numRef>
          </c:val>
          <c:extLst>
            <c:ext xmlns:c16="http://schemas.microsoft.com/office/drawing/2014/chart" uri="{C3380CC4-5D6E-409C-BE32-E72D297353CC}">
              <c16:uniqueId val="{00000000-9D26-4940-B739-B61332A2F395}"/>
            </c:ext>
          </c:extLst>
        </c:ser>
        <c:dLbls>
          <c:showLegendKey val="0"/>
          <c:showVal val="0"/>
          <c:showCatName val="0"/>
          <c:showSerName val="0"/>
          <c:showPercent val="0"/>
          <c:showBubbleSize val="0"/>
        </c:dLbls>
        <c:axId val="1842010063"/>
        <c:axId val="1842007567"/>
      </c:radarChart>
      <c:catAx>
        <c:axId val="184201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07567"/>
        <c:crosses val="autoZero"/>
        <c:auto val="1"/>
        <c:lblAlgn val="ctr"/>
        <c:lblOffset val="100"/>
        <c:noMultiLvlLbl val="0"/>
      </c:catAx>
      <c:valAx>
        <c:axId val="18420075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1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Pivot!$U$119</c:f>
              <c:strCache>
                <c:ptCount val="1"/>
                <c:pt idx="0">
                  <c:v>Data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Pivot!$V$118:$AJ$118</c:f>
              <c:strCache>
                <c:ptCount val="15"/>
                <c:pt idx="0">
                  <c:v> Gifts </c:v>
                </c:pt>
                <c:pt idx="1">
                  <c:v> Car club/Sponsor </c:v>
                </c:pt>
                <c:pt idx="2">
                  <c:v> E mail </c:v>
                </c:pt>
                <c:pt idx="3">
                  <c:v> Google Adwords </c:v>
                </c:pt>
                <c:pt idx="4">
                  <c:v> Facebook </c:v>
                </c:pt>
                <c:pt idx="5">
                  <c:v> TV/Radio </c:v>
                </c:pt>
                <c:pt idx="6">
                  <c:v> Biển bảng/OOH </c:v>
                </c:pt>
                <c:pt idx="7">
                  <c:v> SMS </c:v>
                </c:pt>
                <c:pt idx="8">
                  <c:v> Online banner </c:v>
                </c:pt>
                <c:pt idx="9">
                  <c:v> Zalo </c:v>
                </c:pt>
                <c:pt idx="10">
                  <c:v> Print Ads/ PR </c:v>
                </c:pt>
                <c:pt idx="11">
                  <c:v> Youtube </c:v>
                </c:pt>
                <c:pt idx="12">
                  <c:v> Sự kiện/Lái thử </c:v>
                </c:pt>
                <c:pt idx="13">
                  <c:v> KH Showroom </c:v>
                </c:pt>
                <c:pt idx="14">
                  <c:v> Khác </c:v>
                </c:pt>
              </c:strCache>
            </c:strRef>
          </c:cat>
          <c:val>
            <c:numRef>
              <c:f>Pivot!$V$119:$AJ$119</c:f>
              <c:numCache>
                <c:formatCode>_-* #,##0_-;\-* #,##0_-;_-* "-"??_-;_-@_-</c:formatCode>
                <c:ptCount val="15"/>
                <c:pt idx="0">
                  <c:v>48</c:v>
                </c:pt>
                <c:pt idx="1">
                  <c:v>9</c:v>
                </c:pt>
                <c:pt idx="2">
                  <c:v>37</c:v>
                </c:pt>
                <c:pt idx="3">
                  <c:v>8859</c:v>
                </c:pt>
                <c:pt idx="4">
                  <c:v>14815</c:v>
                </c:pt>
                <c:pt idx="5">
                  <c:v>15</c:v>
                </c:pt>
                <c:pt idx="6">
                  <c:v>149</c:v>
                </c:pt>
                <c:pt idx="7">
                  <c:v>202</c:v>
                </c:pt>
                <c:pt idx="8">
                  <c:v>818</c:v>
                </c:pt>
                <c:pt idx="9">
                  <c:v>1872</c:v>
                </c:pt>
                <c:pt idx="10">
                  <c:v>78</c:v>
                </c:pt>
                <c:pt idx="11">
                  <c:v>512</c:v>
                </c:pt>
                <c:pt idx="12">
                  <c:v>8603</c:v>
                </c:pt>
                <c:pt idx="13">
                  <c:v>9688</c:v>
                </c:pt>
                <c:pt idx="14">
                  <c:v>1748</c:v>
                </c:pt>
              </c:numCache>
            </c:numRef>
          </c:val>
          <c:extLst>
            <c:ext xmlns:c16="http://schemas.microsoft.com/office/drawing/2014/chart" uri="{C3380CC4-5D6E-409C-BE32-E72D297353CC}">
              <c16:uniqueId val="{00000000-CED9-46F0-95CD-31223251620E}"/>
            </c:ext>
          </c:extLst>
        </c:ser>
        <c:dLbls>
          <c:showLegendKey val="0"/>
          <c:showVal val="1"/>
          <c:showCatName val="0"/>
          <c:showSerName val="0"/>
          <c:showPercent val="0"/>
          <c:showBubbleSize val="0"/>
        </c:dLbls>
        <c:gapWidth val="219"/>
        <c:axId val="859233583"/>
        <c:axId val="859218191"/>
      </c:barChart>
      <c:lineChart>
        <c:grouping val="standard"/>
        <c:varyColors val="0"/>
        <c:ser>
          <c:idx val="1"/>
          <c:order val="1"/>
          <c:tx>
            <c:strRef>
              <c:f>Pivot!$U$120</c:f>
              <c:strCache>
                <c:ptCount val="1"/>
                <c:pt idx="0">
                  <c:v>Chi phí</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Pivot!$V$118:$AJ$118</c:f>
              <c:strCache>
                <c:ptCount val="15"/>
                <c:pt idx="0">
                  <c:v> Gifts </c:v>
                </c:pt>
                <c:pt idx="1">
                  <c:v> Car club/Sponsor </c:v>
                </c:pt>
                <c:pt idx="2">
                  <c:v> E mail </c:v>
                </c:pt>
                <c:pt idx="3">
                  <c:v> Google Adwords </c:v>
                </c:pt>
                <c:pt idx="4">
                  <c:v> Facebook </c:v>
                </c:pt>
                <c:pt idx="5">
                  <c:v> TV/Radio </c:v>
                </c:pt>
                <c:pt idx="6">
                  <c:v> Biển bảng/OOH </c:v>
                </c:pt>
                <c:pt idx="7">
                  <c:v> SMS </c:v>
                </c:pt>
                <c:pt idx="8">
                  <c:v> Online banner </c:v>
                </c:pt>
                <c:pt idx="9">
                  <c:v> Zalo </c:v>
                </c:pt>
                <c:pt idx="10">
                  <c:v> Print Ads/ PR </c:v>
                </c:pt>
                <c:pt idx="11">
                  <c:v> Youtube </c:v>
                </c:pt>
                <c:pt idx="12">
                  <c:v> Sự kiện/Lái thử </c:v>
                </c:pt>
                <c:pt idx="13">
                  <c:v> KH Showroom </c:v>
                </c:pt>
                <c:pt idx="14">
                  <c:v> Khác </c:v>
                </c:pt>
              </c:strCache>
            </c:strRef>
          </c:cat>
          <c:val>
            <c:numRef>
              <c:f>Pivot!$V$120:$AJ$120</c:f>
              <c:numCache>
                <c:formatCode>_-* #,##0_-;\-* #,##0_-;_-* "-"??_-;_-@_-</c:formatCode>
                <c:ptCount val="15"/>
                <c:pt idx="0">
                  <c:v>712.2</c:v>
                </c:pt>
                <c:pt idx="1">
                  <c:v>48.9</c:v>
                </c:pt>
                <c:pt idx="2">
                  <c:v>41.436999999999998</c:v>
                </c:pt>
                <c:pt idx="3">
                  <c:v>4044.76</c:v>
                </c:pt>
                <c:pt idx="4">
                  <c:v>5412.3450000000003</c:v>
                </c:pt>
                <c:pt idx="5">
                  <c:v>12</c:v>
                </c:pt>
                <c:pt idx="6">
                  <c:v>1839.5499999999993</c:v>
                </c:pt>
                <c:pt idx="7">
                  <c:v>339.46300000000014</c:v>
                </c:pt>
                <c:pt idx="8">
                  <c:v>1268.8389999999999</c:v>
                </c:pt>
                <c:pt idx="9">
                  <c:v>518.11599999999999</c:v>
                </c:pt>
                <c:pt idx="10">
                  <c:v>378.4</c:v>
                </c:pt>
                <c:pt idx="11">
                  <c:v>461.69</c:v>
                </c:pt>
                <c:pt idx="12">
                  <c:v>6428.5150000000003</c:v>
                </c:pt>
                <c:pt idx="13">
                  <c:v>115</c:v>
                </c:pt>
                <c:pt idx="14">
                  <c:v>475.8</c:v>
                </c:pt>
              </c:numCache>
            </c:numRef>
          </c:val>
          <c:smooth val="0"/>
          <c:extLst>
            <c:ext xmlns:c16="http://schemas.microsoft.com/office/drawing/2014/chart" uri="{C3380CC4-5D6E-409C-BE32-E72D297353CC}">
              <c16:uniqueId val="{00000001-CED9-46F0-95CD-31223251620E}"/>
            </c:ext>
          </c:extLst>
        </c:ser>
        <c:dLbls>
          <c:showLegendKey val="0"/>
          <c:showVal val="1"/>
          <c:showCatName val="0"/>
          <c:showSerName val="0"/>
          <c:showPercent val="0"/>
          <c:showBubbleSize val="0"/>
        </c:dLbls>
        <c:marker val="1"/>
        <c:smooth val="0"/>
        <c:axId val="784382591"/>
        <c:axId val="784395903"/>
      </c:lineChart>
      <c:catAx>
        <c:axId val="859233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18191"/>
        <c:crosses val="autoZero"/>
        <c:auto val="1"/>
        <c:lblAlgn val="ctr"/>
        <c:lblOffset val="100"/>
        <c:noMultiLvlLbl val="0"/>
      </c:catAx>
      <c:valAx>
        <c:axId val="859218191"/>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33583"/>
        <c:crosses val="autoZero"/>
        <c:crossBetween val="between"/>
      </c:valAx>
      <c:valAx>
        <c:axId val="784395903"/>
        <c:scaling>
          <c:orientation val="minMax"/>
        </c:scaling>
        <c:delete val="0"/>
        <c:axPos val="r"/>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82591"/>
        <c:crosses val="max"/>
        <c:crossBetween val="between"/>
      </c:valAx>
      <c:catAx>
        <c:axId val="784382591"/>
        <c:scaling>
          <c:orientation val="minMax"/>
        </c:scaling>
        <c:delete val="1"/>
        <c:axPos val="t"/>
        <c:numFmt formatCode="General" sourceLinked="1"/>
        <c:majorTickMark val="out"/>
        <c:minorTickMark val="none"/>
        <c:tickLblPos val="nextTo"/>
        <c:crossAx val="784395903"/>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2022.xlsx]Pivot!PivotTable16</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Pivot!$AA$8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Pivot!$Z$9:$Z$34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Pivot!$AA$9:$AA$34</c:f>
              <c:numCache>
                <c:formatCode>_-* #,##0_-;\-* #,##0_-;_-* "-"??_-;_-@_-</c:formatCode>
                <c:ptCount val="25"/>
                <c:pt idx="0">
                  <c:v>331500</c:v>
                </c:pt>
                <c:pt idx="1">
                  <c:v>350200</c:v>
                </c:pt>
                <c:pt idx="2">
                  <c:v>1309000</c:v>
                </c:pt>
                <c:pt idx="3">
                  <c:v>796000</c:v>
                </c:pt>
                <c:pt idx="4">
                  <c:v>486000</c:v>
                </c:pt>
                <c:pt idx="5">
                  <c:v>1070000</c:v>
                </c:pt>
                <c:pt idx="6">
                  <c:v>873850</c:v>
                </c:pt>
                <c:pt idx="7">
                  <c:v>841150</c:v>
                </c:pt>
                <c:pt idx="8">
                  <c:v>816000</c:v>
                </c:pt>
                <c:pt idx="9">
                  <c:v>722000</c:v>
                </c:pt>
                <c:pt idx="10">
                  <c:v>860000</c:v>
                </c:pt>
                <c:pt idx="11">
                  <c:v>718200</c:v>
                </c:pt>
                <c:pt idx="12">
                  <c:v>663300</c:v>
                </c:pt>
                <c:pt idx="13">
                  <c:v>697000</c:v>
                </c:pt>
                <c:pt idx="14">
                  <c:v>379600</c:v>
                </c:pt>
                <c:pt idx="15">
                  <c:v>1547000</c:v>
                </c:pt>
                <c:pt idx="16">
                  <c:v>3275062</c:v>
                </c:pt>
                <c:pt idx="17">
                  <c:v>1197000</c:v>
                </c:pt>
                <c:pt idx="18">
                  <c:v>630790</c:v>
                </c:pt>
                <c:pt idx="19">
                  <c:v>889200</c:v>
                </c:pt>
                <c:pt idx="20">
                  <c:v>716000</c:v>
                </c:pt>
                <c:pt idx="21">
                  <c:v>779000</c:v>
                </c:pt>
                <c:pt idx="22">
                  <c:v>549779</c:v>
                </c:pt>
                <c:pt idx="23">
                  <c:v>678900</c:v>
                </c:pt>
              </c:numCache>
            </c:numRef>
          </c:val>
          <c:extLst>
            <c:ext xmlns:c16="http://schemas.microsoft.com/office/drawing/2014/chart" uri="{C3380CC4-5D6E-409C-BE32-E72D297353CC}">
              <c16:uniqueId val="{00000000-1C35-4759-80AC-7483E3F54C3D}"/>
            </c:ext>
          </c:extLst>
        </c:ser>
        <c:dLbls>
          <c:dLblPos val="outEnd"/>
          <c:showLegendKey val="0"/>
          <c:showVal val="1"/>
          <c:showCatName val="0"/>
          <c:showSerName val="0"/>
          <c:showPercent val="0"/>
          <c:showBubbleSize val="0"/>
        </c:dLbls>
        <c:gapWidth val="100"/>
        <c:overlap val="-24"/>
        <c:axId val="249335792"/>
        <c:axId val="249327472"/>
      </c:barChart>
      <c:catAx>
        <c:axId val="249335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27472"/>
        <c:crosses val="autoZero"/>
        <c:auto val="1"/>
        <c:lblAlgn val="ctr"/>
        <c:lblOffset val="100"/>
        <c:noMultiLvlLbl val="0"/>
      </c:catAx>
      <c:valAx>
        <c:axId val="2493274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2022.xlsx]Pivot!PivotTable19</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25298877252582E-2"/>
          <c:y val="6.8077629721768951E-2"/>
          <c:w val="0.95307913976958403"/>
          <c:h val="0.39447278960110177"/>
        </c:manualLayout>
      </c:layout>
      <c:barChart>
        <c:barDir val="col"/>
        <c:grouping val="clustered"/>
        <c:varyColors val="0"/>
        <c:ser>
          <c:idx val="0"/>
          <c:order val="0"/>
          <c:tx>
            <c:strRef>
              <c:f>Pivot!$B$173</c:f>
              <c:strCache>
                <c:ptCount val="1"/>
                <c:pt idx="0">
                  <c:v>Sum of HĐ MKT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Pivot!$A$174:$A$476</c:f>
              <c:multiLvlStrCache>
                <c:ptCount val="289"/>
                <c:lvl>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An Giang</c:v>
                  </c:pt>
                  <c:pt idx="25">
                    <c:v>An Phú</c:v>
                  </c:pt>
                  <c:pt idx="26">
                    <c:v>Bà Rịa Vũng Tàu</c:v>
                  </c:pt>
                  <c:pt idx="27">
                    <c:v>Bạc Liêu</c:v>
                  </c:pt>
                  <c:pt idx="28">
                    <c:v>Bến Tre</c:v>
                  </c:pt>
                  <c:pt idx="29">
                    <c:v>Bình Dương</c:v>
                  </c:pt>
                  <c:pt idx="30">
                    <c:v>Bình Phước</c:v>
                  </c:pt>
                  <c:pt idx="31">
                    <c:v>Bình Thuận</c:v>
                  </c:pt>
                  <c:pt idx="32">
                    <c:v>Cà Mau</c:v>
                  </c:pt>
                  <c:pt idx="33">
                    <c:v>Đông Sài Gòn</c:v>
                  </c:pt>
                  <c:pt idx="34">
                    <c:v>Đồng Tháp</c:v>
                  </c:pt>
                  <c:pt idx="35">
                    <c:v>Gia Định</c:v>
                  </c:pt>
                  <c:pt idx="36">
                    <c:v>Kiên Giang</c:v>
                  </c:pt>
                  <c:pt idx="37">
                    <c:v>Kinh Dương Vương</c:v>
                  </c:pt>
                  <c:pt idx="38">
                    <c:v>Long An</c:v>
                  </c:pt>
                  <c:pt idx="39">
                    <c:v>Miền Nam</c:v>
                  </c:pt>
                  <c:pt idx="40">
                    <c:v>Ngọc An</c:v>
                  </c:pt>
                  <c:pt idx="41">
                    <c:v>Ngọc Phát</c:v>
                  </c:pt>
                  <c:pt idx="42">
                    <c:v>Tây Đô</c:v>
                  </c:pt>
                  <c:pt idx="43">
                    <c:v>Tây Ninh</c:v>
                  </c:pt>
                  <c:pt idx="44">
                    <c:v>Tiền Giang</c:v>
                  </c:pt>
                  <c:pt idx="45">
                    <c:v>Trường Chinh</c:v>
                  </c:pt>
                  <c:pt idx="46">
                    <c:v>Việt Hàn</c:v>
                  </c:pt>
                  <c:pt idx="47">
                    <c:v>Vĩnh Long</c:v>
                  </c:pt>
                  <c:pt idx="48">
                    <c:v>An Giang</c:v>
                  </c:pt>
                  <c:pt idx="49">
                    <c:v>An Phú</c:v>
                  </c:pt>
                  <c:pt idx="50">
                    <c:v>Bà Rịa Vũng Tàu</c:v>
                  </c:pt>
                  <c:pt idx="51">
                    <c:v>Bạc Liêu</c:v>
                  </c:pt>
                  <c:pt idx="52">
                    <c:v>Bến Tre</c:v>
                  </c:pt>
                  <c:pt idx="53">
                    <c:v>Bình Dương</c:v>
                  </c:pt>
                  <c:pt idx="54">
                    <c:v>Bình Phước</c:v>
                  </c:pt>
                  <c:pt idx="55">
                    <c:v>Bình Thuận</c:v>
                  </c:pt>
                  <c:pt idx="56">
                    <c:v>Cà Mau</c:v>
                  </c:pt>
                  <c:pt idx="57">
                    <c:v>Đông Sài Gòn</c:v>
                  </c:pt>
                  <c:pt idx="58">
                    <c:v>Đồng Tháp</c:v>
                  </c:pt>
                  <c:pt idx="59">
                    <c:v>Gia Định</c:v>
                  </c:pt>
                  <c:pt idx="60">
                    <c:v>Kiên Giang</c:v>
                  </c:pt>
                  <c:pt idx="61">
                    <c:v>Kinh Dương Vương</c:v>
                  </c:pt>
                  <c:pt idx="62">
                    <c:v>Long An</c:v>
                  </c:pt>
                  <c:pt idx="63">
                    <c:v>Miền Nam</c:v>
                  </c:pt>
                  <c:pt idx="64">
                    <c:v>Ngọc An</c:v>
                  </c:pt>
                  <c:pt idx="65">
                    <c:v>Ngọc Phát</c:v>
                  </c:pt>
                  <c:pt idx="66">
                    <c:v>Tây Đô</c:v>
                  </c:pt>
                  <c:pt idx="67">
                    <c:v>Tây Ninh</c:v>
                  </c:pt>
                  <c:pt idx="68">
                    <c:v>Tiền Giang</c:v>
                  </c:pt>
                  <c:pt idx="69">
                    <c:v>Trường Chinh</c:v>
                  </c:pt>
                  <c:pt idx="70">
                    <c:v>Việt Hàn</c:v>
                  </c:pt>
                  <c:pt idx="71">
                    <c:v>Vĩnh Long</c:v>
                  </c:pt>
                  <c:pt idx="72">
                    <c:v>An Giang</c:v>
                  </c:pt>
                  <c:pt idx="73">
                    <c:v>An Phú</c:v>
                  </c:pt>
                  <c:pt idx="74">
                    <c:v>Bà Rịa Vũng Tàu</c:v>
                  </c:pt>
                  <c:pt idx="75">
                    <c:v>Bạc Liêu</c:v>
                  </c:pt>
                  <c:pt idx="76">
                    <c:v>Bến Tre</c:v>
                  </c:pt>
                  <c:pt idx="77">
                    <c:v>Bình Dương</c:v>
                  </c:pt>
                  <c:pt idx="78">
                    <c:v>Bình Phước</c:v>
                  </c:pt>
                  <c:pt idx="79">
                    <c:v>Bình Thuận</c:v>
                  </c:pt>
                  <c:pt idx="80">
                    <c:v>Cà Mau</c:v>
                  </c:pt>
                  <c:pt idx="81">
                    <c:v>Đông Sài Gòn</c:v>
                  </c:pt>
                  <c:pt idx="82">
                    <c:v>Đồng Tháp</c:v>
                  </c:pt>
                  <c:pt idx="83">
                    <c:v>Gia Định</c:v>
                  </c:pt>
                  <c:pt idx="84">
                    <c:v>Kiên Giang</c:v>
                  </c:pt>
                  <c:pt idx="85">
                    <c:v>Kinh Dương Vương</c:v>
                  </c:pt>
                  <c:pt idx="86">
                    <c:v>Long An</c:v>
                  </c:pt>
                  <c:pt idx="87">
                    <c:v>Miền Nam</c:v>
                  </c:pt>
                  <c:pt idx="88">
                    <c:v>Ngọc An</c:v>
                  </c:pt>
                  <c:pt idx="89">
                    <c:v>Ngọc Phát</c:v>
                  </c:pt>
                  <c:pt idx="90">
                    <c:v>Tây Đô</c:v>
                  </c:pt>
                  <c:pt idx="91">
                    <c:v>Tây Ninh</c:v>
                  </c:pt>
                  <c:pt idx="92">
                    <c:v>Tiền Giang</c:v>
                  </c:pt>
                  <c:pt idx="93">
                    <c:v>Trường Chinh</c:v>
                  </c:pt>
                  <c:pt idx="94">
                    <c:v>Việt Hàn</c:v>
                  </c:pt>
                  <c:pt idx="95">
                    <c:v>Vĩnh Long</c:v>
                  </c:pt>
                  <c:pt idx="96">
                    <c:v>An Giang</c:v>
                  </c:pt>
                  <c:pt idx="97">
                    <c:v>An Phú</c:v>
                  </c:pt>
                  <c:pt idx="98">
                    <c:v>Bà Rịa Vũng Tàu</c:v>
                  </c:pt>
                  <c:pt idx="99">
                    <c:v>Bạc Liêu</c:v>
                  </c:pt>
                  <c:pt idx="100">
                    <c:v>Bến Tre</c:v>
                  </c:pt>
                  <c:pt idx="101">
                    <c:v>Bình Dương</c:v>
                  </c:pt>
                  <c:pt idx="102">
                    <c:v>Bình Phước</c:v>
                  </c:pt>
                  <c:pt idx="103">
                    <c:v>Bình Thuận</c:v>
                  </c:pt>
                  <c:pt idx="104">
                    <c:v>Cà Mau</c:v>
                  </c:pt>
                  <c:pt idx="105">
                    <c:v>Đông Sài Gòn</c:v>
                  </c:pt>
                  <c:pt idx="106">
                    <c:v>Đồng Tháp</c:v>
                  </c:pt>
                  <c:pt idx="107">
                    <c:v>Gia Định</c:v>
                  </c:pt>
                  <c:pt idx="108">
                    <c:v>Kiên Giang</c:v>
                  </c:pt>
                  <c:pt idx="109">
                    <c:v>Kinh Dương Vương</c:v>
                  </c:pt>
                  <c:pt idx="110">
                    <c:v>Long An</c:v>
                  </c:pt>
                  <c:pt idx="111">
                    <c:v>Miền Nam</c:v>
                  </c:pt>
                  <c:pt idx="112">
                    <c:v>Ngọc An</c:v>
                  </c:pt>
                  <c:pt idx="113">
                    <c:v>Ngọc Phát</c:v>
                  </c:pt>
                  <c:pt idx="114">
                    <c:v>Tây Đô</c:v>
                  </c:pt>
                  <c:pt idx="115">
                    <c:v>Tây Ninh</c:v>
                  </c:pt>
                  <c:pt idx="116">
                    <c:v>Tiền Giang</c:v>
                  </c:pt>
                  <c:pt idx="117">
                    <c:v>Trường Chinh</c:v>
                  </c:pt>
                  <c:pt idx="118">
                    <c:v>Việt Hàn</c:v>
                  </c:pt>
                  <c:pt idx="119">
                    <c:v>Vĩnh Long</c:v>
                  </c:pt>
                  <c:pt idx="120">
                    <c:v>An Giang</c:v>
                  </c:pt>
                  <c:pt idx="121">
                    <c:v>An Phú</c:v>
                  </c:pt>
                  <c:pt idx="122">
                    <c:v>Bà Rịa Vũng Tàu</c:v>
                  </c:pt>
                  <c:pt idx="123">
                    <c:v>Bạc Liêu</c:v>
                  </c:pt>
                  <c:pt idx="124">
                    <c:v>Bến Tre</c:v>
                  </c:pt>
                  <c:pt idx="125">
                    <c:v>Bình Dương</c:v>
                  </c:pt>
                  <c:pt idx="126">
                    <c:v>Bình Phước</c:v>
                  </c:pt>
                  <c:pt idx="127">
                    <c:v>Bình Thuận</c:v>
                  </c:pt>
                  <c:pt idx="128">
                    <c:v>Cà Mau</c:v>
                  </c:pt>
                  <c:pt idx="129">
                    <c:v>Đông Sài Gòn</c:v>
                  </c:pt>
                  <c:pt idx="130">
                    <c:v>Đồng Tháp</c:v>
                  </c:pt>
                  <c:pt idx="131">
                    <c:v>Gia Định</c:v>
                  </c:pt>
                  <c:pt idx="132">
                    <c:v>Kiên Giang</c:v>
                  </c:pt>
                  <c:pt idx="133">
                    <c:v>Kinh Dương Vương</c:v>
                  </c:pt>
                  <c:pt idx="134">
                    <c:v>Long An</c:v>
                  </c:pt>
                  <c:pt idx="135">
                    <c:v>Miền Nam</c:v>
                  </c:pt>
                  <c:pt idx="136">
                    <c:v>Ngọc An</c:v>
                  </c:pt>
                  <c:pt idx="137">
                    <c:v>Ngọc Phát</c:v>
                  </c:pt>
                  <c:pt idx="138">
                    <c:v>Tây Đô</c:v>
                  </c:pt>
                  <c:pt idx="139">
                    <c:v>Tây Ninh</c:v>
                  </c:pt>
                  <c:pt idx="140">
                    <c:v>Tiền Giang</c:v>
                  </c:pt>
                  <c:pt idx="141">
                    <c:v>Trường Chinh</c:v>
                  </c:pt>
                  <c:pt idx="142">
                    <c:v>Việt Hàn</c:v>
                  </c:pt>
                  <c:pt idx="143">
                    <c:v>Vĩnh Long</c:v>
                  </c:pt>
                  <c:pt idx="144">
                    <c:v>An Giang</c:v>
                  </c:pt>
                  <c:pt idx="145">
                    <c:v>An Phú</c:v>
                  </c:pt>
                  <c:pt idx="146">
                    <c:v>Bà Rịa Vũng Tàu</c:v>
                  </c:pt>
                  <c:pt idx="147">
                    <c:v>Bạc Liêu</c:v>
                  </c:pt>
                  <c:pt idx="148">
                    <c:v>Bến Tre</c:v>
                  </c:pt>
                  <c:pt idx="149">
                    <c:v>Bình Dương</c:v>
                  </c:pt>
                  <c:pt idx="150">
                    <c:v>Bình Phước</c:v>
                  </c:pt>
                  <c:pt idx="151">
                    <c:v>Bình Thuận</c:v>
                  </c:pt>
                  <c:pt idx="152">
                    <c:v>Cà Mau</c:v>
                  </c:pt>
                  <c:pt idx="153">
                    <c:v>Đông Sài Gòn</c:v>
                  </c:pt>
                  <c:pt idx="154">
                    <c:v>Đồng Tháp</c:v>
                  </c:pt>
                  <c:pt idx="155">
                    <c:v>Gia Định</c:v>
                  </c:pt>
                  <c:pt idx="156">
                    <c:v>Kiên Giang</c:v>
                  </c:pt>
                  <c:pt idx="157">
                    <c:v>Kinh Dương Vương</c:v>
                  </c:pt>
                  <c:pt idx="158">
                    <c:v>Long An</c:v>
                  </c:pt>
                  <c:pt idx="159">
                    <c:v>Miền Nam</c:v>
                  </c:pt>
                  <c:pt idx="160">
                    <c:v>Ngọc An</c:v>
                  </c:pt>
                  <c:pt idx="161">
                    <c:v>Ngọc Phát</c:v>
                  </c:pt>
                  <c:pt idx="162">
                    <c:v>Tây Đô</c:v>
                  </c:pt>
                  <c:pt idx="163">
                    <c:v>Tây Ninh</c:v>
                  </c:pt>
                  <c:pt idx="164">
                    <c:v>Tiền Giang</c:v>
                  </c:pt>
                  <c:pt idx="165">
                    <c:v>Trường Chinh</c:v>
                  </c:pt>
                  <c:pt idx="166">
                    <c:v>Việt Hàn</c:v>
                  </c:pt>
                  <c:pt idx="167">
                    <c:v>Vĩnh Long</c:v>
                  </c:pt>
                  <c:pt idx="168">
                    <c:v>An Giang</c:v>
                  </c:pt>
                  <c:pt idx="169">
                    <c:v>An Phú</c:v>
                  </c:pt>
                  <c:pt idx="170">
                    <c:v>Bà Rịa Vũng Tàu</c:v>
                  </c:pt>
                  <c:pt idx="171">
                    <c:v>Bạc Liêu</c:v>
                  </c:pt>
                  <c:pt idx="172">
                    <c:v>Bến Tre</c:v>
                  </c:pt>
                  <c:pt idx="173">
                    <c:v>Bình Dương</c:v>
                  </c:pt>
                  <c:pt idx="174">
                    <c:v>Bình Phước</c:v>
                  </c:pt>
                  <c:pt idx="175">
                    <c:v>Bình Thuận</c:v>
                  </c:pt>
                  <c:pt idx="176">
                    <c:v>Cà Mau</c:v>
                  </c:pt>
                  <c:pt idx="177">
                    <c:v>Đông Sài Gòn</c:v>
                  </c:pt>
                  <c:pt idx="178">
                    <c:v>Đồng Tháp</c:v>
                  </c:pt>
                  <c:pt idx="179">
                    <c:v>Gia Định</c:v>
                  </c:pt>
                  <c:pt idx="180">
                    <c:v>Kiên Giang</c:v>
                  </c:pt>
                  <c:pt idx="181">
                    <c:v>Kinh Dương Vương</c:v>
                  </c:pt>
                  <c:pt idx="182">
                    <c:v>Long An</c:v>
                  </c:pt>
                  <c:pt idx="183">
                    <c:v>Miền Nam</c:v>
                  </c:pt>
                  <c:pt idx="184">
                    <c:v>Ngọc An</c:v>
                  </c:pt>
                  <c:pt idx="185">
                    <c:v>Ngọc Phát</c:v>
                  </c:pt>
                  <c:pt idx="186">
                    <c:v>Tây Đô</c:v>
                  </c:pt>
                  <c:pt idx="187">
                    <c:v>Tây Ninh</c:v>
                  </c:pt>
                  <c:pt idx="188">
                    <c:v>Tiền Giang</c:v>
                  </c:pt>
                  <c:pt idx="189">
                    <c:v>Trường Chinh</c:v>
                  </c:pt>
                  <c:pt idx="190">
                    <c:v>Việt Hàn</c:v>
                  </c:pt>
                  <c:pt idx="191">
                    <c:v>Vĩnh Long</c:v>
                  </c:pt>
                  <c:pt idx="192">
                    <c:v>An Giang</c:v>
                  </c:pt>
                  <c:pt idx="193">
                    <c:v>An Phú</c:v>
                  </c:pt>
                  <c:pt idx="194">
                    <c:v>Bà Rịa Vũng Tàu</c:v>
                  </c:pt>
                  <c:pt idx="195">
                    <c:v>Bạc Liêu</c:v>
                  </c:pt>
                  <c:pt idx="196">
                    <c:v>Bến Tre</c:v>
                  </c:pt>
                  <c:pt idx="197">
                    <c:v>Bình Dương</c:v>
                  </c:pt>
                  <c:pt idx="198">
                    <c:v>Bình Phước</c:v>
                  </c:pt>
                  <c:pt idx="199">
                    <c:v>Bình Thuận</c:v>
                  </c:pt>
                  <c:pt idx="200">
                    <c:v>Cà Mau</c:v>
                  </c:pt>
                  <c:pt idx="201">
                    <c:v>Đông Sài Gòn</c:v>
                  </c:pt>
                  <c:pt idx="202">
                    <c:v>Đồng Tháp</c:v>
                  </c:pt>
                  <c:pt idx="203">
                    <c:v>Gia Định</c:v>
                  </c:pt>
                  <c:pt idx="204">
                    <c:v>Kiên Giang</c:v>
                  </c:pt>
                  <c:pt idx="205">
                    <c:v>Kinh Dương Vương</c:v>
                  </c:pt>
                  <c:pt idx="206">
                    <c:v>Long An</c:v>
                  </c:pt>
                  <c:pt idx="207">
                    <c:v>Miền Nam</c:v>
                  </c:pt>
                  <c:pt idx="208">
                    <c:v>Ngọc An</c:v>
                  </c:pt>
                  <c:pt idx="209">
                    <c:v>Ngọc Phát</c:v>
                  </c:pt>
                  <c:pt idx="210">
                    <c:v>Tây Đô</c:v>
                  </c:pt>
                  <c:pt idx="211">
                    <c:v>Tây Ninh</c:v>
                  </c:pt>
                  <c:pt idx="212">
                    <c:v>Tiền Giang</c:v>
                  </c:pt>
                  <c:pt idx="213">
                    <c:v>Trường Chinh</c:v>
                  </c:pt>
                  <c:pt idx="214">
                    <c:v>Việt Hàn</c:v>
                  </c:pt>
                  <c:pt idx="215">
                    <c:v>Vĩnh Long</c:v>
                  </c:pt>
                  <c:pt idx="216">
                    <c:v>An Giang</c:v>
                  </c:pt>
                  <c:pt idx="217">
                    <c:v>An Phú</c:v>
                  </c:pt>
                  <c:pt idx="218">
                    <c:v>Bà Rịa Vũng Tàu</c:v>
                  </c:pt>
                  <c:pt idx="219">
                    <c:v>Bạc Liêu</c:v>
                  </c:pt>
                  <c:pt idx="220">
                    <c:v>Bến Tre</c:v>
                  </c:pt>
                  <c:pt idx="221">
                    <c:v>Bình Dương</c:v>
                  </c:pt>
                  <c:pt idx="222">
                    <c:v>Bình Phước</c:v>
                  </c:pt>
                  <c:pt idx="223">
                    <c:v>Bình Thuận</c:v>
                  </c:pt>
                  <c:pt idx="224">
                    <c:v>Cà Mau</c:v>
                  </c:pt>
                  <c:pt idx="225">
                    <c:v>Đông Sài Gòn</c:v>
                  </c:pt>
                  <c:pt idx="226">
                    <c:v>Đồng Tháp</c:v>
                  </c:pt>
                  <c:pt idx="227">
                    <c:v>Gia Định</c:v>
                  </c:pt>
                  <c:pt idx="228">
                    <c:v>Kiên Giang</c:v>
                  </c:pt>
                  <c:pt idx="229">
                    <c:v>Kinh Dương Vương</c:v>
                  </c:pt>
                  <c:pt idx="230">
                    <c:v>Long An</c:v>
                  </c:pt>
                  <c:pt idx="231">
                    <c:v>Miền Nam</c:v>
                  </c:pt>
                  <c:pt idx="232">
                    <c:v>Ngọc An</c:v>
                  </c:pt>
                  <c:pt idx="233">
                    <c:v>Ngọc Phát</c:v>
                  </c:pt>
                  <c:pt idx="234">
                    <c:v>Tây Đô</c:v>
                  </c:pt>
                  <c:pt idx="235">
                    <c:v>Tây Ninh</c:v>
                  </c:pt>
                  <c:pt idx="236">
                    <c:v>Tiền Giang</c:v>
                  </c:pt>
                  <c:pt idx="237">
                    <c:v>Trường Chinh</c:v>
                  </c:pt>
                  <c:pt idx="238">
                    <c:v>Việt Hàn</c:v>
                  </c:pt>
                  <c:pt idx="239">
                    <c:v>Vĩnh Long</c:v>
                  </c:pt>
                  <c:pt idx="240">
                    <c:v>An Giang</c:v>
                  </c:pt>
                  <c:pt idx="241">
                    <c:v>An Phú</c:v>
                  </c:pt>
                  <c:pt idx="242">
                    <c:v>Bà Rịa Vũng Tàu</c:v>
                  </c:pt>
                  <c:pt idx="243">
                    <c:v>Bạc Liêu</c:v>
                  </c:pt>
                  <c:pt idx="244">
                    <c:v>Bến Tre</c:v>
                  </c:pt>
                  <c:pt idx="245">
                    <c:v>Bình Dương</c:v>
                  </c:pt>
                  <c:pt idx="246">
                    <c:v>Bình Phước</c:v>
                  </c:pt>
                  <c:pt idx="247">
                    <c:v>Bình Thuận</c:v>
                  </c:pt>
                  <c:pt idx="248">
                    <c:v>Cà Mau</c:v>
                  </c:pt>
                  <c:pt idx="249">
                    <c:v>Đông Sài Gòn</c:v>
                  </c:pt>
                  <c:pt idx="250">
                    <c:v>Đồng Tháp</c:v>
                  </c:pt>
                  <c:pt idx="251">
                    <c:v>Gia Định</c:v>
                  </c:pt>
                  <c:pt idx="252">
                    <c:v>Kiên Giang</c:v>
                  </c:pt>
                  <c:pt idx="253">
                    <c:v>Kinh Dương Vương</c:v>
                  </c:pt>
                  <c:pt idx="254">
                    <c:v>Long An</c:v>
                  </c:pt>
                  <c:pt idx="255">
                    <c:v>Miền Nam</c:v>
                  </c:pt>
                  <c:pt idx="256">
                    <c:v>Ngọc An</c:v>
                  </c:pt>
                  <c:pt idx="257">
                    <c:v>Ngọc Phát</c:v>
                  </c:pt>
                  <c:pt idx="258">
                    <c:v>Tây Đô</c:v>
                  </c:pt>
                  <c:pt idx="259">
                    <c:v>Tây Ninh</c:v>
                  </c:pt>
                  <c:pt idx="260">
                    <c:v>Tiền Giang</c:v>
                  </c:pt>
                  <c:pt idx="261">
                    <c:v>Trường Chinh</c:v>
                  </c:pt>
                  <c:pt idx="262">
                    <c:v>Việt Hàn</c:v>
                  </c:pt>
                  <c:pt idx="263">
                    <c:v>Vĩnh Long</c:v>
                  </c:pt>
                  <c:pt idx="264">
                    <c:v>(blank)</c:v>
                  </c:pt>
                  <c:pt idx="265">
                    <c:v>An Giang</c:v>
                  </c:pt>
                  <c:pt idx="266">
                    <c:v>An Phú</c:v>
                  </c:pt>
                  <c:pt idx="267">
                    <c:v>Bà Rịa Vũng Tàu</c:v>
                  </c:pt>
                  <c:pt idx="268">
                    <c:v>Bạc Liêu</c:v>
                  </c:pt>
                  <c:pt idx="269">
                    <c:v>Bến Tre</c:v>
                  </c:pt>
                  <c:pt idx="270">
                    <c:v>Bình Dương</c:v>
                  </c:pt>
                  <c:pt idx="271">
                    <c:v>Bình Phước</c:v>
                  </c:pt>
                  <c:pt idx="272">
                    <c:v>Bình Thuận</c:v>
                  </c:pt>
                  <c:pt idx="273">
                    <c:v>Cà Mau</c:v>
                  </c:pt>
                  <c:pt idx="274">
                    <c:v>Đông Sài Gòn</c:v>
                  </c:pt>
                  <c:pt idx="275">
                    <c:v>Đồng Tháp</c:v>
                  </c:pt>
                  <c:pt idx="276">
                    <c:v>Gia Định</c:v>
                  </c:pt>
                  <c:pt idx="277">
                    <c:v>Kiên Giang</c:v>
                  </c:pt>
                  <c:pt idx="278">
                    <c:v>Kinh Dương Vương</c:v>
                  </c:pt>
                  <c:pt idx="279">
                    <c:v>Long An</c:v>
                  </c:pt>
                  <c:pt idx="280">
                    <c:v>Miền Nam</c:v>
                  </c:pt>
                  <c:pt idx="281">
                    <c:v>Ngọc An</c:v>
                  </c:pt>
                  <c:pt idx="282">
                    <c:v>Ngọc Phát</c:v>
                  </c:pt>
                  <c:pt idx="283">
                    <c:v>Tây Đô</c:v>
                  </c:pt>
                  <c:pt idx="284">
                    <c:v>Tây Ninh</c:v>
                  </c:pt>
                  <c:pt idx="285">
                    <c:v>Tiền Giang</c:v>
                  </c:pt>
                  <c:pt idx="286">
                    <c:v>Trường Chinh</c:v>
                  </c:pt>
                  <c:pt idx="287">
                    <c:v>Việt Hàn</c:v>
                  </c:pt>
                  <c:pt idx="288">
                    <c:v>Vĩnh Long</c:v>
                  </c:pt>
                </c:lvl>
                <c:lvl>
                  <c:pt idx="0">
                    <c:v>1</c:v>
                  </c:pt>
                  <c:pt idx="24">
                    <c:v>2</c:v>
                  </c:pt>
                  <c:pt idx="48">
                    <c:v>3</c:v>
                  </c:pt>
                  <c:pt idx="72">
                    <c:v>4</c:v>
                  </c:pt>
                  <c:pt idx="96">
                    <c:v>5</c:v>
                  </c:pt>
                  <c:pt idx="120">
                    <c:v>6</c:v>
                  </c:pt>
                  <c:pt idx="144">
                    <c:v>7</c:v>
                  </c:pt>
                  <c:pt idx="168">
                    <c:v>8</c:v>
                  </c:pt>
                  <c:pt idx="192">
                    <c:v>9</c:v>
                  </c:pt>
                  <c:pt idx="216">
                    <c:v>10</c:v>
                  </c:pt>
                  <c:pt idx="240">
                    <c:v>11</c:v>
                  </c:pt>
                  <c:pt idx="264">
                    <c:v>(blank)</c:v>
                  </c:pt>
                  <c:pt idx="265">
                    <c:v>12</c:v>
                  </c:pt>
                </c:lvl>
              </c:multiLvlStrCache>
            </c:multiLvlStrRef>
          </c:cat>
          <c:val>
            <c:numRef>
              <c:f>Pivot!$B$174:$B$476</c:f>
              <c:numCache>
                <c:formatCode>_-* #,##0_-;\-* #,##0_-;_-* "-"??_-;_-@_-</c:formatCode>
                <c:ptCount val="289"/>
                <c:pt idx="0">
                  <c:v>8</c:v>
                </c:pt>
                <c:pt idx="1">
                  <c:v>0</c:v>
                </c:pt>
                <c:pt idx="2">
                  <c:v>23</c:v>
                </c:pt>
                <c:pt idx="3">
                  <c:v>3</c:v>
                </c:pt>
                <c:pt idx="4">
                  <c:v>1</c:v>
                </c:pt>
                <c:pt idx="5">
                  <c:v>10</c:v>
                </c:pt>
                <c:pt idx="6">
                  <c:v>3</c:v>
                </c:pt>
                <c:pt idx="7">
                  <c:v>18</c:v>
                </c:pt>
                <c:pt idx="8">
                  <c:v>20</c:v>
                </c:pt>
                <c:pt idx="9">
                  <c:v>4</c:v>
                </c:pt>
                <c:pt idx="10">
                  <c:v>7</c:v>
                </c:pt>
                <c:pt idx="11">
                  <c:v>1</c:v>
                </c:pt>
                <c:pt idx="12">
                  <c:v>5</c:v>
                </c:pt>
                <c:pt idx="13">
                  <c:v>0</c:v>
                </c:pt>
                <c:pt idx="14">
                  <c:v>17</c:v>
                </c:pt>
                <c:pt idx="15">
                  <c:v>2</c:v>
                </c:pt>
                <c:pt idx="16">
                  <c:v>15</c:v>
                </c:pt>
                <c:pt idx="17">
                  <c:v>12</c:v>
                </c:pt>
                <c:pt idx="18">
                  <c:v>2</c:v>
                </c:pt>
                <c:pt idx="19">
                  <c:v>11</c:v>
                </c:pt>
                <c:pt idx="20">
                  <c:v>27</c:v>
                </c:pt>
                <c:pt idx="21">
                  <c:v>11</c:v>
                </c:pt>
                <c:pt idx="22">
                  <c:v>3</c:v>
                </c:pt>
                <c:pt idx="23">
                  <c:v>3</c:v>
                </c:pt>
                <c:pt idx="24">
                  <c:v>12</c:v>
                </c:pt>
                <c:pt idx="25">
                  <c:v>0</c:v>
                </c:pt>
                <c:pt idx="26">
                  <c:v>14</c:v>
                </c:pt>
                <c:pt idx="27">
                  <c:v>2</c:v>
                </c:pt>
                <c:pt idx="28">
                  <c:v>0</c:v>
                </c:pt>
                <c:pt idx="29">
                  <c:v>9</c:v>
                </c:pt>
                <c:pt idx="30">
                  <c:v>7</c:v>
                </c:pt>
                <c:pt idx="31">
                  <c:v>12</c:v>
                </c:pt>
                <c:pt idx="32">
                  <c:v>19</c:v>
                </c:pt>
                <c:pt idx="33">
                  <c:v>21</c:v>
                </c:pt>
                <c:pt idx="34">
                  <c:v>6</c:v>
                </c:pt>
                <c:pt idx="35">
                  <c:v>2</c:v>
                </c:pt>
                <c:pt idx="36">
                  <c:v>5</c:v>
                </c:pt>
                <c:pt idx="37">
                  <c:v>0</c:v>
                </c:pt>
                <c:pt idx="38">
                  <c:v>7</c:v>
                </c:pt>
                <c:pt idx="40">
                  <c:v>8</c:v>
                </c:pt>
                <c:pt idx="41">
                  <c:v>8</c:v>
                </c:pt>
                <c:pt idx="42">
                  <c:v>5</c:v>
                </c:pt>
                <c:pt idx="43">
                  <c:v>3</c:v>
                </c:pt>
                <c:pt idx="44">
                  <c:v>5</c:v>
                </c:pt>
                <c:pt idx="45">
                  <c:v>0</c:v>
                </c:pt>
                <c:pt idx="46">
                  <c:v>2</c:v>
                </c:pt>
                <c:pt idx="47">
                  <c:v>2</c:v>
                </c:pt>
                <c:pt idx="48">
                  <c:v>12</c:v>
                </c:pt>
                <c:pt idx="49">
                  <c:v>0</c:v>
                </c:pt>
                <c:pt idx="50">
                  <c:v>20</c:v>
                </c:pt>
                <c:pt idx="51">
                  <c:v>3</c:v>
                </c:pt>
                <c:pt idx="52">
                  <c:v>4</c:v>
                </c:pt>
                <c:pt idx="53">
                  <c:v>10</c:v>
                </c:pt>
                <c:pt idx="54">
                  <c:v>10</c:v>
                </c:pt>
                <c:pt idx="55">
                  <c:v>24</c:v>
                </c:pt>
                <c:pt idx="56">
                  <c:v>23</c:v>
                </c:pt>
                <c:pt idx="57">
                  <c:v>21</c:v>
                </c:pt>
                <c:pt idx="58">
                  <c:v>10</c:v>
                </c:pt>
                <c:pt idx="59">
                  <c:v>3</c:v>
                </c:pt>
                <c:pt idx="60">
                  <c:v>15</c:v>
                </c:pt>
                <c:pt idx="61">
                  <c:v>2</c:v>
                </c:pt>
                <c:pt idx="62">
                  <c:v>8</c:v>
                </c:pt>
                <c:pt idx="63">
                  <c:v>3</c:v>
                </c:pt>
                <c:pt idx="64">
                  <c:v>8</c:v>
                </c:pt>
                <c:pt idx="65">
                  <c:v>15</c:v>
                </c:pt>
                <c:pt idx="66">
                  <c:v>9</c:v>
                </c:pt>
                <c:pt idx="67">
                  <c:v>13</c:v>
                </c:pt>
                <c:pt idx="68">
                  <c:v>5</c:v>
                </c:pt>
                <c:pt idx="69">
                  <c:v>5</c:v>
                </c:pt>
                <c:pt idx="70">
                  <c:v>1</c:v>
                </c:pt>
                <c:pt idx="71">
                  <c:v>2</c:v>
                </c:pt>
                <c:pt idx="72">
                  <c:v>14</c:v>
                </c:pt>
                <c:pt idx="73">
                  <c:v>0</c:v>
                </c:pt>
                <c:pt idx="74">
                  <c:v>20</c:v>
                </c:pt>
                <c:pt idx="75">
                  <c:v>4</c:v>
                </c:pt>
                <c:pt idx="76">
                  <c:v>2</c:v>
                </c:pt>
                <c:pt idx="77">
                  <c:v>5</c:v>
                </c:pt>
                <c:pt idx="78">
                  <c:v>11</c:v>
                </c:pt>
                <c:pt idx="79">
                  <c:v>18</c:v>
                </c:pt>
                <c:pt idx="80">
                  <c:v>15</c:v>
                </c:pt>
                <c:pt idx="81">
                  <c:v>25</c:v>
                </c:pt>
                <c:pt idx="82">
                  <c:v>12</c:v>
                </c:pt>
                <c:pt idx="83">
                  <c:v>5</c:v>
                </c:pt>
                <c:pt idx="84">
                  <c:v>30</c:v>
                </c:pt>
                <c:pt idx="85">
                  <c:v>8</c:v>
                </c:pt>
                <c:pt idx="86">
                  <c:v>6</c:v>
                </c:pt>
                <c:pt idx="87">
                  <c:v>2</c:v>
                </c:pt>
                <c:pt idx="88">
                  <c:v>16</c:v>
                </c:pt>
                <c:pt idx="89">
                  <c:v>18</c:v>
                </c:pt>
                <c:pt idx="90">
                  <c:v>9</c:v>
                </c:pt>
                <c:pt idx="91">
                  <c:v>29</c:v>
                </c:pt>
                <c:pt idx="92">
                  <c:v>5</c:v>
                </c:pt>
                <c:pt idx="93">
                  <c:v>2</c:v>
                </c:pt>
                <c:pt idx="94">
                  <c:v>3</c:v>
                </c:pt>
                <c:pt idx="95">
                  <c:v>3</c:v>
                </c:pt>
                <c:pt idx="96">
                  <c:v>4</c:v>
                </c:pt>
                <c:pt idx="97">
                  <c:v>0</c:v>
                </c:pt>
                <c:pt idx="98">
                  <c:v>26</c:v>
                </c:pt>
                <c:pt idx="99">
                  <c:v>20</c:v>
                </c:pt>
                <c:pt idx="100">
                  <c:v>3</c:v>
                </c:pt>
                <c:pt idx="101">
                  <c:v>10</c:v>
                </c:pt>
                <c:pt idx="102">
                  <c:v>10</c:v>
                </c:pt>
                <c:pt idx="103">
                  <c:v>28</c:v>
                </c:pt>
                <c:pt idx="104">
                  <c:v>19</c:v>
                </c:pt>
                <c:pt idx="105">
                  <c:v>16</c:v>
                </c:pt>
                <c:pt idx="106">
                  <c:v>10</c:v>
                </c:pt>
                <c:pt idx="107">
                  <c:v>5</c:v>
                </c:pt>
                <c:pt idx="108">
                  <c:v>17</c:v>
                </c:pt>
                <c:pt idx="109">
                  <c:v>6</c:v>
                </c:pt>
                <c:pt idx="110">
                  <c:v>15</c:v>
                </c:pt>
                <c:pt idx="111">
                  <c:v>6</c:v>
                </c:pt>
                <c:pt idx="112">
                  <c:v>8</c:v>
                </c:pt>
                <c:pt idx="113">
                  <c:v>71</c:v>
                </c:pt>
                <c:pt idx="114">
                  <c:v>5</c:v>
                </c:pt>
                <c:pt idx="115">
                  <c:v>6</c:v>
                </c:pt>
                <c:pt idx="116">
                  <c:v>4</c:v>
                </c:pt>
                <c:pt idx="117">
                  <c:v>5</c:v>
                </c:pt>
                <c:pt idx="118">
                  <c:v>3</c:v>
                </c:pt>
                <c:pt idx="119">
                  <c:v>2</c:v>
                </c:pt>
                <c:pt idx="120">
                  <c:v>4</c:v>
                </c:pt>
                <c:pt idx="121">
                  <c:v>0</c:v>
                </c:pt>
                <c:pt idx="122">
                  <c:v>16</c:v>
                </c:pt>
                <c:pt idx="123">
                  <c:v>6</c:v>
                </c:pt>
                <c:pt idx="124">
                  <c:v>3</c:v>
                </c:pt>
                <c:pt idx="125">
                  <c:v>9</c:v>
                </c:pt>
                <c:pt idx="126">
                  <c:v>4</c:v>
                </c:pt>
                <c:pt idx="127">
                  <c:v>28</c:v>
                </c:pt>
                <c:pt idx="128">
                  <c:v>8</c:v>
                </c:pt>
                <c:pt idx="129">
                  <c:v>1</c:v>
                </c:pt>
                <c:pt idx="130">
                  <c:v>14</c:v>
                </c:pt>
                <c:pt idx="131">
                  <c:v>6</c:v>
                </c:pt>
                <c:pt idx="132">
                  <c:v>7</c:v>
                </c:pt>
                <c:pt idx="133">
                  <c:v>5</c:v>
                </c:pt>
                <c:pt idx="134">
                  <c:v>5</c:v>
                </c:pt>
                <c:pt idx="135">
                  <c:v>2</c:v>
                </c:pt>
                <c:pt idx="136">
                  <c:v>18</c:v>
                </c:pt>
                <c:pt idx="137">
                  <c:v>12</c:v>
                </c:pt>
                <c:pt idx="138">
                  <c:v>3</c:v>
                </c:pt>
                <c:pt idx="139">
                  <c:v>6</c:v>
                </c:pt>
                <c:pt idx="140">
                  <c:v>10</c:v>
                </c:pt>
                <c:pt idx="141">
                  <c:v>11</c:v>
                </c:pt>
                <c:pt idx="142">
                  <c:v>3</c:v>
                </c:pt>
                <c:pt idx="143">
                  <c:v>3</c:v>
                </c:pt>
                <c:pt idx="144">
                  <c:v>10</c:v>
                </c:pt>
                <c:pt idx="145">
                  <c:v>0</c:v>
                </c:pt>
                <c:pt idx="146">
                  <c:v>18</c:v>
                </c:pt>
                <c:pt idx="147">
                  <c:v>4</c:v>
                </c:pt>
                <c:pt idx="148">
                  <c:v>4</c:v>
                </c:pt>
                <c:pt idx="149">
                  <c:v>30</c:v>
                </c:pt>
                <c:pt idx="150">
                  <c:v>11</c:v>
                </c:pt>
                <c:pt idx="151">
                  <c:v>11</c:v>
                </c:pt>
                <c:pt idx="152">
                  <c:v>7</c:v>
                </c:pt>
                <c:pt idx="153">
                  <c:v>18</c:v>
                </c:pt>
                <c:pt idx="154">
                  <c:v>12</c:v>
                </c:pt>
                <c:pt idx="155">
                  <c:v>7</c:v>
                </c:pt>
                <c:pt idx="156">
                  <c:v>13</c:v>
                </c:pt>
                <c:pt idx="157">
                  <c:v>10</c:v>
                </c:pt>
                <c:pt idx="158">
                  <c:v>15</c:v>
                </c:pt>
                <c:pt idx="159">
                  <c:v>2</c:v>
                </c:pt>
                <c:pt idx="160">
                  <c:v>29</c:v>
                </c:pt>
                <c:pt idx="161">
                  <c:v>19</c:v>
                </c:pt>
                <c:pt idx="162">
                  <c:v>6</c:v>
                </c:pt>
                <c:pt idx="163">
                  <c:v>7</c:v>
                </c:pt>
                <c:pt idx="164">
                  <c:v>14</c:v>
                </c:pt>
                <c:pt idx="165">
                  <c:v>34</c:v>
                </c:pt>
                <c:pt idx="166">
                  <c:v>4</c:v>
                </c:pt>
                <c:pt idx="167">
                  <c:v>3</c:v>
                </c:pt>
                <c:pt idx="168">
                  <c:v>10</c:v>
                </c:pt>
                <c:pt idx="169">
                  <c:v>3</c:v>
                </c:pt>
                <c:pt idx="170">
                  <c:v>27</c:v>
                </c:pt>
                <c:pt idx="171">
                  <c:v>4</c:v>
                </c:pt>
                <c:pt idx="172">
                  <c:v>12</c:v>
                </c:pt>
                <c:pt idx="173">
                  <c:v>31</c:v>
                </c:pt>
                <c:pt idx="174">
                  <c:v>5</c:v>
                </c:pt>
                <c:pt idx="175">
                  <c:v>15</c:v>
                </c:pt>
                <c:pt idx="176">
                  <c:v>10</c:v>
                </c:pt>
                <c:pt idx="177">
                  <c:v>17</c:v>
                </c:pt>
                <c:pt idx="178">
                  <c:v>16</c:v>
                </c:pt>
                <c:pt idx="179">
                  <c:v>15</c:v>
                </c:pt>
                <c:pt idx="180">
                  <c:v>16</c:v>
                </c:pt>
                <c:pt idx="181">
                  <c:v>14</c:v>
                </c:pt>
                <c:pt idx="182">
                  <c:v>15</c:v>
                </c:pt>
                <c:pt idx="183">
                  <c:v>3</c:v>
                </c:pt>
                <c:pt idx="184">
                  <c:v>30</c:v>
                </c:pt>
                <c:pt idx="185">
                  <c:v>22</c:v>
                </c:pt>
                <c:pt idx="186">
                  <c:v>6</c:v>
                </c:pt>
                <c:pt idx="187">
                  <c:v>6</c:v>
                </c:pt>
                <c:pt idx="188">
                  <c:v>14</c:v>
                </c:pt>
                <c:pt idx="189">
                  <c:v>14</c:v>
                </c:pt>
                <c:pt idx="190">
                  <c:v>8</c:v>
                </c:pt>
                <c:pt idx="191">
                  <c:v>3</c:v>
                </c:pt>
                <c:pt idx="192">
                  <c:v>6</c:v>
                </c:pt>
                <c:pt idx="193">
                  <c:v>3</c:v>
                </c:pt>
                <c:pt idx="194">
                  <c:v>22</c:v>
                </c:pt>
                <c:pt idx="195">
                  <c:v>5</c:v>
                </c:pt>
                <c:pt idx="196">
                  <c:v>6</c:v>
                </c:pt>
                <c:pt idx="197">
                  <c:v>33</c:v>
                </c:pt>
                <c:pt idx="198">
                  <c:v>6</c:v>
                </c:pt>
                <c:pt idx="199">
                  <c:v>22</c:v>
                </c:pt>
                <c:pt idx="200">
                  <c:v>7</c:v>
                </c:pt>
                <c:pt idx="201">
                  <c:v>12</c:v>
                </c:pt>
                <c:pt idx="202">
                  <c:v>9</c:v>
                </c:pt>
                <c:pt idx="203">
                  <c:v>10</c:v>
                </c:pt>
                <c:pt idx="204">
                  <c:v>10</c:v>
                </c:pt>
                <c:pt idx="205">
                  <c:v>8</c:v>
                </c:pt>
                <c:pt idx="206">
                  <c:v>26</c:v>
                </c:pt>
                <c:pt idx="207">
                  <c:v>2</c:v>
                </c:pt>
                <c:pt idx="208">
                  <c:v>28</c:v>
                </c:pt>
                <c:pt idx="209">
                  <c:v>15</c:v>
                </c:pt>
                <c:pt idx="210">
                  <c:v>14</c:v>
                </c:pt>
                <c:pt idx="211">
                  <c:v>5</c:v>
                </c:pt>
                <c:pt idx="212">
                  <c:v>14</c:v>
                </c:pt>
                <c:pt idx="213">
                  <c:v>33</c:v>
                </c:pt>
                <c:pt idx="214">
                  <c:v>7</c:v>
                </c:pt>
                <c:pt idx="215">
                  <c:v>7</c:v>
                </c:pt>
                <c:pt idx="216">
                  <c:v>10</c:v>
                </c:pt>
                <c:pt idx="217">
                  <c:v>0</c:v>
                </c:pt>
                <c:pt idx="218">
                  <c:v>34</c:v>
                </c:pt>
                <c:pt idx="219">
                  <c:v>9</c:v>
                </c:pt>
                <c:pt idx="220">
                  <c:v>12</c:v>
                </c:pt>
                <c:pt idx="221">
                  <c:v>8</c:v>
                </c:pt>
                <c:pt idx="222">
                  <c:v>5</c:v>
                </c:pt>
                <c:pt idx="223">
                  <c:v>10</c:v>
                </c:pt>
                <c:pt idx="224">
                  <c:v>8</c:v>
                </c:pt>
                <c:pt idx="225">
                  <c:v>14</c:v>
                </c:pt>
                <c:pt idx="226">
                  <c:v>10</c:v>
                </c:pt>
                <c:pt idx="227">
                  <c:v>12</c:v>
                </c:pt>
                <c:pt idx="228">
                  <c:v>11</c:v>
                </c:pt>
                <c:pt idx="229">
                  <c:v>11</c:v>
                </c:pt>
                <c:pt idx="230">
                  <c:v>13</c:v>
                </c:pt>
                <c:pt idx="231">
                  <c:v>4</c:v>
                </c:pt>
                <c:pt idx="232">
                  <c:v>20</c:v>
                </c:pt>
                <c:pt idx="233">
                  <c:v>36</c:v>
                </c:pt>
                <c:pt idx="234">
                  <c:v>8</c:v>
                </c:pt>
                <c:pt idx="235">
                  <c:v>5</c:v>
                </c:pt>
                <c:pt idx="236">
                  <c:v>11</c:v>
                </c:pt>
                <c:pt idx="237">
                  <c:v>11</c:v>
                </c:pt>
                <c:pt idx="238">
                  <c:v>7</c:v>
                </c:pt>
                <c:pt idx="239">
                  <c:v>8</c:v>
                </c:pt>
                <c:pt idx="240">
                  <c:v>5</c:v>
                </c:pt>
                <c:pt idx="241">
                  <c:v>2</c:v>
                </c:pt>
                <c:pt idx="242">
                  <c:v>19</c:v>
                </c:pt>
                <c:pt idx="243">
                  <c:v>6</c:v>
                </c:pt>
                <c:pt idx="244">
                  <c:v>18</c:v>
                </c:pt>
                <c:pt idx="245">
                  <c:v>8</c:v>
                </c:pt>
                <c:pt idx="246">
                  <c:v>9</c:v>
                </c:pt>
                <c:pt idx="247">
                  <c:v>6</c:v>
                </c:pt>
                <c:pt idx="248">
                  <c:v>8</c:v>
                </c:pt>
                <c:pt idx="249">
                  <c:v>11</c:v>
                </c:pt>
                <c:pt idx="250">
                  <c:v>8</c:v>
                </c:pt>
                <c:pt idx="251">
                  <c:v>9</c:v>
                </c:pt>
                <c:pt idx="252">
                  <c:v>7</c:v>
                </c:pt>
                <c:pt idx="253">
                  <c:v>6</c:v>
                </c:pt>
                <c:pt idx="254">
                  <c:v>9</c:v>
                </c:pt>
                <c:pt idx="255">
                  <c:v>7</c:v>
                </c:pt>
                <c:pt idx="256">
                  <c:v>20</c:v>
                </c:pt>
                <c:pt idx="257">
                  <c:v>16</c:v>
                </c:pt>
                <c:pt idx="258">
                  <c:v>9</c:v>
                </c:pt>
                <c:pt idx="259">
                  <c:v>2</c:v>
                </c:pt>
                <c:pt idx="260">
                  <c:v>14</c:v>
                </c:pt>
                <c:pt idx="261">
                  <c:v>11</c:v>
                </c:pt>
                <c:pt idx="262">
                  <c:v>3</c:v>
                </c:pt>
                <c:pt idx="263">
                  <c:v>7</c:v>
                </c:pt>
                <c:pt idx="265">
                  <c:v>5</c:v>
                </c:pt>
                <c:pt idx="266">
                  <c:v>3</c:v>
                </c:pt>
                <c:pt idx="267">
                  <c:v>25</c:v>
                </c:pt>
                <c:pt idx="268">
                  <c:v>6</c:v>
                </c:pt>
                <c:pt idx="269">
                  <c:v>6</c:v>
                </c:pt>
                <c:pt idx="270">
                  <c:v>16</c:v>
                </c:pt>
                <c:pt idx="271">
                  <c:v>10</c:v>
                </c:pt>
                <c:pt idx="272">
                  <c:v>9</c:v>
                </c:pt>
                <c:pt idx="273">
                  <c:v>6</c:v>
                </c:pt>
                <c:pt idx="274">
                  <c:v>11</c:v>
                </c:pt>
                <c:pt idx="275">
                  <c:v>8</c:v>
                </c:pt>
                <c:pt idx="276">
                  <c:v>10</c:v>
                </c:pt>
                <c:pt idx="277">
                  <c:v>4</c:v>
                </c:pt>
                <c:pt idx="278">
                  <c:v>10</c:v>
                </c:pt>
                <c:pt idx="279">
                  <c:v>7</c:v>
                </c:pt>
                <c:pt idx="280">
                  <c:v>11</c:v>
                </c:pt>
                <c:pt idx="281">
                  <c:v>26</c:v>
                </c:pt>
                <c:pt idx="282">
                  <c:v>14</c:v>
                </c:pt>
                <c:pt idx="283">
                  <c:v>8</c:v>
                </c:pt>
                <c:pt idx="284">
                  <c:v>6</c:v>
                </c:pt>
                <c:pt idx="285">
                  <c:v>7</c:v>
                </c:pt>
                <c:pt idx="286">
                  <c:v>14</c:v>
                </c:pt>
                <c:pt idx="287">
                  <c:v>6</c:v>
                </c:pt>
                <c:pt idx="288">
                  <c:v>7</c:v>
                </c:pt>
              </c:numCache>
            </c:numRef>
          </c:val>
          <c:extLst>
            <c:ext xmlns:c16="http://schemas.microsoft.com/office/drawing/2014/chart" uri="{C3380CC4-5D6E-409C-BE32-E72D297353CC}">
              <c16:uniqueId val="{00000000-AF5A-4FB1-BE63-CC05EEBB60C1}"/>
            </c:ext>
          </c:extLst>
        </c:ser>
        <c:dLbls>
          <c:showLegendKey val="0"/>
          <c:showVal val="1"/>
          <c:showCatName val="0"/>
          <c:showSerName val="0"/>
          <c:showPercent val="0"/>
          <c:showBubbleSize val="0"/>
        </c:dLbls>
        <c:gapWidth val="219"/>
        <c:overlap val="-27"/>
        <c:axId val="738082415"/>
        <c:axId val="738092815"/>
      </c:barChart>
      <c:lineChart>
        <c:grouping val="standard"/>
        <c:varyColors val="0"/>
        <c:ser>
          <c:idx val="1"/>
          <c:order val="1"/>
          <c:tx>
            <c:strRef>
              <c:f>Pivot!$C$173</c:f>
              <c:strCache>
                <c:ptCount val="1"/>
                <c:pt idx="0">
                  <c:v>Sum of Ty le chuyen doi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Pivot!$A$174:$A$476</c:f>
              <c:multiLvlStrCache>
                <c:ptCount val="289"/>
                <c:lvl>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An Giang</c:v>
                  </c:pt>
                  <c:pt idx="25">
                    <c:v>An Phú</c:v>
                  </c:pt>
                  <c:pt idx="26">
                    <c:v>Bà Rịa Vũng Tàu</c:v>
                  </c:pt>
                  <c:pt idx="27">
                    <c:v>Bạc Liêu</c:v>
                  </c:pt>
                  <c:pt idx="28">
                    <c:v>Bến Tre</c:v>
                  </c:pt>
                  <c:pt idx="29">
                    <c:v>Bình Dương</c:v>
                  </c:pt>
                  <c:pt idx="30">
                    <c:v>Bình Phước</c:v>
                  </c:pt>
                  <c:pt idx="31">
                    <c:v>Bình Thuận</c:v>
                  </c:pt>
                  <c:pt idx="32">
                    <c:v>Cà Mau</c:v>
                  </c:pt>
                  <c:pt idx="33">
                    <c:v>Đông Sài Gòn</c:v>
                  </c:pt>
                  <c:pt idx="34">
                    <c:v>Đồng Tháp</c:v>
                  </c:pt>
                  <c:pt idx="35">
                    <c:v>Gia Định</c:v>
                  </c:pt>
                  <c:pt idx="36">
                    <c:v>Kiên Giang</c:v>
                  </c:pt>
                  <c:pt idx="37">
                    <c:v>Kinh Dương Vương</c:v>
                  </c:pt>
                  <c:pt idx="38">
                    <c:v>Long An</c:v>
                  </c:pt>
                  <c:pt idx="39">
                    <c:v>Miền Nam</c:v>
                  </c:pt>
                  <c:pt idx="40">
                    <c:v>Ngọc An</c:v>
                  </c:pt>
                  <c:pt idx="41">
                    <c:v>Ngọc Phát</c:v>
                  </c:pt>
                  <c:pt idx="42">
                    <c:v>Tây Đô</c:v>
                  </c:pt>
                  <c:pt idx="43">
                    <c:v>Tây Ninh</c:v>
                  </c:pt>
                  <c:pt idx="44">
                    <c:v>Tiền Giang</c:v>
                  </c:pt>
                  <c:pt idx="45">
                    <c:v>Trường Chinh</c:v>
                  </c:pt>
                  <c:pt idx="46">
                    <c:v>Việt Hàn</c:v>
                  </c:pt>
                  <c:pt idx="47">
                    <c:v>Vĩnh Long</c:v>
                  </c:pt>
                  <c:pt idx="48">
                    <c:v>An Giang</c:v>
                  </c:pt>
                  <c:pt idx="49">
                    <c:v>An Phú</c:v>
                  </c:pt>
                  <c:pt idx="50">
                    <c:v>Bà Rịa Vũng Tàu</c:v>
                  </c:pt>
                  <c:pt idx="51">
                    <c:v>Bạc Liêu</c:v>
                  </c:pt>
                  <c:pt idx="52">
                    <c:v>Bến Tre</c:v>
                  </c:pt>
                  <c:pt idx="53">
                    <c:v>Bình Dương</c:v>
                  </c:pt>
                  <c:pt idx="54">
                    <c:v>Bình Phước</c:v>
                  </c:pt>
                  <c:pt idx="55">
                    <c:v>Bình Thuận</c:v>
                  </c:pt>
                  <c:pt idx="56">
                    <c:v>Cà Mau</c:v>
                  </c:pt>
                  <c:pt idx="57">
                    <c:v>Đông Sài Gòn</c:v>
                  </c:pt>
                  <c:pt idx="58">
                    <c:v>Đồng Tháp</c:v>
                  </c:pt>
                  <c:pt idx="59">
                    <c:v>Gia Định</c:v>
                  </c:pt>
                  <c:pt idx="60">
                    <c:v>Kiên Giang</c:v>
                  </c:pt>
                  <c:pt idx="61">
                    <c:v>Kinh Dương Vương</c:v>
                  </c:pt>
                  <c:pt idx="62">
                    <c:v>Long An</c:v>
                  </c:pt>
                  <c:pt idx="63">
                    <c:v>Miền Nam</c:v>
                  </c:pt>
                  <c:pt idx="64">
                    <c:v>Ngọc An</c:v>
                  </c:pt>
                  <c:pt idx="65">
                    <c:v>Ngọc Phát</c:v>
                  </c:pt>
                  <c:pt idx="66">
                    <c:v>Tây Đô</c:v>
                  </c:pt>
                  <c:pt idx="67">
                    <c:v>Tây Ninh</c:v>
                  </c:pt>
                  <c:pt idx="68">
                    <c:v>Tiền Giang</c:v>
                  </c:pt>
                  <c:pt idx="69">
                    <c:v>Trường Chinh</c:v>
                  </c:pt>
                  <c:pt idx="70">
                    <c:v>Việt Hàn</c:v>
                  </c:pt>
                  <c:pt idx="71">
                    <c:v>Vĩnh Long</c:v>
                  </c:pt>
                  <c:pt idx="72">
                    <c:v>An Giang</c:v>
                  </c:pt>
                  <c:pt idx="73">
                    <c:v>An Phú</c:v>
                  </c:pt>
                  <c:pt idx="74">
                    <c:v>Bà Rịa Vũng Tàu</c:v>
                  </c:pt>
                  <c:pt idx="75">
                    <c:v>Bạc Liêu</c:v>
                  </c:pt>
                  <c:pt idx="76">
                    <c:v>Bến Tre</c:v>
                  </c:pt>
                  <c:pt idx="77">
                    <c:v>Bình Dương</c:v>
                  </c:pt>
                  <c:pt idx="78">
                    <c:v>Bình Phước</c:v>
                  </c:pt>
                  <c:pt idx="79">
                    <c:v>Bình Thuận</c:v>
                  </c:pt>
                  <c:pt idx="80">
                    <c:v>Cà Mau</c:v>
                  </c:pt>
                  <c:pt idx="81">
                    <c:v>Đông Sài Gòn</c:v>
                  </c:pt>
                  <c:pt idx="82">
                    <c:v>Đồng Tháp</c:v>
                  </c:pt>
                  <c:pt idx="83">
                    <c:v>Gia Định</c:v>
                  </c:pt>
                  <c:pt idx="84">
                    <c:v>Kiên Giang</c:v>
                  </c:pt>
                  <c:pt idx="85">
                    <c:v>Kinh Dương Vương</c:v>
                  </c:pt>
                  <c:pt idx="86">
                    <c:v>Long An</c:v>
                  </c:pt>
                  <c:pt idx="87">
                    <c:v>Miền Nam</c:v>
                  </c:pt>
                  <c:pt idx="88">
                    <c:v>Ngọc An</c:v>
                  </c:pt>
                  <c:pt idx="89">
                    <c:v>Ngọc Phát</c:v>
                  </c:pt>
                  <c:pt idx="90">
                    <c:v>Tây Đô</c:v>
                  </c:pt>
                  <c:pt idx="91">
                    <c:v>Tây Ninh</c:v>
                  </c:pt>
                  <c:pt idx="92">
                    <c:v>Tiền Giang</c:v>
                  </c:pt>
                  <c:pt idx="93">
                    <c:v>Trường Chinh</c:v>
                  </c:pt>
                  <c:pt idx="94">
                    <c:v>Việt Hàn</c:v>
                  </c:pt>
                  <c:pt idx="95">
                    <c:v>Vĩnh Long</c:v>
                  </c:pt>
                  <c:pt idx="96">
                    <c:v>An Giang</c:v>
                  </c:pt>
                  <c:pt idx="97">
                    <c:v>An Phú</c:v>
                  </c:pt>
                  <c:pt idx="98">
                    <c:v>Bà Rịa Vũng Tàu</c:v>
                  </c:pt>
                  <c:pt idx="99">
                    <c:v>Bạc Liêu</c:v>
                  </c:pt>
                  <c:pt idx="100">
                    <c:v>Bến Tre</c:v>
                  </c:pt>
                  <c:pt idx="101">
                    <c:v>Bình Dương</c:v>
                  </c:pt>
                  <c:pt idx="102">
                    <c:v>Bình Phước</c:v>
                  </c:pt>
                  <c:pt idx="103">
                    <c:v>Bình Thuận</c:v>
                  </c:pt>
                  <c:pt idx="104">
                    <c:v>Cà Mau</c:v>
                  </c:pt>
                  <c:pt idx="105">
                    <c:v>Đông Sài Gòn</c:v>
                  </c:pt>
                  <c:pt idx="106">
                    <c:v>Đồng Tháp</c:v>
                  </c:pt>
                  <c:pt idx="107">
                    <c:v>Gia Định</c:v>
                  </c:pt>
                  <c:pt idx="108">
                    <c:v>Kiên Giang</c:v>
                  </c:pt>
                  <c:pt idx="109">
                    <c:v>Kinh Dương Vương</c:v>
                  </c:pt>
                  <c:pt idx="110">
                    <c:v>Long An</c:v>
                  </c:pt>
                  <c:pt idx="111">
                    <c:v>Miền Nam</c:v>
                  </c:pt>
                  <c:pt idx="112">
                    <c:v>Ngọc An</c:v>
                  </c:pt>
                  <c:pt idx="113">
                    <c:v>Ngọc Phát</c:v>
                  </c:pt>
                  <c:pt idx="114">
                    <c:v>Tây Đô</c:v>
                  </c:pt>
                  <c:pt idx="115">
                    <c:v>Tây Ninh</c:v>
                  </c:pt>
                  <c:pt idx="116">
                    <c:v>Tiền Giang</c:v>
                  </c:pt>
                  <c:pt idx="117">
                    <c:v>Trường Chinh</c:v>
                  </c:pt>
                  <c:pt idx="118">
                    <c:v>Việt Hàn</c:v>
                  </c:pt>
                  <c:pt idx="119">
                    <c:v>Vĩnh Long</c:v>
                  </c:pt>
                  <c:pt idx="120">
                    <c:v>An Giang</c:v>
                  </c:pt>
                  <c:pt idx="121">
                    <c:v>An Phú</c:v>
                  </c:pt>
                  <c:pt idx="122">
                    <c:v>Bà Rịa Vũng Tàu</c:v>
                  </c:pt>
                  <c:pt idx="123">
                    <c:v>Bạc Liêu</c:v>
                  </c:pt>
                  <c:pt idx="124">
                    <c:v>Bến Tre</c:v>
                  </c:pt>
                  <c:pt idx="125">
                    <c:v>Bình Dương</c:v>
                  </c:pt>
                  <c:pt idx="126">
                    <c:v>Bình Phước</c:v>
                  </c:pt>
                  <c:pt idx="127">
                    <c:v>Bình Thuận</c:v>
                  </c:pt>
                  <c:pt idx="128">
                    <c:v>Cà Mau</c:v>
                  </c:pt>
                  <c:pt idx="129">
                    <c:v>Đông Sài Gòn</c:v>
                  </c:pt>
                  <c:pt idx="130">
                    <c:v>Đồng Tháp</c:v>
                  </c:pt>
                  <c:pt idx="131">
                    <c:v>Gia Định</c:v>
                  </c:pt>
                  <c:pt idx="132">
                    <c:v>Kiên Giang</c:v>
                  </c:pt>
                  <c:pt idx="133">
                    <c:v>Kinh Dương Vương</c:v>
                  </c:pt>
                  <c:pt idx="134">
                    <c:v>Long An</c:v>
                  </c:pt>
                  <c:pt idx="135">
                    <c:v>Miền Nam</c:v>
                  </c:pt>
                  <c:pt idx="136">
                    <c:v>Ngọc An</c:v>
                  </c:pt>
                  <c:pt idx="137">
                    <c:v>Ngọc Phát</c:v>
                  </c:pt>
                  <c:pt idx="138">
                    <c:v>Tây Đô</c:v>
                  </c:pt>
                  <c:pt idx="139">
                    <c:v>Tây Ninh</c:v>
                  </c:pt>
                  <c:pt idx="140">
                    <c:v>Tiền Giang</c:v>
                  </c:pt>
                  <c:pt idx="141">
                    <c:v>Trường Chinh</c:v>
                  </c:pt>
                  <c:pt idx="142">
                    <c:v>Việt Hàn</c:v>
                  </c:pt>
                  <c:pt idx="143">
                    <c:v>Vĩnh Long</c:v>
                  </c:pt>
                  <c:pt idx="144">
                    <c:v>An Giang</c:v>
                  </c:pt>
                  <c:pt idx="145">
                    <c:v>An Phú</c:v>
                  </c:pt>
                  <c:pt idx="146">
                    <c:v>Bà Rịa Vũng Tàu</c:v>
                  </c:pt>
                  <c:pt idx="147">
                    <c:v>Bạc Liêu</c:v>
                  </c:pt>
                  <c:pt idx="148">
                    <c:v>Bến Tre</c:v>
                  </c:pt>
                  <c:pt idx="149">
                    <c:v>Bình Dương</c:v>
                  </c:pt>
                  <c:pt idx="150">
                    <c:v>Bình Phước</c:v>
                  </c:pt>
                  <c:pt idx="151">
                    <c:v>Bình Thuận</c:v>
                  </c:pt>
                  <c:pt idx="152">
                    <c:v>Cà Mau</c:v>
                  </c:pt>
                  <c:pt idx="153">
                    <c:v>Đông Sài Gòn</c:v>
                  </c:pt>
                  <c:pt idx="154">
                    <c:v>Đồng Tháp</c:v>
                  </c:pt>
                  <c:pt idx="155">
                    <c:v>Gia Định</c:v>
                  </c:pt>
                  <c:pt idx="156">
                    <c:v>Kiên Giang</c:v>
                  </c:pt>
                  <c:pt idx="157">
                    <c:v>Kinh Dương Vương</c:v>
                  </c:pt>
                  <c:pt idx="158">
                    <c:v>Long An</c:v>
                  </c:pt>
                  <c:pt idx="159">
                    <c:v>Miền Nam</c:v>
                  </c:pt>
                  <c:pt idx="160">
                    <c:v>Ngọc An</c:v>
                  </c:pt>
                  <c:pt idx="161">
                    <c:v>Ngọc Phát</c:v>
                  </c:pt>
                  <c:pt idx="162">
                    <c:v>Tây Đô</c:v>
                  </c:pt>
                  <c:pt idx="163">
                    <c:v>Tây Ninh</c:v>
                  </c:pt>
                  <c:pt idx="164">
                    <c:v>Tiền Giang</c:v>
                  </c:pt>
                  <c:pt idx="165">
                    <c:v>Trường Chinh</c:v>
                  </c:pt>
                  <c:pt idx="166">
                    <c:v>Việt Hàn</c:v>
                  </c:pt>
                  <c:pt idx="167">
                    <c:v>Vĩnh Long</c:v>
                  </c:pt>
                  <c:pt idx="168">
                    <c:v>An Giang</c:v>
                  </c:pt>
                  <c:pt idx="169">
                    <c:v>An Phú</c:v>
                  </c:pt>
                  <c:pt idx="170">
                    <c:v>Bà Rịa Vũng Tàu</c:v>
                  </c:pt>
                  <c:pt idx="171">
                    <c:v>Bạc Liêu</c:v>
                  </c:pt>
                  <c:pt idx="172">
                    <c:v>Bến Tre</c:v>
                  </c:pt>
                  <c:pt idx="173">
                    <c:v>Bình Dương</c:v>
                  </c:pt>
                  <c:pt idx="174">
                    <c:v>Bình Phước</c:v>
                  </c:pt>
                  <c:pt idx="175">
                    <c:v>Bình Thuận</c:v>
                  </c:pt>
                  <c:pt idx="176">
                    <c:v>Cà Mau</c:v>
                  </c:pt>
                  <c:pt idx="177">
                    <c:v>Đông Sài Gòn</c:v>
                  </c:pt>
                  <c:pt idx="178">
                    <c:v>Đồng Tháp</c:v>
                  </c:pt>
                  <c:pt idx="179">
                    <c:v>Gia Định</c:v>
                  </c:pt>
                  <c:pt idx="180">
                    <c:v>Kiên Giang</c:v>
                  </c:pt>
                  <c:pt idx="181">
                    <c:v>Kinh Dương Vương</c:v>
                  </c:pt>
                  <c:pt idx="182">
                    <c:v>Long An</c:v>
                  </c:pt>
                  <c:pt idx="183">
                    <c:v>Miền Nam</c:v>
                  </c:pt>
                  <c:pt idx="184">
                    <c:v>Ngọc An</c:v>
                  </c:pt>
                  <c:pt idx="185">
                    <c:v>Ngọc Phát</c:v>
                  </c:pt>
                  <c:pt idx="186">
                    <c:v>Tây Đô</c:v>
                  </c:pt>
                  <c:pt idx="187">
                    <c:v>Tây Ninh</c:v>
                  </c:pt>
                  <c:pt idx="188">
                    <c:v>Tiền Giang</c:v>
                  </c:pt>
                  <c:pt idx="189">
                    <c:v>Trường Chinh</c:v>
                  </c:pt>
                  <c:pt idx="190">
                    <c:v>Việt Hàn</c:v>
                  </c:pt>
                  <c:pt idx="191">
                    <c:v>Vĩnh Long</c:v>
                  </c:pt>
                  <c:pt idx="192">
                    <c:v>An Giang</c:v>
                  </c:pt>
                  <c:pt idx="193">
                    <c:v>An Phú</c:v>
                  </c:pt>
                  <c:pt idx="194">
                    <c:v>Bà Rịa Vũng Tàu</c:v>
                  </c:pt>
                  <c:pt idx="195">
                    <c:v>Bạc Liêu</c:v>
                  </c:pt>
                  <c:pt idx="196">
                    <c:v>Bến Tre</c:v>
                  </c:pt>
                  <c:pt idx="197">
                    <c:v>Bình Dương</c:v>
                  </c:pt>
                  <c:pt idx="198">
                    <c:v>Bình Phước</c:v>
                  </c:pt>
                  <c:pt idx="199">
                    <c:v>Bình Thuận</c:v>
                  </c:pt>
                  <c:pt idx="200">
                    <c:v>Cà Mau</c:v>
                  </c:pt>
                  <c:pt idx="201">
                    <c:v>Đông Sài Gòn</c:v>
                  </c:pt>
                  <c:pt idx="202">
                    <c:v>Đồng Tháp</c:v>
                  </c:pt>
                  <c:pt idx="203">
                    <c:v>Gia Định</c:v>
                  </c:pt>
                  <c:pt idx="204">
                    <c:v>Kiên Giang</c:v>
                  </c:pt>
                  <c:pt idx="205">
                    <c:v>Kinh Dương Vương</c:v>
                  </c:pt>
                  <c:pt idx="206">
                    <c:v>Long An</c:v>
                  </c:pt>
                  <c:pt idx="207">
                    <c:v>Miền Nam</c:v>
                  </c:pt>
                  <c:pt idx="208">
                    <c:v>Ngọc An</c:v>
                  </c:pt>
                  <c:pt idx="209">
                    <c:v>Ngọc Phát</c:v>
                  </c:pt>
                  <c:pt idx="210">
                    <c:v>Tây Đô</c:v>
                  </c:pt>
                  <c:pt idx="211">
                    <c:v>Tây Ninh</c:v>
                  </c:pt>
                  <c:pt idx="212">
                    <c:v>Tiền Giang</c:v>
                  </c:pt>
                  <c:pt idx="213">
                    <c:v>Trường Chinh</c:v>
                  </c:pt>
                  <c:pt idx="214">
                    <c:v>Việt Hàn</c:v>
                  </c:pt>
                  <c:pt idx="215">
                    <c:v>Vĩnh Long</c:v>
                  </c:pt>
                  <c:pt idx="216">
                    <c:v>An Giang</c:v>
                  </c:pt>
                  <c:pt idx="217">
                    <c:v>An Phú</c:v>
                  </c:pt>
                  <c:pt idx="218">
                    <c:v>Bà Rịa Vũng Tàu</c:v>
                  </c:pt>
                  <c:pt idx="219">
                    <c:v>Bạc Liêu</c:v>
                  </c:pt>
                  <c:pt idx="220">
                    <c:v>Bến Tre</c:v>
                  </c:pt>
                  <c:pt idx="221">
                    <c:v>Bình Dương</c:v>
                  </c:pt>
                  <c:pt idx="222">
                    <c:v>Bình Phước</c:v>
                  </c:pt>
                  <c:pt idx="223">
                    <c:v>Bình Thuận</c:v>
                  </c:pt>
                  <c:pt idx="224">
                    <c:v>Cà Mau</c:v>
                  </c:pt>
                  <c:pt idx="225">
                    <c:v>Đông Sài Gòn</c:v>
                  </c:pt>
                  <c:pt idx="226">
                    <c:v>Đồng Tháp</c:v>
                  </c:pt>
                  <c:pt idx="227">
                    <c:v>Gia Định</c:v>
                  </c:pt>
                  <c:pt idx="228">
                    <c:v>Kiên Giang</c:v>
                  </c:pt>
                  <c:pt idx="229">
                    <c:v>Kinh Dương Vương</c:v>
                  </c:pt>
                  <c:pt idx="230">
                    <c:v>Long An</c:v>
                  </c:pt>
                  <c:pt idx="231">
                    <c:v>Miền Nam</c:v>
                  </c:pt>
                  <c:pt idx="232">
                    <c:v>Ngọc An</c:v>
                  </c:pt>
                  <c:pt idx="233">
                    <c:v>Ngọc Phát</c:v>
                  </c:pt>
                  <c:pt idx="234">
                    <c:v>Tây Đô</c:v>
                  </c:pt>
                  <c:pt idx="235">
                    <c:v>Tây Ninh</c:v>
                  </c:pt>
                  <c:pt idx="236">
                    <c:v>Tiền Giang</c:v>
                  </c:pt>
                  <c:pt idx="237">
                    <c:v>Trường Chinh</c:v>
                  </c:pt>
                  <c:pt idx="238">
                    <c:v>Việt Hàn</c:v>
                  </c:pt>
                  <c:pt idx="239">
                    <c:v>Vĩnh Long</c:v>
                  </c:pt>
                  <c:pt idx="240">
                    <c:v>An Giang</c:v>
                  </c:pt>
                  <c:pt idx="241">
                    <c:v>An Phú</c:v>
                  </c:pt>
                  <c:pt idx="242">
                    <c:v>Bà Rịa Vũng Tàu</c:v>
                  </c:pt>
                  <c:pt idx="243">
                    <c:v>Bạc Liêu</c:v>
                  </c:pt>
                  <c:pt idx="244">
                    <c:v>Bến Tre</c:v>
                  </c:pt>
                  <c:pt idx="245">
                    <c:v>Bình Dương</c:v>
                  </c:pt>
                  <c:pt idx="246">
                    <c:v>Bình Phước</c:v>
                  </c:pt>
                  <c:pt idx="247">
                    <c:v>Bình Thuận</c:v>
                  </c:pt>
                  <c:pt idx="248">
                    <c:v>Cà Mau</c:v>
                  </c:pt>
                  <c:pt idx="249">
                    <c:v>Đông Sài Gòn</c:v>
                  </c:pt>
                  <c:pt idx="250">
                    <c:v>Đồng Tháp</c:v>
                  </c:pt>
                  <c:pt idx="251">
                    <c:v>Gia Định</c:v>
                  </c:pt>
                  <c:pt idx="252">
                    <c:v>Kiên Giang</c:v>
                  </c:pt>
                  <c:pt idx="253">
                    <c:v>Kinh Dương Vương</c:v>
                  </c:pt>
                  <c:pt idx="254">
                    <c:v>Long An</c:v>
                  </c:pt>
                  <c:pt idx="255">
                    <c:v>Miền Nam</c:v>
                  </c:pt>
                  <c:pt idx="256">
                    <c:v>Ngọc An</c:v>
                  </c:pt>
                  <c:pt idx="257">
                    <c:v>Ngọc Phát</c:v>
                  </c:pt>
                  <c:pt idx="258">
                    <c:v>Tây Đô</c:v>
                  </c:pt>
                  <c:pt idx="259">
                    <c:v>Tây Ninh</c:v>
                  </c:pt>
                  <c:pt idx="260">
                    <c:v>Tiền Giang</c:v>
                  </c:pt>
                  <c:pt idx="261">
                    <c:v>Trường Chinh</c:v>
                  </c:pt>
                  <c:pt idx="262">
                    <c:v>Việt Hàn</c:v>
                  </c:pt>
                  <c:pt idx="263">
                    <c:v>Vĩnh Long</c:v>
                  </c:pt>
                  <c:pt idx="264">
                    <c:v>(blank)</c:v>
                  </c:pt>
                  <c:pt idx="265">
                    <c:v>An Giang</c:v>
                  </c:pt>
                  <c:pt idx="266">
                    <c:v>An Phú</c:v>
                  </c:pt>
                  <c:pt idx="267">
                    <c:v>Bà Rịa Vũng Tàu</c:v>
                  </c:pt>
                  <c:pt idx="268">
                    <c:v>Bạc Liêu</c:v>
                  </c:pt>
                  <c:pt idx="269">
                    <c:v>Bến Tre</c:v>
                  </c:pt>
                  <c:pt idx="270">
                    <c:v>Bình Dương</c:v>
                  </c:pt>
                  <c:pt idx="271">
                    <c:v>Bình Phước</c:v>
                  </c:pt>
                  <c:pt idx="272">
                    <c:v>Bình Thuận</c:v>
                  </c:pt>
                  <c:pt idx="273">
                    <c:v>Cà Mau</c:v>
                  </c:pt>
                  <c:pt idx="274">
                    <c:v>Đông Sài Gòn</c:v>
                  </c:pt>
                  <c:pt idx="275">
                    <c:v>Đồng Tháp</c:v>
                  </c:pt>
                  <c:pt idx="276">
                    <c:v>Gia Định</c:v>
                  </c:pt>
                  <c:pt idx="277">
                    <c:v>Kiên Giang</c:v>
                  </c:pt>
                  <c:pt idx="278">
                    <c:v>Kinh Dương Vương</c:v>
                  </c:pt>
                  <c:pt idx="279">
                    <c:v>Long An</c:v>
                  </c:pt>
                  <c:pt idx="280">
                    <c:v>Miền Nam</c:v>
                  </c:pt>
                  <c:pt idx="281">
                    <c:v>Ngọc An</c:v>
                  </c:pt>
                  <c:pt idx="282">
                    <c:v>Ngọc Phát</c:v>
                  </c:pt>
                  <c:pt idx="283">
                    <c:v>Tây Đô</c:v>
                  </c:pt>
                  <c:pt idx="284">
                    <c:v>Tây Ninh</c:v>
                  </c:pt>
                  <c:pt idx="285">
                    <c:v>Tiền Giang</c:v>
                  </c:pt>
                  <c:pt idx="286">
                    <c:v>Trường Chinh</c:v>
                  </c:pt>
                  <c:pt idx="287">
                    <c:v>Việt Hàn</c:v>
                  </c:pt>
                  <c:pt idx="288">
                    <c:v>Vĩnh Long</c:v>
                  </c:pt>
                </c:lvl>
                <c:lvl>
                  <c:pt idx="0">
                    <c:v>1</c:v>
                  </c:pt>
                  <c:pt idx="24">
                    <c:v>2</c:v>
                  </c:pt>
                  <c:pt idx="48">
                    <c:v>3</c:v>
                  </c:pt>
                  <c:pt idx="72">
                    <c:v>4</c:v>
                  </c:pt>
                  <c:pt idx="96">
                    <c:v>5</c:v>
                  </c:pt>
                  <c:pt idx="120">
                    <c:v>6</c:v>
                  </c:pt>
                  <c:pt idx="144">
                    <c:v>7</c:v>
                  </c:pt>
                  <c:pt idx="168">
                    <c:v>8</c:v>
                  </c:pt>
                  <c:pt idx="192">
                    <c:v>9</c:v>
                  </c:pt>
                  <c:pt idx="216">
                    <c:v>10</c:v>
                  </c:pt>
                  <c:pt idx="240">
                    <c:v>11</c:v>
                  </c:pt>
                  <c:pt idx="264">
                    <c:v>(blank)</c:v>
                  </c:pt>
                  <c:pt idx="265">
                    <c:v>12</c:v>
                  </c:pt>
                </c:lvl>
              </c:multiLvlStrCache>
            </c:multiLvlStrRef>
          </c:cat>
          <c:val>
            <c:numRef>
              <c:f>Pivot!$C$174:$C$476</c:f>
              <c:numCache>
                <c:formatCode>0%</c:formatCode>
                <c:ptCount val="289"/>
                <c:pt idx="0">
                  <c:v>7.3394495412844041E-2</c:v>
                </c:pt>
                <c:pt idx="1">
                  <c:v>#N/A</c:v>
                </c:pt>
                <c:pt idx="2">
                  <c:v>0.10849056603773585</c:v>
                </c:pt>
                <c:pt idx="3">
                  <c:v>2.4793388429752067E-2</c:v>
                </c:pt>
                <c:pt idx="4">
                  <c:v>1.7543859649122806E-2</c:v>
                </c:pt>
                <c:pt idx="5">
                  <c:v>4.975124378109453E-2</c:v>
                </c:pt>
                <c:pt idx="6">
                  <c:v>5.0847457627118647E-2</c:v>
                </c:pt>
                <c:pt idx="7">
                  <c:v>0.11180124223602485</c:v>
                </c:pt>
                <c:pt idx="8">
                  <c:v>0.10152284263959391</c:v>
                </c:pt>
                <c:pt idx="9">
                  <c:v>1.680672268907563E-2</c:v>
                </c:pt>
                <c:pt idx="10">
                  <c:v>0.12962962962962962</c:v>
                </c:pt>
                <c:pt idx="11">
                  <c:v>9.7087378640776691E-3</c:v>
                </c:pt>
                <c:pt idx="12">
                  <c:v>6.097560975609756E-2</c:v>
                </c:pt>
                <c:pt idx="13">
                  <c:v>#N/A</c:v>
                </c:pt>
                <c:pt idx="14">
                  <c:v>0.22666666666666666</c:v>
                </c:pt>
                <c:pt idx="15">
                  <c:v>2.7777777777777776E-2</c:v>
                </c:pt>
                <c:pt idx="16">
                  <c:v>5.7251908396946563E-2</c:v>
                </c:pt>
                <c:pt idx="17">
                  <c:v>4.363636363636364E-2</c:v>
                </c:pt>
                <c:pt idx="18">
                  <c:v>2.0618556701030927E-2</c:v>
                </c:pt>
                <c:pt idx="19">
                  <c:v>6.9620253164556958E-2</c:v>
                </c:pt>
                <c:pt idx="20">
                  <c:v>0.34615384615384615</c:v>
                </c:pt>
                <c:pt idx="21">
                  <c:v>#N/A</c:v>
                </c:pt>
                <c:pt idx="22">
                  <c:v>2.2556390977443608E-2</c:v>
                </c:pt>
                <c:pt idx="23">
                  <c:v>2.7522935779816515E-2</c:v>
                </c:pt>
                <c:pt idx="24">
                  <c:v>7.1005917159763315E-2</c:v>
                </c:pt>
                <c:pt idx="25">
                  <c:v>#N/A</c:v>
                </c:pt>
                <c:pt idx="26">
                  <c:v>8.2352941176470587E-2</c:v>
                </c:pt>
                <c:pt idx="27">
                  <c:v>3.5087719298245612E-2</c:v>
                </c:pt>
                <c:pt idx="28">
                  <c:v>0</c:v>
                </c:pt>
                <c:pt idx="29">
                  <c:v>0.10714285714285714</c:v>
                </c:pt>
                <c:pt idx="30">
                  <c:v>8.4337349397590355E-2</c:v>
                </c:pt>
                <c:pt idx="31">
                  <c:v>7.407407407407407E-2</c:v>
                </c:pt>
                <c:pt idx="32">
                  <c:v>9.1787439613526575E-2</c:v>
                </c:pt>
                <c:pt idx="33">
                  <c:v>0.10344827586206896</c:v>
                </c:pt>
                <c:pt idx="34">
                  <c:v>0.1</c:v>
                </c:pt>
                <c:pt idx="35">
                  <c:v>1.4388489208633094E-2</c:v>
                </c:pt>
                <c:pt idx="36">
                  <c:v>3.4965034965034968E-2</c:v>
                </c:pt>
                <c:pt idx="37">
                  <c:v>#N/A</c:v>
                </c:pt>
                <c:pt idx="38">
                  <c:v>0.15909090909090909</c:v>
                </c:pt>
                <c:pt idx="39">
                  <c:v>0</c:v>
                </c:pt>
                <c:pt idx="40">
                  <c:v>4.878048780487805E-2</c:v>
                </c:pt>
                <c:pt idx="41">
                  <c:v>4.4692737430167599E-2</c:v>
                </c:pt>
                <c:pt idx="42">
                  <c:v>5.0505050505050504E-2</c:v>
                </c:pt>
                <c:pt idx="43">
                  <c:v>6.5217391304347824E-2</c:v>
                </c:pt>
                <c:pt idx="44">
                  <c:v>0.13513513513513514</c:v>
                </c:pt>
                <c:pt idx="45">
                  <c:v>0</c:v>
                </c:pt>
                <c:pt idx="46">
                  <c:v>1.2195121951219513E-2</c:v>
                </c:pt>
                <c:pt idx="47">
                  <c:v>3.5714285714285712E-2</c:v>
                </c:pt>
                <c:pt idx="48">
                  <c:v>9.0225563909774431E-2</c:v>
                </c:pt>
                <c:pt idx="49">
                  <c:v>#N/A</c:v>
                </c:pt>
                <c:pt idx="50">
                  <c:v>0.10309278350515463</c:v>
                </c:pt>
                <c:pt idx="51">
                  <c:v>1.8518518518518517E-2</c:v>
                </c:pt>
                <c:pt idx="52">
                  <c:v>3.9215686274509803E-2</c:v>
                </c:pt>
                <c:pt idx="53">
                  <c:v>9.0090090090090086E-2</c:v>
                </c:pt>
                <c:pt idx="54">
                  <c:v>0.11363636363636363</c:v>
                </c:pt>
                <c:pt idx="55">
                  <c:v>0.11009174311926606</c:v>
                </c:pt>
                <c:pt idx="56">
                  <c:v>0.1419753086419753</c:v>
                </c:pt>
                <c:pt idx="57">
                  <c:v>8.7866108786610872E-2</c:v>
                </c:pt>
                <c:pt idx="58">
                  <c:v>8.3333333333333329E-2</c:v>
                </c:pt>
                <c:pt idx="59">
                  <c:v>1.7441860465116279E-2</c:v>
                </c:pt>
                <c:pt idx="60">
                  <c:v>0.33333333333333331</c:v>
                </c:pt>
                <c:pt idx="61">
                  <c:v>1.5748031496062992E-2</c:v>
                </c:pt>
                <c:pt idx="62">
                  <c:v>0.13559322033898305</c:v>
                </c:pt>
                <c:pt idx="63">
                  <c:v>4.5454545454545456E-2</c:v>
                </c:pt>
                <c:pt idx="64">
                  <c:v>4.5714285714285714E-2</c:v>
                </c:pt>
                <c:pt idx="65">
                  <c:v>6.6666666666666666E-2</c:v>
                </c:pt>
                <c:pt idx="66">
                  <c:v>7.6923076923076927E-2</c:v>
                </c:pt>
                <c:pt idx="67">
                  <c:v>0.12871287128712872</c:v>
                </c:pt>
                <c:pt idx="68">
                  <c:v>0.10416666666666667</c:v>
                </c:pt>
                <c:pt idx="69">
                  <c:v>2.8409090909090908E-2</c:v>
                </c:pt>
                <c:pt idx="70">
                  <c:v>5.9523809523809521E-3</c:v>
                </c:pt>
                <c:pt idx="71">
                  <c:v>1.8518518518518517E-2</c:v>
                </c:pt>
                <c:pt idx="72">
                  <c:v>7.5268817204301078E-2</c:v>
                </c:pt>
                <c:pt idx="73">
                  <c:v>#N/A</c:v>
                </c:pt>
                <c:pt idx="74">
                  <c:v>0.10204081632653061</c:v>
                </c:pt>
                <c:pt idx="75">
                  <c:v>5.1948051948051951E-2</c:v>
                </c:pt>
                <c:pt idx="76">
                  <c:v>2.1276595744680851E-2</c:v>
                </c:pt>
                <c:pt idx="77">
                  <c:v>0.11363636363636363</c:v>
                </c:pt>
                <c:pt idx="78">
                  <c:v>7.6388888888888895E-2</c:v>
                </c:pt>
                <c:pt idx="79">
                  <c:v>0.11392405063291139</c:v>
                </c:pt>
                <c:pt idx="80">
                  <c:v>8.0645161290322578E-2</c:v>
                </c:pt>
                <c:pt idx="81">
                  <c:v>0.12755102040816327</c:v>
                </c:pt>
                <c:pt idx="82">
                  <c:v>6.4171122994652413E-2</c:v>
                </c:pt>
                <c:pt idx="83">
                  <c:v>5.4945054945054944E-2</c:v>
                </c:pt>
                <c:pt idx="84">
                  <c:v>0.35714285714285715</c:v>
                </c:pt>
                <c:pt idx="85">
                  <c:v>0.15094339622641509</c:v>
                </c:pt>
                <c:pt idx="86">
                  <c:v>7.3170731707317069E-2</c:v>
                </c:pt>
                <c:pt idx="87">
                  <c:v>2.247191011235955E-2</c:v>
                </c:pt>
                <c:pt idx="88">
                  <c:v>9.8765432098765427E-2</c:v>
                </c:pt>
                <c:pt idx="89">
                  <c:v>0.13043478260869565</c:v>
                </c:pt>
                <c:pt idx="90">
                  <c:v>6.9230769230769235E-2</c:v>
                </c:pt>
                <c:pt idx="91">
                  <c:v>0.34523809523809523</c:v>
                </c:pt>
                <c:pt idx="92">
                  <c:v>6.9444444444444448E-2</c:v>
                </c:pt>
                <c:pt idx="93">
                  <c:v>1.1363636363636364E-2</c:v>
                </c:pt>
                <c:pt idx="94">
                  <c:v>1.7857142857142856E-2</c:v>
                </c:pt>
                <c:pt idx="95">
                  <c:v>2.1276595744680851E-2</c:v>
                </c:pt>
                <c:pt idx="96">
                  <c:v>2.6143790849673203E-2</c:v>
                </c:pt>
                <c:pt idx="97">
                  <c:v>0</c:v>
                </c:pt>
                <c:pt idx="98">
                  <c:v>0.14942528735632185</c:v>
                </c:pt>
                <c:pt idx="99">
                  <c:v>0.12269938650306748</c:v>
                </c:pt>
                <c:pt idx="100">
                  <c:v>4.6153846153846156E-2</c:v>
                </c:pt>
                <c:pt idx="101">
                  <c:v>0.1111111111111111</c:v>
                </c:pt>
                <c:pt idx="102">
                  <c:v>0.19607843137254902</c:v>
                </c:pt>
                <c:pt idx="103">
                  <c:v>0.12727272727272726</c:v>
                </c:pt>
                <c:pt idx="104">
                  <c:v>0.1417910447761194</c:v>
                </c:pt>
                <c:pt idx="105">
                  <c:v>8.3769633507853408E-2</c:v>
                </c:pt>
                <c:pt idx="106">
                  <c:v>5.5865921787709494E-2</c:v>
                </c:pt>
                <c:pt idx="107">
                  <c:v>9.6153846153846159E-2</c:v>
                </c:pt>
                <c:pt idx="108">
                  <c:v>0.34</c:v>
                </c:pt>
                <c:pt idx="109">
                  <c:v>0.11320754716981132</c:v>
                </c:pt>
                <c:pt idx="110">
                  <c:v>0.21739130434782608</c:v>
                </c:pt>
                <c:pt idx="111">
                  <c:v>0.13953488372093023</c:v>
                </c:pt>
                <c:pt idx="112">
                  <c:v>3.3755274261603373E-2</c:v>
                </c:pt>
                <c:pt idx="113">
                  <c:v>0.36979166666666669</c:v>
                </c:pt>
                <c:pt idx="114">
                  <c:v>0.04</c:v>
                </c:pt>
                <c:pt idx="115">
                  <c:v>5.5555555555555552E-2</c:v>
                </c:pt>
                <c:pt idx="116">
                  <c:v>4.5977011494252873E-2</c:v>
                </c:pt>
                <c:pt idx="117">
                  <c:v>7.3529411764705885E-2</c:v>
                </c:pt>
                <c:pt idx="118">
                  <c:v>2.6086956521739129E-2</c:v>
                </c:pt>
                <c:pt idx="119">
                  <c:v>2.7777777777777776E-2</c:v>
                </c:pt>
                <c:pt idx="120">
                  <c:v>2.030456852791878E-2</c:v>
                </c:pt>
                <c:pt idx="121">
                  <c:v>#N/A</c:v>
                </c:pt>
                <c:pt idx="122">
                  <c:v>6.1068702290076333E-2</c:v>
                </c:pt>
                <c:pt idx="123">
                  <c:v>3.6363636363636362E-2</c:v>
                </c:pt>
                <c:pt idx="124">
                  <c:v>2.1428571428571429E-2</c:v>
                </c:pt>
                <c:pt idx="125">
                  <c:v>1.8329938900203666E-2</c:v>
                </c:pt>
                <c:pt idx="126">
                  <c:v>3.6363636363636362E-2</c:v>
                </c:pt>
                <c:pt idx="127">
                  <c:v>0.16470588235294117</c:v>
                </c:pt>
                <c:pt idx="128">
                  <c:v>8.0808080808080815E-2</c:v>
                </c:pt>
                <c:pt idx="129">
                  <c:v>6.4516129032258064E-3</c:v>
                </c:pt>
                <c:pt idx="130">
                  <c:v>8.5365853658536592E-2</c:v>
                </c:pt>
                <c:pt idx="131">
                  <c:v>0.2857142857142857</c:v>
                </c:pt>
                <c:pt idx="132">
                  <c:v>7.1428571428571425E-2</c:v>
                </c:pt>
                <c:pt idx="133">
                  <c:v>0.16129032258064516</c:v>
                </c:pt>
                <c:pt idx="134">
                  <c:v>0.12195121951219512</c:v>
                </c:pt>
                <c:pt idx="135">
                  <c:v>0.04</c:v>
                </c:pt>
                <c:pt idx="136">
                  <c:v>8.9108910891089105E-2</c:v>
                </c:pt>
                <c:pt idx="137">
                  <c:v>6.0913705583756347E-2</c:v>
                </c:pt>
                <c:pt idx="138">
                  <c:v>2.5210084033613446E-2</c:v>
                </c:pt>
                <c:pt idx="139">
                  <c:v>4.6153846153846156E-2</c:v>
                </c:pt>
                <c:pt idx="140">
                  <c:v>0.12987012987012986</c:v>
                </c:pt>
                <c:pt idx="141">
                  <c:v>5.7591623036649213E-2</c:v>
                </c:pt>
                <c:pt idx="142">
                  <c:v>1.9736842105263157E-2</c:v>
                </c:pt>
                <c:pt idx="143">
                  <c:v>2.3622047244094488E-2</c:v>
                </c:pt>
                <c:pt idx="144">
                  <c:v>7.3529411764705885E-2</c:v>
                </c:pt>
                <c:pt idx="145">
                  <c:v>#N/A</c:v>
                </c:pt>
                <c:pt idx="146">
                  <c:v>0.125</c:v>
                </c:pt>
                <c:pt idx="147">
                  <c:v>1.9900497512437811E-2</c:v>
                </c:pt>
                <c:pt idx="148">
                  <c:v>3.0769230769230771E-2</c:v>
                </c:pt>
                <c:pt idx="149">
                  <c:v>0.10909090909090909</c:v>
                </c:pt>
                <c:pt idx="150">
                  <c:v>0.14473684210526316</c:v>
                </c:pt>
                <c:pt idx="151">
                  <c:v>0.10280373831775701</c:v>
                </c:pt>
                <c:pt idx="152">
                  <c:v>6.363636363636363E-2</c:v>
                </c:pt>
                <c:pt idx="153">
                  <c:v>9.4736842105263161E-2</c:v>
                </c:pt>
                <c:pt idx="154">
                  <c:v>6.5934065934065936E-2</c:v>
                </c:pt>
                <c:pt idx="155">
                  <c:v>8.1395348837209308E-2</c:v>
                </c:pt>
                <c:pt idx="156">
                  <c:v>0.13829787234042554</c:v>
                </c:pt>
                <c:pt idx="157">
                  <c:v>0.16949152542372881</c:v>
                </c:pt>
                <c:pt idx="158">
                  <c:v>7.0754716981132074E-2</c:v>
                </c:pt>
                <c:pt idx="159">
                  <c:v>#N/A</c:v>
                </c:pt>
                <c:pt idx="160">
                  <c:v>0.26363636363636361</c:v>
                </c:pt>
                <c:pt idx="161">
                  <c:v>0.11515151515151516</c:v>
                </c:pt>
                <c:pt idx="162">
                  <c:v>5.7142857142857141E-2</c:v>
                </c:pt>
                <c:pt idx="163">
                  <c:v>4.6052631578947366E-2</c:v>
                </c:pt>
                <c:pt idx="164">
                  <c:v>0.16470588235294117</c:v>
                </c:pt>
                <c:pt idx="165">
                  <c:v>0.16113744075829384</c:v>
                </c:pt>
                <c:pt idx="166">
                  <c:v>4.49438202247191E-2</c:v>
                </c:pt>
                <c:pt idx="167">
                  <c:v>3.4883720930232558E-2</c:v>
                </c:pt>
                <c:pt idx="168">
                  <c:v>6.25E-2</c:v>
                </c:pt>
                <c:pt idx="169">
                  <c:v>1.9607843137254902E-2</c:v>
                </c:pt>
                <c:pt idx="170">
                  <c:v>0.18620689655172415</c:v>
                </c:pt>
                <c:pt idx="171">
                  <c:v>3.7735849056603772E-2</c:v>
                </c:pt>
                <c:pt idx="172">
                  <c:v>5.8536585365853662E-2</c:v>
                </c:pt>
                <c:pt idx="173">
                  <c:v>0.32291666666666669</c:v>
                </c:pt>
                <c:pt idx="174">
                  <c:v>3.90625E-2</c:v>
                </c:pt>
                <c:pt idx="175">
                  <c:v>7.281553398058252E-2</c:v>
                </c:pt>
                <c:pt idx="176">
                  <c:v>9.2592592592592587E-2</c:v>
                </c:pt>
                <c:pt idx="177">
                  <c:v>6.9958847736625515E-2</c:v>
                </c:pt>
                <c:pt idx="178">
                  <c:v>0.34042553191489361</c:v>
                </c:pt>
                <c:pt idx="179">
                  <c:v>6.0728744939271252E-2</c:v>
                </c:pt>
                <c:pt idx="180">
                  <c:v>5.1612903225806452E-2</c:v>
                </c:pt>
                <c:pt idx="181">
                  <c:v>0.13333333333333333</c:v>
                </c:pt>
                <c:pt idx="182">
                  <c:v>0.1079136690647482</c:v>
                </c:pt>
                <c:pt idx="183">
                  <c:v>5.0847457627118647E-2</c:v>
                </c:pt>
                <c:pt idx="184">
                  <c:v>0.189873417721519</c:v>
                </c:pt>
                <c:pt idx="185">
                  <c:v>0.15492957746478872</c:v>
                </c:pt>
                <c:pt idx="186">
                  <c:v>4.3165467625899283E-2</c:v>
                </c:pt>
                <c:pt idx="187">
                  <c:v>7.2289156626506021E-2</c:v>
                </c:pt>
                <c:pt idx="188">
                  <c:v>0.14893617021276595</c:v>
                </c:pt>
                <c:pt idx="189">
                  <c:v>0.14000000000000001</c:v>
                </c:pt>
                <c:pt idx="190">
                  <c:v>4.9382716049382713E-2</c:v>
                </c:pt>
                <c:pt idx="191">
                  <c:v>1.8633540372670808E-2</c:v>
                </c:pt>
                <c:pt idx="192">
                  <c:v>4.8000000000000001E-2</c:v>
                </c:pt>
                <c:pt idx="193">
                  <c:v>4.4776119402985072E-2</c:v>
                </c:pt>
                <c:pt idx="194">
                  <c:v>0.11</c:v>
                </c:pt>
                <c:pt idx="195">
                  <c:v>2.8248587570621469E-2</c:v>
                </c:pt>
                <c:pt idx="196">
                  <c:v>7.3170731707317069E-2</c:v>
                </c:pt>
                <c:pt idx="197">
                  <c:v>0.29203539823008851</c:v>
                </c:pt>
                <c:pt idx="198">
                  <c:v>7.8947368421052627E-2</c:v>
                </c:pt>
                <c:pt idx="199">
                  <c:v>0.18333333333333332</c:v>
                </c:pt>
                <c:pt idx="200">
                  <c:v>4.3478260869565216E-2</c:v>
                </c:pt>
                <c:pt idx="201">
                  <c:v>6.8965517241379309E-2</c:v>
                </c:pt>
                <c:pt idx="202">
                  <c:v>6.6176470588235295E-2</c:v>
                </c:pt>
                <c:pt idx="203">
                  <c:v>6.4935064935064929E-2</c:v>
                </c:pt>
                <c:pt idx="204">
                  <c:v>0.11363636363636363</c:v>
                </c:pt>
                <c:pt idx="205">
                  <c:v>0.13114754098360656</c:v>
                </c:pt>
                <c:pt idx="206">
                  <c:v>0.30232558139534882</c:v>
                </c:pt>
                <c:pt idx="207">
                  <c:v>3.3333333333333333E-2</c:v>
                </c:pt>
                <c:pt idx="208">
                  <c:v>0.12173913043478261</c:v>
                </c:pt>
                <c:pt idx="209">
                  <c:v>7.0093457943925228E-2</c:v>
                </c:pt>
                <c:pt idx="210">
                  <c:v>7.5268817204301078E-2</c:v>
                </c:pt>
                <c:pt idx="211">
                  <c:v>5.8139534883720929E-2</c:v>
                </c:pt>
                <c:pt idx="212">
                  <c:v>9.2105263157894732E-2</c:v>
                </c:pt>
                <c:pt idx="213">
                  <c:v>0.17010309278350516</c:v>
                </c:pt>
                <c:pt idx="214">
                  <c:v>9.3333333333333338E-2</c:v>
                </c:pt>
                <c:pt idx="215">
                  <c:v>4.2168674698795178E-2</c:v>
                </c:pt>
                <c:pt idx="216">
                  <c:v>6.1728395061728392E-2</c:v>
                </c:pt>
                <c:pt idx="217">
                  <c:v>0</c:v>
                </c:pt>
                <c:pt idx="218">
                  <c:v>0.15668202764976957</c:v>
                </c:pt>
                <c:pt idx="219">
                  <c:v>5.1724137931034482E-2</c:v>
                </c:pt>
                <c:pt idx="220">
                  <c:v>0.12244897959183673</c:v>
                </c:pt>
                <c:pt idx="221">
                  <c:v>5.8823529411764705E-2</c:v>
                </c:pt>
                <c:pt idx="222">
                  <c:v>5.6818181818181816E-2</c:v>
                </c:pt>
                <c:pt idx="223">
                  <c:v>7.9365079365079361E-2</c:v>
                </c:pt>
                <c:pt idx="224">
                  <c:v>5.4054054054054057E-2</c:v>
                </c:pt>
                <c:pt idx="225">
                  <c:v>9.9290780141843976E-2</c:v>
                </c:pt>
                <c:pt idx="226">
                  <c:v>5.6179775280898875E-2</c:v>
                </c:pt>
                <c:pt idx="227">
                  <c:v>8.0536912751677847E-2</c:v>
                </c:pt>
                <c:pt idx="228">
                  <c:v>7.8014184397163122E-2</c:v>
                </c:pt>
                <c:pt idx="229">
                  <c:v>6.3953488372093026E-2</c:v>
                </c:pt>
                <c:pt idx="230">
                  <c:v>9.7744360902255634E-2</c:v>
                </c:pt>
                <c:pt idx="231">
                  <c:v>3.7383177570093455E-2</c:v>
                </c:pt>
                <c:pt idx="232">
                  <c:v>0.10101010101010101</c:v>
                </c:pt>
                <c:pt idx="233">
                  <c:v>0.16289592760180996</c:v>
                </c:pt>
                <c:pt idx="234">
                  <c:v>4.1666666666666664E-2</c:v>
                </c:pt>
                <c:pt idx="235">
                  <c:v>0.11627906976744186</c:v>
                </c:pt>
                <c:pt idx="236">
                  <c:v>5.6122448979591837E-2</c:v>
                </c:pt>
                <c:pt idx="237">
                  <c:v>4.2801556420233464E-2</c:v>
                </c:pt>
                <c:pt idx="238">
                  <c:v>0.13725490196078433</c:v>
                </c:pt>
                <c:pt idx="239">
                  <c:v>5.0955414012738856E-2</c:v>
                </c:pt>
                <c:pt idx="240">
                  <c:v>3.0303030303030304E-2</c:v>
                </c:pt>
                <c:pt idx="241">
                  <c:v>1.5748031496062992E-2</c:v>
                </c:pt>
                <c:pt idx="242">
                  <c:v>7.6923076923076927E-2</c:v>
                </c:pt>
                <c:pt idx="243">
                  <c:v>7.5949367088607597E-2</c:v>
                </c:pt>
                <c:pt idx="244">
                  <c:v>0.15929203539823009</c:v>
                </c:pt>
                <c:pt idx="245">
                  <c:v>3.9024390243902439E-2</c:v>
                </c:pt>
                <c:pt idx="246">
                  <c:v>4.4999999999999998E-2</c:v>
                </c:pt>
                <c:pt idx="247">
                  <c:v>8.8235294117647065E-2</c:v>
                </c:pt>
                <c:pt idx="248">
                  <c:v>0.13114754098360656</c:v>
                </c:pt>
                <c:pt idx="249">
                  <c:v>0.10280373831775701</c:v>
                </c:pt>
                <c:pt idx="250">
                  <c:v>6.6666666666666666E-2</c:v>
                </c:pt>
                <c:pt idx="251">
                  <c:v>8.1081081081081086E-2</c:v>
                </c:pt>
                <c:pt idx="252">
                  <c:v>6.5420560747663545E-2</c:v>
                </c:pt>
                <c:pt idx="253">
                  <c:v>7.792207792207792E-2</c:v>
                </c:pt>
                <c:pt idx="254">
                  <c:v>5.3254437869822487E-2</c:v>
                </c:pt>
                <c:pt idx="255">
                  <c:v>7.2916666666666671E-2</c:v>
                </c:pt>
                <c:pt idx="256">
                  <c:v>8.2987551867219914E-2</c:v>
                </c:pt>
                <c:pt idx="257">
                  <c:v>7.2072072072072071E-2</c:v>
                </c:pt>
                <c:pt idx="258">
                  <c:v>4.4554455445544552E-2</c:v>
                </c:pt>
                <c:pt idx="259">
                  <c:v>1.3888888888888888E-2</c:v>
                </c:pt>
                <c:pt idx="260">
                  <c:v>6.8627450980392163E-2</c:v>
                </c:pt>
                <c:pt idx="261">
                  <c:v>7.746478873239436E-2</c:v>
                </c:pt>
                <c:pt idx="262">
                  <c:v>2.5210084033613446E-2</c:v>
                </c:pt>
                <c:pt idx="263">
                  <c:v>7.3684210526315783E-2</c:v>
                </c:pt>
                <c:pt idx="264">
                  <c:v>#N/A</c:v>
                </c:pt>
                <c:pt idx="265">
                  <c:v>2.5252525252525252E-2</c:v>
                </c:pt>
                <c:pt idx="266">
                  <c:v>6.3829787234042548E-2</c:v>
                </c:pt>
                <c:pt idx="267">
                  <c:v>0.20833333333333334</c:v>
                </c:pt>
                <c:pt idx="268">
                  <c:v>4.195804195804196E-2</c:v>
                </c:pt>
                <c:pt idx="269">
                  <c:v>0.11320754716981132</c:v>
                </c:pt>
                <c:pt idx="270">
                  <c:v>0.10062893081761007</c:v>
                </c:pt>
                <c:pt idx="271">
                  <c:v>6.535947712418301E-2</c:v>
                </c:pt>
                <c:pt idx="272">
                  <c:v>0.13432835820895522</c:v>
                </c:pt>
                <c:pt idx="273">
                  <c:v>9.6774193548387094E-2</c:v>
                </c:pt>
                <c:pt idx="274">
                  <c:v>6.8750000000000006E-2</c:v>
                </c:pt>
                <c:pt idx="275">
                  <c:v>5.7142857142857141E-2</c:v>
                </c:pt>
                <c:pt idx="276">
                  <c:v>9.1743119266055051E-2</c:v>
                </c:pt>
                <c:pt idx="277">
                  <c:v>2.8985507246376812E-2</c:v>
                </c:pt>
                <c:pt idx="278">
                  <c:v>0.08</c:v>
                </c:pt>
                <c:pt idx="279">
                  <c:v>5.2238805970149252E-2</c:v>
                </c:pt>
                <c:pt idx="280">
                  <c:v>0.11827956989247312</c:v>
                </c:pt>
                <c:pt idx="281">
                  <c:v>0.11607142857142858</c:v>
                </c:pt>
                <c:pt idx="282">
                  <c:v>6.9306930693069313E-2</c:v>
                </c:pt>
                <c:pt idx="283">
                  <c:v>4.6511627906976744E-2</c:v>
                </c:pt>
                <c:pt idx="284">
                  <c:v>6.741573033707865E-2</c:v>
                </c:pt>
                <c:pt idx="285">
                  <c:v>3.825136612021858E-2</c:v>
                </c:pt>
                <c:pt idx="286">
                  <c:v>0.11023622047244094</c:v>
                </c:pt>
                <c:pt idx="287">
                  <c:v>4.878048780487805E-2</c:v>
                </c:pt>
                <c:pt idx="288">
                  <c:v>8.8607594936708861E-2</c:v>
                </c:pt>
              </c:numCache>
            </c:numRef>
          </c:val>
          <c:smooth val="0"/>
          <c:extLst>
            <c:ext xmlns:c16="http://schemas.microsoft.com/office/drawing/2014/chart" uri="{C3380CC4-5D6E-409C-BE32-E72D297353CC}">
              <c16:uniqueId val="{00000001-AF5A-4FB1-BE63-CC05EEBB60C1}"/>
            </c:ext>
          </c:extLst>
        </c:ser>
        <c:dLbls>
          <c:showLegendKey val="0"/>
          <c:showVal val="1"/>
          <c:showCatName val="0"/>
          <c:showSerName val="0"/>
          <c:showPercent val="0"/>
          <c:showBubbleSize val="0"/>
        </c:dLbls>
        <c:marker val="1"/>
        <c:smooth val="0"/>
        <c:axId val="738067855"/>
        <c:axId val="738085327"/>
      </c:lineChart>
      <c:catAx>
        <c:axId val="7380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92815"/>
        <c:crosses val="autoZero"/>
        <c:auto val="1"/>
        <c:lblAlgn val="ctr"/>
        <c:lblOffset val="100"/>
        <c:noMultiLvlLbl val="0"/>
      </c:catAx>
      <c:valAx>
        <c:axId val="738092815"/>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82415"/>
        <c:crosses val="autoZero"/>
        <c:crossBetween val="between"/>
      </c:valAx>
      <c:valAx>
        <c:axId val="73808532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67855"/>
        <c:crosses val="max"/>
        <c:crossBetween val="between"/>
      </c:valAx>
      <c:catAx>
        <c:axId val="738067855"/>
        <c:scaling>
          <c:orientation val="minMax"/>
        </c:scaling>
        <c:delete val="1"/>
        <c:axPos val="b"/>
        <c:numFmt formatCode="General" sourceLinked="1"/>
        <c:majorTickMark val="out"/>
        <c:minorTickMark val="none"/>
        <c:tickLblPos val="nextTo"/>
        <c:crossAx val="7380853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[Marketing Dashboard_2022_ Sơ kết MKT 2022.xlsx]Pivot!PivotTable9</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F7199"/>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6F7199"/>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F7199"/>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6F7199"/>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F7199"/>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6F7199"/>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26389209510924E-3"/>
          <c:y val="0.13812018233834636"/>
          <c:w val="0.98568360650331421"/>
          <c:h val="0.52863025910827077"/>
        </c:manualLayout>
      </c:layout>
      <c:lineChart>
        <c:grouping val="standard"/>
        <c:varyColors val="0"/>
        <c:ser>
          <c:idx val="0"/>
          <c:order val="0"/>
          <c:tx>
            <c:strRef>
              <c:f>Pivot!$R$38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Pivot!$Q$39:$Q$64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Pivot!$R$39:$R$64</c:f>
              <c:numCache>
                <c:formatCode>0.0%</c:formatCode>
                <c:ptCount val="25"/>
                <c:pt idx="0">
                  <c:v>5.2826201796090863E-2</c:v>
                </c:pt>
                <c:pt idx="1">
                  <c:v>2.2540983606557378E-2</c:v>
                </c:pt>
                <c:pt idx="2">
                  <c:v>0.11573871109162648</c:v>
                </c:pt>
                <c:pt idx="3">
                  <c:v>4.4307692307692305E-2</c:v>
                </c:pt>
                <c:pt idx="4">
                  <c:v>5.8149058149058151E-2</c:v>
                </c:pt>
                <c:pt idx="5">
                  <c:v>8.9276807980049874E-2</c:v>
                </c:pt>
                <c:pt idx="6">
                  <c:v>7.2452229299363055E-2</c:v>
                </c:pt>
                <c:pt idx="7">
                  <c:v>0.11273135165451487</c:v>
                </c:pt>
                <c:pt idx="8">
                  <c:v>9.1743119266055051E-2</c:v>
                </c:pt>
                <c:pt idx="9">
                  <c:v>7.6441662941439434E-2</c:v>
                </c:pt>
                <c:pt idx="10">
                  <c:v>7.78557753669432E-2</c:v>
                </c:pt>
                <c:pt idx="11">
                  <c:v>5.9274755927475595E-2</c:v>
                </c:pt>
                <c:pt idx="12">
                  <c:v>0.10144927536231885</c:v>
                </c:pt>
                <c:pt idx="13">
                  <c:v>9.2699884125144849E-2</c:v>
                </c:pt>
                <c:pt idx="14">
                  <c:v>0.11504424778761062</c:v>
                </c:pt>
                <c:pt idx="15">
                  <c:v>5.6265984654731455E-2</c:v>
                </c:pt>
                <c:pt idx="16">
                  <c:v>9.5641134151502327E-2</c:v>
                </c:pt>
                <c:pt idx="17">
                  <c:v>0.1087689713322091</c:v>
                </c:pt>
                <c:pt idx="18">
                  <c:v>4.9910873440285206E-2</c:v>
                </c:pt>
                <c:pt idx="19">
                  <c:v>8.0882352941176475E-2</c:v>
                </c:pt>
                <c:pt idx="20">
                  <c:v>9.9009900990099015E-2</c:v>
                </c:pt>
                <c:pt idx="21">
                  <c:v>8.2199237887860641E-2</c:v>
                </c:pt>
                <c:pt idx="22">
                  <c:v>3.2916392363396975E-2</c:v>
                </c:pt>
                <c:pt idx="23">
                  <c:v>3.6845983787767135E-2</c:v>
                </c:pt>
                <c:pt idx="24">
                  <c:v>#N/A</c:v>
                </c:pt>
              </c:numCache>
            </c:numRef>
          </c:val>
          <c:smooth val="0"/>
          <c:extLst>
            <c:ext xmlns:c16="http://schemas.microsoft.com/office/drawing/2014/chart" uri="{C3380CC4-5D6E-409C-BE32-E72D297353CC}">
              <c16:uniqueId val="{00000000-28F5-40C0-8210-3425C94A4D1C}"/>
            </c:ext>
          </c:extLst>
        </c:ser>
        <c:dLbls>
          <c:dLblPos val="t"/>
          <c:showLegendKey val="0"/>
          <c:showVal val="1"/>
          <c:showCatName val="0"/>
          <c:showSerName val="0"/>
          <c:showPercent val="0"/>
          <c:showBubbleSize val="0"/>
        </c:dLbls>
        <c:marker val="1"/>
        <c:smooth val="0"/>
        <c:axId val="1931949615"/>
        <c:axId val="1931960015"/>
      </c:lineChart>
      <c:catAx>
        <c:axId val="193194961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60015"/>
        <c:crosses val="autoZero"/>
        <c:auto val="1"/>
        <c:lblAlgn val="ctr"/>
        <c:lblOffset val="100"/>
        <c:noMultiLvlLbl val="0"/>
      </c:catAx>
      <c:valAx>
        <c:axId val="1931960015"/>
        <c:scaling>
          <c:orientation val="minMax"/>
        </c:scaling>
        <c:delete val="1"/>
        <c:axPos val="l"/>
        <c:numFmt formatCode="0.0%" sourceLinked="1"/>
        <c:majorTickMark val="out"/>
        <c:minorTickMark val="none"/>
        <c:tickLblPos val="nextTo"/>
        <c:crossAx val="19319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9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'Sơ kết MKT 2022'!$K$3</c:f>
              <c:strCache>
                <c:ptCount val="1"/>
                <c:pt idx="0">
                  <c:v>Average of Hoàn thành</c:v>
                </c:pt>
              </c:strCache>
            </c:strRef>
          </c:tx>
          <c:spPr>
            <a:solidFill>
              <a:schemeClr val="accent1"/>
            </a:solidFill>
            <a:ln>
              <a:noFill/>
            </a:ln>
            <a:effectLst/>
          </c:spPr>
          <c:invertIfNegative val="0"/>
          <c:cat>
            <c:strRef>
              <c:f>'Sơ kết MKT 2022'!$J$4:$J$14</c:f>
              <c:strCache>
                <c:ptCount val="11"/>
                <c:pt idx="0">
                  <c:v>Tháng 1</c:v>
                </c:pt>
                <c:pt idx="1">
                  <c:v>Tháng 2</c:v>
                </c:pt>
                <c:pt idx="2">
                  <c:v>Tháng 3</c:v>
                </c:pt>
                <c:pt idx="3">
                  <c:v>Tháng 4</c:v>
                </c:pt>
                <c:pt idx="4">
                  <c:v>Tháng 5</c:v>
                </c:pt>
                <c:pt idx="5">
                  <c:v>Tháng 6</c:v>
                </c:pt>
                <c:pt idx="6">
                  <c:v>Tháng 7</c:v>
                </c:pt>
                <c:pt idx="7">
                  <c:v>Tháng 8</c:v>
                </c:pt>
                <c:pt idx="8">
                  <c:v>Tháng 9</c:v>
                </c:pt>
                <c:pt idx="9">
                  <c:v>Tháng 10</c:v>
                </c:pt>
                <c:pt idx="10">
                  <c:v>Tháng 11</c:v>
                </c:pt>
              </c:strCache>
            </c:strRef>
          </c:cat>
          <c:val>
            <c:numRef>
              <c:f>'Sơ kết MKT 2022'!$K$4:$K$14</c:f>
              <c:numCache>
                <c:formatCode>0%</c:formatCode>
                <c:ptCount val="11"/>
                <c:pt idx="0">
                  <c:v>0.93076923076923057</c:v>
                </c:pt>
                <c:pt idx="1">
                  <c:v>1.1014999999999999</c:v>
                </c:pt>
                <c:pt idx="2">
                  <c:v>1.000416666666667</c:v>
                </c:pt>
                <c:pt idx="3">
                  <c:v>0.97583333333333322</c:v>
                </c:pt>
                <c:pt idx="4">
                  <c:v>1.0087499999999998</c:v>
                </c:pt>
                <c:pt idx="5">
                  <c:v>0.92125000000000001</c:v>
                </c:pt>
                <c:pt idx="6">
                  <c:v>1.0991666666666668</c:v>
                </c:pt>
                <c:pt idx="7">
                  <c:v>1.01</c:v>
                </c:pt>
                <c:pt idx="8">
                  <c:v>0.93416666666666659</c:v>
                </c:pt>
                <c:pt idx="9">
                  <c:v>0.98208333333333331</c:v>
                </c:pt>
                <c:pt idx="10">
                  <c:v>0.99608695652173929</c:v>
                </c:pt>
              </c:numCache>
            </c:numRef>
          </c:val>
          <c:extLst>
            <c:ext xmlns:c16="http://schemas.microsoft.com/office/drawing/2014/chart" uri="{C3380CC4-5D6E-409C-BE32-E72D297353CC}">
              <c16:uniqueId val="{00000000-6244-4C7C-8C9E-72DFED66C620}"/>
            </c:ext>
          </c:extLst>
        </c:ser>
        <c:dLbls>
          <c:showLegendKey val="0"/>
          <c:showVal val="0"/>
          <c:showCatName val="0"/>
          <c:showSerName val="0"/>
          <c:showPercent val="0"/>
          <c:showBubbleSize val="0"/>
        </c:dLbls>
        <c:gapWidth val="219"/>
        <c:overlap val="-27"/>
        <c:axId val="784287200"/>
        <c:axId val="720712560"/>
      </c:barChart>
      <c:lineChart>
        <c:grouping val="standard"/>
        <c:varyColors val="0"/>
        <c:ser>
          <c:idx val="1"/>
          <c:order val="1"/>
          <c:tx>
            <c:strRef>
              <c:f>'Sơ kết MKT 2022'!$L$3</c:f>
              <c:strCache>
                <c:ptCount val="1"/>
                <c:pt idx="0">
                  <c:v>Sum of Chi phí MKT</c:v>
                </c:pt>
              </c:strCache>
            </c:strRef>
          </c:tx>
          <c:spPr>
            <a:ln w="28575" cap="rnd">
              <a:solidFill>
                <a:schemeClr val="accent2"/>
              </a:solidFill>
              <a:round/>
            </a:ln>
            <a:effectLst/>
          </c:spPr>
          <c:marker>
            <c:symbol val="none"/>
          </c:marker>
          <c:cat>
            <c:strRef>
              <c:f>'Sơ kết MKT 2022'!$J$4:$J$14</c:f>
              <c:strCache>
                <c:ptCount val="11"/>
                <c:pt idx="0">
                  <c:v>Tháng 1</c:v>
                </c:pt>
                <c:pt idx="1">
                  <c:v>Tháng 2</c:v>
                </c:pt>
                <c:pt idx="2">
                  <c:v>Tháng 3</c:v>
                </c:pt>
                <c:pt idx="3">
                  <c:v>Tháng 4</c:v>
                </c:pt>
                <c:pt idx="4">
                  <c:v>Tháng 5</c:v>
                </c:pt>
                <c:pt idx="5">
                  <c:v>Tháng 6</c:v>
                </c:pt>
                <c:pt idx="6">
                  <c:v>Tháng 7</c:v>
                </c:pt>
                <c:pt idx="7">
                  <c:v>Tháng 8</c:v>
                </c:pt>
                <c:pt idx="8">
                  <c:v>Tháng 9</c:v>
                </c:pt>
                <c:pt idx="9">
                  <c:v>Tháng 10</c:v>
                </c:pt>
                <c:pt idx="10">
                  <c:v>Tháng 11</c:v>
                </c:pt>
              </c:strCache>
            </c:strRef>
          </c:cat>
          <c:val>
            <c:numRef>
              <c:f>'Sơ kết MKT 2022'!$L$4:$L$14</c:f>
              <c:numCache>
                <c:formatCode>_-* #,##0_-;\-* #,##0_-;_-* "-"??_-;_-@_-</c:formatCode>
                <c:ptCount val="11"/>
                <c:pt idx="0">
                  <c:v>1556</c:v>
                </c:pt>
                <c:pt idx="1">
                  <c:v>1274</c:v>
                </c:pt>
                <c:pt idx="2">
                  <c:v>1683.9</c:v>
                </c:pt>
                <c:pt idx="3">
                  <c:v>1588.2660000000001</c:v>
                </c:pt>
                <c:pt idx="4">
                  <c:v>1631.8879999999999</c:v>
                </c:pt>
                <c:pt idx="5">
                  <c:v>2037.797</c:v>
                </c:pt>
                <c:pt idx="6">
                  <c:v>1447.8</c:v>
                </c:pt>
                <c:pt idx="7">
                  <c:v>1720</c:v>
                </c:pt>
                <c:pt idx="8">
                  <c:v>1720</c:v>
                </c:pt>
                <c:pt idx="9">
                  <c:v>1743</c:v>
                </c:pt>
                <c:pt idx="10">
                  <c:v>2305</c:v>
                </c:pt>
              </c:numCache>
            </c:numRef>
          </c:val>
          <c:smooth val="0"/>
          <c:extLst>
            <c:ext xmlns:c16="http://schemas.microsoft.com/office/drawing/2014/chart" uri="{C3380CC4-5D6E-409C-BE32-E72D297353CC}">
              <c16:uniqueId val="{00000001-6244-4C7C-8C9E-72DFED66C620}"/>
            </c:ext>
          </c:extLst>
        </c:ser>
        <c:dLbls>
          <c:showLegendKey val="0"/>
          <c:showVal val="0"/>
          <c:showCatName val="0"/>
          <c:showSerName val="0"/>
          <c:showPercent val="0"/>
          <c:showBubbleSize val="0"/>
        </c:dLbls>
        <c:marker val="1"/>
        <c:smooth val="0"/>
        <c:axId val="791257104"/>
        <c:axId val="791595424"/>
      </c:lineChart>
      <c:catAx>
        <c:axId val="7842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12560"/>
        <c:crosses val="autoZero"/>
        <c:auto val="1"/>
        <c:lblAlgn val="ctr"/>
        <c:lblOffset val="100"/>
        <c:noMultiLvlLbl val="0"/>
      </c:catAx>
      <c:valAx>
        <c:axId val="72071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287200"/>
        <c:crosses val="autoZero"/>
        <c:crossBetween val="between"/>
      </c:valAx>
      <c:valAx>
        <c:axId val="791595424"/>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57104"/>
        <c:crosses val="max"/>
        <c:crossBetween val="between"/>
      </c:valAx>
      <c:catAx>
        <c:axId val="791257104"/>
        <c:scaling>
          <c:orientation val="minMax"/>
        </c:scaling>
        <c:delete val="1"/>
        <c:axPos val="b"/>
        <c:numFmt formatCode="General" sourceLinked="1"/>
        <c:majorTickMark val="out"/>
        <c:minorTickMark val="none"/>
        <c:tickLblPos val="nextTo"/>
        <c:crossAx val="791595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'[1]Chi tiết MKT'!$D$96</c:f>
              <c:strCache>
                <c:ptCount val="1"/>
                <c:pt idx="0">
                  <c:v>SL hiện tại</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43-4A86-B3D2-F3A7BC94683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D43-4A86-B3D2-F3A7BC94683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D43-4A86-B3D2-F3A7BC94683B}"/>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D43-4A86-B3D2-F3A7BC94683B}"/>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D43-4A86-B3D2-F3A7BC94683B}"/>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D43-4A86-B3D2-F3A7BC94683B}"/>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D43-4A86-B3D2-F3A7BC9468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'[1]Chi tiết MKT'!$C$97:$C$103</c:f>
              <c:strCache>
                <c:ptCount val="7"/>
                <c:pt idx="0">
                  <c:v>ACCENT</c:v>
                </c:pt>
                <c:pt idx="1">
                  <c:v>CRETA</c:v>
                </c:pt>
                <c:pt idx="2">
                  <c:v>ELANTRA </c:v>
                </c:pt>
                <c:pt idx="3">
                  <c:v>GRAND I10</c:v>
                </c:pt>
                <c:pt idx="4">
                  <c:v>SANTAFE </c:v>
                </c:pt>
                <c:pt idx="5">
                  <c:v>STARGAZER</c:v>
                </c:pt>
                <c:pt idx="6">
                  <c:v>TUCSON</c:v>
                </c:pt>
              </c:strCache>
            </c:strRef>
          </c:cat>
          <c:val>
            <c:numRef>
              <c:f>'[1]Chi tiết MKT'!$D$97:$D$103</c:f>
              <c:numCache>
                <c:formatCode>General</c:formatCode>
                <c:ptCount val="7"/>
                <c:pt idx="0">
                  <c:v>22</c:v>
                </c:pt>
                <c:pt idx="1">
                  <c:v>22</c:v>
                </c:pt>
                <c:pt idx="2">
                  <c:v>10</c:v>
                </c:pt>
                <c:pt idx="3">
                  <c:v>9</c:v>
                </c:pt>
                <c:pt idx="4">
                  <c:v>22</c:v>
                </c:pt>
                <c:pt idx="5">
                  <c:v>22</c:v>
                </c:pt>
                <c:pt idx="6">
                  <c:v>12</c:v>
                </c:pt>
              </c:numCache>
            </c:numRef>
          </c:val>
          <c:extLst>
            <c:ext xmlns:c16="http://schemas.microsoft.com/office/drawing/2014/chart" uri="{C3380CC4-5D6E-409C-BE32-E72D297353CC}">
              <c16:uniqueId val="{0000000E-7D43-4A86-B3D2-F3A7BC94683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BC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[Marketing Dashboard_2022_ Sơ kết MKT 2022.xlsx]Pivot!PivotTable13</c:name>
    <c:fmtId val="1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275599204723703"/>
          <c:w val="0.99112375791364815"/>
          <c:h val="0.56265292065103856"/>
        </c:manualLayout>
      </c:layout>
      <c:lineChart>
        <c:grouping val="standard"/>
        <c:varyColors val="0"/>
        <c:ser>
          <c:idx val="0"/>
          <c:order val="0"/>
          <c:tx>
            <c:strRef>
              <c:f>Pivot!$L$70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Pivot!$K$71:$K$96</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Pivot!$L$71:$L$96</c:f>
              <c:numCache>
                <c:formatCode>0%</c:formatCode>
                <c:ptCount val="25"/>
                <c:pt idx="0">
                  <c:v>0.20618556701030927</c:v>
                </c:pt>
                <c:pt idx="1">
                  <c:v>4.3478260869565216E-2</c:v>
                </c:pt>
                <c:pt idx="2">
                  <c:v>0.22391857506361323</c:v>
                </c:pt>
                <c:pt idx="3">
                  <c:v>0.25899280575539568</c:v>
                </c:pt>
                <c:pt idx="4">
                  <c:v>0.14609053497942387</c:v>
                </c:pt>
                <c:pt idx="5">
                  <c:v>6.3430191353649898E-2</c:v>
                </c:pt>
                <c:pt idx="6">
                  <c:v>6.4265536723163846E-2</c:v>
                </c:pt>
                <c:pt idx="7">
                  <c:v>0.37853107344632769</c:v>
                </c:pt>
                <c:pt idx="8">
                  <c:v>0.3401360544217687</c:v>
                </c:pt>
                <c:pt idx="9">
                  <c:v>0.16101694915254236</c:v>
                </c:pt>
                <c:pt idx="10">
                  <c:v>0.26180257510729615</c:v>
                </c:pt>
                <c:pt idx="11">
                  <c:v>9.2290988056460369E-2</c:v>
                </c:pt>
                <c:pt idx="12">
                  <c:v>0.2734375</c:v>
                </c:pt>
                <c:pt idx="13">
                  <c:v>9.1743119266055051E-2</c:v>
                </c:pt>
                <c:pt idx="14">
                  <c:v>0.16784037558685447</c:v>
                </c:pt>
                <c:pt idx="15">
                  <c:v>2.072538860103627E-2</c:v>
                </c:pt>
                <c:pt idx="16">
                  <c:v>8.330261702911905E-2</c:v>
                </c:pt>
                <c:pt idx="17">
                  <c:v>0.12181303116147309</c:v>
                </c:pt>
                <c:pt idx="18">
                  <c:v>8.9266737513283748E-2</c:v>
                </c:pt>
                <c:pt idx="19">
                  <c:v>0.14002828854314003</c:v>
                </c:pt>
                <c:pt idx="20">
                  <c:v>0.18361581920903955</c:v>
                </c:pt>
                <c:pt idx="21">
                  <c:v>7.2422062350119901E-2</c:v>
                </c:pt>
                <c:pt idx="22">
                  <c:v>5.2301255230125521E-2</c:v>
                </c:pt>
                <c:pt idx="23">
                  <c:v>0.15151515151515152</c:v>
                </c:pt>
                <c:pt idx="24">
                  <c:v>#N/A</c:v>
                </c:pt>
              </c:numCache>
            </c:numRef>
          </c:val>
          <c:smooth val="0"/>
          <c:extLst>
            <c:ext xmlns:c16="http://schemas.microsoft.com/office/drawing/2014/chart" uri="{C3380CC4-5D6E-409C-BE32-E72D297353CC}">
              <c16:uniqueId val="{00000000-458A-4D0E-814E-73A3E1776937}"/>
            </c:ext>
          </c:extLst>
        </c:ser>
        <c:dLbls>
          <c:dLblPos val="t"/>
          <c:showLegendKey val="0"/>
          <c:showVal val="1"/>
          <c:showCatName val="0"/>
          <c:showSerName val="0"/>
          <c:showPercent val="0"/>
          <c:showBubbleSize val="0"/>
        </c:dLbls>
        <c:marker val="1"/>
        <c:smooth val="0"/>
        <c:axId val="1158604959"/>
        <c:axId val="1158619935"/>
      </c:lineChart>
      <c:catAx>
        <c:axId val="115860495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19935"/>
        <c:crosses val="autoZero"/>
        <c:auto val="1"/>
        <c:lblAlgn val="ctr"/>
        <c:lblOffset val="100"/>
        <c:noMultiLvlLbl val="0"/>
      </c:catAx>
      <c:valAx>
        <c:axId val="1158619935"/>
        <c:scaling>
          <c:orientation val="minMax"/>
        </c:scaling>
        <c:delete val="1"/>
        <c:axPos val="l"/>
        <c:numFmt formatCode="0%" sourceLinked="1"/>
        <c:majorTickMark val="out"/>
        <c:minorTickMark val="none"/>
        <c:tickLblPos val="nextTo"/>
        <c:crossAx val="115860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[Marketing Dashboard_2022_ Sơ kết MKT 2022.xlsx]Pivot!PivotTable8</c:name>
    <c:fmtId val="21"/>
  </c:pivotSource>
  <c:chart>
    <c:autoTitleDeleted val="1"/>
    <c:pivotFmts>
      <c:pivotFmt>
        <c:idx val="0"/>
        <c:spPr>
          <a:solidFill>
            <a:srgbClr val="00206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558568680012503E-3"/>
          <c:y val="0.19032514514691357"/>
          <c:w val="0.98081785995740789"/>
          <c:h val="0.54333785704534676"/>
        </c:manualLayout>
      </c:layout>
      <c:barChart>
        <c:barDir val="col"/>
        <c:grouping val="clustered"/>
        <c:varyColors val="0"/>
        <c:ser>
          <c:idx val="0"/>
          <c:order val="0"/>
          <c:tx>
            <c:strRef>
              <c:f>Pivot!$B$103</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Pivot!$A$104:$A$129</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Pivot!$B$104:$B$129</c:f>
              <c:numCache>
                <c:formatCode>#,##0,</c:formatCode>
                <c:ptCount val="25"/>
                <c:pt idx="0">
                  <c:v>60711242.931914002</c:v>
                </c:pt>
                <c:pt idx="1">
                  <c:v>0</c:v>
                </c:pt>
                <c:pt idx="2">
                  <c:v>219353708.51946479</c:v>
                </c:pt>
                <c:pt idx="3">
                  <c:v>10925068.305635199</c:v>
                </c:pt>
                <c:pt idx="4">
                  <c:v>21656340.598848701</c:v>
                </c:pt>
                <c:pt idx="5">
                  <c:v>235028556.1070326</c:v>
                </c:pt>
                <c:pt idx="6">
                  <c:v>107341491.285384</c:v>
                </c:pt>
                <c:pt idx="7">
                  <c:v>84827094.871650994</c:v>
                </c:pt>
                <c:pt idx="8">
                  <c:v>26329536.376137</c:v>
                </c:pt>
                <c:pt idx="9">
                  <c:v>40808152.4324774</c:v>
                </c:pt>
                <c:pt idx="10">
                  <c:v>56670202.025511995</c:v>
                </c:pt>
                <c:pt idx="11">
                  <c:v>24600552.441328198</c:v>
                </c:pt>
                <c:pt idx="12">
                  <c:v>61599085.712575197</c:v>
                </c:pt>
                <c:pt idx="13">
                  <c:v>17741953</c:v>
                </c:pt>
                <c:pt idx="14">
                  <c:v>73015679.816096008</c:v>
                </c:pt>
                <c:pt idx="15">
                  <c:v>86380080.6938546</c:v>
                </c:pt>
                <c:pt idx="16">
                  <c:v>146084940.82856399</c:v>
                </c:pt>
                <c:pt idx="17">
                  <c:v>257038537.34974399</c:v>
                </c:pt>
                <c:pt idx="18">
                  <c:v>53287580.963663995</c:v>
                </c:pt>
                <c:pt idx="19">
                  <c:v>83852168.326169595</c:v>
                </c:pt>
                <c:pt idx="20">
                  <c:v>41857496.264614403</c:v>
                </c:pt>
                <c:pt idx="21">
                  <c:v>113240800.6881156</c:v>
                </c:pt>
                <c:pt idx="22">
                  <c:v>20209158.659412801</c:v>
                </c:pt>
                <c:pt idx="23">
                  <c:v>24779604.609463997</c:v>
                </c:pt>
              </c:numCache>
            </c:numRef>
          </c:val>
          <c:extLst>
            <c:ext xmlns:c16="http://schemas.microsoft.com/office/drawing/2014/chart" uri="{C3380CC4-5D6E-409C-BE32-E72D297353CC}">
              <c16:uniqueId val="{00000000-F099-4745-A30D-7C5F74EDB23A}"/>
            </c:ext>
          </c:extLst>
        </c:ser>
        <c:dLbls>
          <c:dLblPos val="outEnd"/>
          <c:showLegendKey val="0"/>
          <c:showVal val="1"/>
          <c:showCatName val="0"/>
          <c:showSerName val="0"/>
          <c:showPercent val="0"/>
          <c:showBubbleSize val="0"/>
        </c:dLbls>
        <c:gapWidth val="100"/>
        <c:overlap val="-24"/>
        <c:axId val="2040832799"/>
        <c:axId val="2040828223"/>
      </c:barChart>
      <c:catAx>
        <c:axId val="2040832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28223"/>
        <c:crosses val="autoZero"/>
        <c:auto val="1"/>
        <c:lblAlgn val="ctr"/>
        <c:lblOffset val="100"/>
        <c:noMultiLvlLbl val="0"/>
      </c:catAx>
      <c:valAx>
        <c:axId val="2040828223"/>
        <c:scaling>
          <c:orientation val="minMax"/>
        </c:scaling>
        <c:delete val="1"/>
        <c:axPos val="l"/>
        <c:numFmt formatCode="#,##0," sourceLinked="1"/>
        <c:majorTickMark val="none"/>
        <c:minorTickMark val="none"/>
        <c:tickLblPos val="nextTo"/>
        <c:crossAx val="20408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2022.xlsx]Pivot!PivotTable18</c:name>
    <c:fmtId val="1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altLang="ja-JP"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95540464422432E-2"/>
          <c:y val="0.12478208663223485"/>
          <c:w val="0.96181570259608595"/>
          <c:h val="0.4817638813668278"/>
        </c:manualLayout>
      </c:layout>
      <c:barChart>
        <c:barDir val="col"/>
        <c:grouping val="stacked"/>
        <c:varyColors val="0"/>
        <c:ser>
          <c:idx val="0"/>
          <c:order val="0"/>
          <c:tx>
            <c:strRef>
              <c:f>Pivot!$AF$19</c:f>
              <c:strCache>
                <c:ptCount val="1"/>
                <c:pt idx="0">
                  <c:v>Biển bảng/ OOH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Pivot!$AF$20:$AF$45</c:f>
              <c:numCache>
                <c:formatCode>General</c:formatCode>
                <c:ptCount val="25"/>
                <c:pt idx="0">
                  <c:v>8</c:v>
                </c:pt>
                <c:pt idx="2">
                  <c:v>10</c:v>
                </c:pt>
                <c:pt idx="3">
                  <c:v>8</c:v>
                </c:pt>
                <c:pt idx="4">
                  <c:v>5</c:v>
                </c:pt>
                <c:pt idx="5">
                  <c:v>11</c:v>
                </c:pt>
                <c:pt idx="7">
                  <c:v>11</c:v>
                </c:pt>
                <c:pt idx="8">
                  <c:v>7</c:v>
                </c:pt>
                <c:pt idx="9">
                  <c:v>1</c:v>
                </c:pt>
                <c:pt idx="10">
                  <c:v>5</c:v>
                </c:pt>
                <c:pt idx="11">
                  <c:v>6</c:v>
                </c:pt>
                <c:pt idx="12">
                  <c:v>5</c:v>
                </c:pt>
                <c:pt idx="13">
                  <c:v>1</c:v>
                </c:pt>
                <c:pt idx="15">
                  <c:v>1</c:v>
                </c:pt>
                <c:pt idx="16">
                  <c:v>2</c:v>
                </c:pt>
                <c:pt idx="17">
                  <c:v>10</c:v>
                </c:pt>
                <c:pt idx="18">
                  <c:v>5</c:v>
                </c:pt>
                <c:pt idx="19">
                  <c:v>9</c:v>
                </c:pt>
                <c:pt idx="20">
                  <c:v>7</c:v>
                </c:pt>
                <c:pt idx="21">
                  <c:v>3</c:v>
                </c:pt>
                <c:pt idx="22">
                  <c:v>1</c:v>
                </c:pt>
                <c:pt idx="23">
                  <c:v>3</c:v>
                </c:pt>
              </c:numCache>
            </c:numRef>
          </c:val>
          <c:extLst>
            <c:ext xmlns:c16="http://schemas.microsoft.com/office/drawing/2014/chart" uri="{C3380CC4-5D6E-409C-BE32-E72D297353CC}">
              <c16:uniqueId val="{00000000-655A-4538-BAED-9A0C93921560}"/>
            </c:ext>
          </c:extLst>
        </c:ser>
        <c:ser>
          <c:idx val="1"/>
          <c:order val="1"/>
          <c:tx>
            <c:strRef>
              <c:f>Pivot!$AG$19</c:f>
              <c:strCache>
                <c:ptCount val="1"/>
                <c:pt idx="0">
                  <c:v>SMS brandname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Pivot!$AG$20:$AG$45</c:f>
              <c:numCache>
                <c:formatCode>General</c:formatCode>
                <c:ptCount val="25"/>
                <c:pt idx="0">
                  <c:v>9</c:v>
                </c:pt>
                <c:pt idx="1">
                  <c:v>1</c:v>
                </c:pt>
                <c:pt idx="2">
                  <c:v>10</c:v>
                </c:pt>
                <c:pt idx="3">
                  <c:v>10</c:v>
                </c:pt>
                <c:pt idx="4">
                  <c:v>7</c:v>
                </c:pt>
                <c:pt idx="5">
                  <c:v>10</c:v>
                </c:pt>
                <c:pt idx="6">
                  <c:v>8</c:v>
                </c:pt>
                <c:pt idx="7">
                  <c:v>10</c:v>
                </c:pt>
                <c:pt idx="8">
                  <c:v>12</c:v>
                </c:pt>
                <c:pt idx="9">
                  <c:v>7</c:v>
                </c:pt>
                <c:pt idx="10">
                  <c:v>2</c:v>
                </c:pt>
                <c:pt idx="11">
                  <c:v>9</c:v>
                </c:pt>
                <c:pt idx="12">
                  <c:v>8</c:v>
                </c:pt>
                <c:pt idx="13">
                  <c:v>7</c:v>
                </c:pt>
                <c:pt idx="14">
                  <c:v>4</c:v>
                </c:pt>
                <c:pt idx="15">
                  <c:v>8</c:v>
                </c:pt>
                <c:pt idx="16">
                  <c:v>11</c:v>
                </c:pt>
                <c:pt idx="17">
                  <c:v>9</c:v>
                </c:pt>
                <c:pt idx="18">
                  <c:v>8</c:v>
                </c:pt>
                <c:pt idx="19">
                  <c:v>10</c:v>
                </c:pt>
                <c:pt idx="20">
                  <c:v>7</c:v>
                </c:pt>
                <c:pt idx="21">
                  <c:v>2</c:v>
                </c:pt>
                <c:pt idx="22">
                  <c:v>11</c:v>
                </c:pt>
                <c:pt idx="23">
                  <c:v>8</c:v>
                </c:pt>
              </c:numCache>
            </c:numRef>
          </c:val>
          <c:extLst>
            <c:ext xmlns:c16="http://schemas.microsoft.com/office/drawing/2014/chart" uri="{C3380CC4-5D6E-409C-BE32-E72D297353CC}">
              <c16:uniqueId val="{00000001-655A-4538-BAED-9A0C93921560}"/>
            </c:ext>
          </c:extLst>
        </c:ser>
        <c:ser>
          <c:idx val="2"/>
          <c:order val="2"/>
          <c:tx>
            <c:strRef>
              <c:f>Pivot!$AH$19</c:f>
              <c:strCache>
                <c:ptCount val="1"/>
                <c:pt idx="0">
                  <c:v>Direct mail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Pivot!$AH$20:$AH$45</c:f>
              <c:numCache>
                <c:formatCode>General</c:formatCode>
                <c:ptCount val="25"/>
                <c:pt idx="0">
                  <c:v>1</c:v>
                </c:pt>
                <c:pt idx="4">
                  <c:v>1</c:v>
                </c:pt>
                <c:pt idx="8">
                  <c:v>3</c:v>
                </c:pt>
                <c:pt idx="9">
                  <c:v>1</c:v>
                </c:pt>
                <c:pt idx="15">
                  <c:v>1</c:v>
                </c:pt>
                <c:pt idx="16">
                  <c:v>1</c:v>
                </c:pt>
                <c:pt idx="22">
                  <c:v>1</c:v>
                </c:pt>
              </c:numCache>
            </c:numRef>
          </c:val>
          <c:extLst>
            <c:ext xmlns:c16="http://schemas.microsoft.com/office/drawing/2014/chart" uri="{C3380CC4-5D6E-409C-BE32-E72D297353CC}">
              <c16:uniqueId val="{00000002-655A-4538-BAED-9A0C93921560}"/>
            </c:ext>
          </c:extLst>
        </c:ser>
        <c:ser>
          <c:idx val="3"/>
          <c:order val="3"/>
          <c:tx>
            <c:strRef>
              <c:f>Pivot!$AI$19</c:f>
              <c:strCache>
                <c:ptCount val="1"/>
                <c:pt idx="0">
                  <c:v>Facebook Ads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Pivot!$AI$20:$AI$45</c:f>
              <c:numCache>
                <c:formatCode>General</c:formatCode>
                <c:ptCount val="25"/>
                <c:pt idx="0">
                  <c:v>12</c:v>
                </c:pt>
                <c:pt idx="1">
                  <c:v>6</c:v>
                </c:pt>
                <c:pt idx="2">
                  <c:v>12</c:v>
                </c:pt>
                <c:pt idx="3">
                  <c:v>12</c:v>
                </c:pt>
                <c:pt idx="4">
                  <c:v>12</c:v>
                </c:pt>
                <c:pt idx="5">
                  <c:v>11</c:v>
                </c:pt>
                <c:pt idx="6">
                  <c:v>11</c:v>
                </c:pt>
                <c:pt idx="7">
                  <c:v>12</c:v>
                </c:pt>
                <c:pt idx="8">
                  <c:v>12</c:v>
                </c:pt>
                <c:pt idx="9">
                  <c:v>12</c:v>
                </c:pt>
                <c:pt idx="10">
                  <c:v>12</c:v>
                </c:pt>
                <c:pt idx="11">
                  <c:v>12</c:v>
                </c:pt>
                <c:pt idx="12">
                  <c:v>12</c:v>
                </c:pt>
                <c:pt idx="13">
                  <c:v>10</c:v>
                </c:pt>
                <c:pt idx="14">
                  <c:v>12</c:v>
                </c:pt>
                <c:pt idx="15">
                  <c:v>11</c:v>
                </c:pt>
                <c:pt idx="16">
                  <c:v>15</c:v>
                </c:pt>
                <c:pt idx="17">
                  <c:v>12</c:v>
                </c:pt>
                <c:pt idx="18">
                  <c:v>12</c:v>
                </c:pt>
                <c:pt idx="19">
                  <c:v>12</c:v>
                </c:pt>
                <c:pt idx="20">
                  <c:v>12</c:v>
                </c:pt>
                <c:pt idx="21">
                  <c:v>11</c:v>
                </c:pt>
                <c:pt idx="22">
                  <c:v>11</c:v>
                </c:pt>
                <c:pt idx="23">
                  <c:v>12</c:v>
                </c:pt>
              </c:numCache>
            </c:numRef>
          </c:val>
          <c:extLst>
            <c:ext xmlns:c16="http://schemas.microsoft.com/office/drawing/2014/chart" uri="{C3380CC4-5D6E-409C-BE32-E72D297353CC}">
              <c16:uniqueId val="{00000003-655A-4538-BAED-9A0C93921560}"/>
            </c:ext>
          </c:extLst>
        </c:ser>
        <c:ser>
          <c:idx val="4"/>
          <c:order val="4"/>
          <c:tx>
            <c:strRef>
              <c:f>Pivot!$AJ$19</c:f>
              <c:strCache>
                <c:ptCount val="1"/>
                <c:pt idx="0">
                  <c:v>Google Adwords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Pivot!$AJ$20:$AJ$45</c:f>
              <c:numCache>
                <c:formatCode>General</c:formatCode>
                <c:ptCount val="25"/>
                <c:pt idx="0">
                  <c:v>12</c:v>
                </c:pt>
                <c:pt idx="1">
                  <c:v>5</c:v>
                </c:pt>
                <c:pt idx="2">
                  <c:v>12</c:v>
                </c:pt>
                <c:pt idx="3">
                  <c:v>12</c:v>
                </c:pt>
                <c:pt idx="4">
                  <c:v>11</c:v>
                </c:pt>
                <c:pt idx="5">
                  <c:v>11</c:v>
                </c:pt>
                <c:pt idx="6">
                  <c:v>12</c:v>
                </c:pt>
                <c:pt idx="7">
                  <c:v>12</c:v>
                </c:pt>
                <c:pt idx="8">
                  <c:v>11</c:v>
                </c:pt>
                <c:pt idx="9">
                  <c:v>11</c:v>
                </c:pt>
                <c:pt idx="10">
                  <c:v>12</c:v>
                </c:pt>
                <c:pt idx="11">
                  <c:v>11</c:v>
                </c:pt>
                <c:pt idx="12">
                  <c:v>12</c:v>
                </c:pt>
                <c:pt idx="13">
                  <c:v>10</c:v>
                </c:pt>
                <c:pt idx="14">
                  <c:v>12</c:v>
                </c:pt>
                <c:pt idx="15">
                  <c:v>11</c:v>
                </c:pt>
                <c:pt idx="16">
                  <c:v>15</c:v>
                </c:pt>
                <c:pt idx="17">
                  <c:v>5</c:v>
                </c:pt>
                <c:pt idx="18">
                  <c:v>12</c:v>
                </c:pt>
                <c:pt idx="19">
                  <c:v>12</c:v>
                </c:pt>
                <c:pt idx="20">
                  <c:v>12</c:v>
                </c:pt>
                <c:pt idx="21">
                  <c:v>10</c:v>
                </c:pt>
                <c:pt idx="22">
                  <c:v>3</c:v>
                </c:pt>
                <c:pt idx="23">
                  <c:v>12</c:v>
                </c:pt>
              </c:numCache>
            </c:numRef>
          </c:val>
          <c:extLst>
            <c:ext xmlns:c16="http://schemas.microsoft.com/office/drawing/2014/chart" uri="{C3380CC4-5D6E-409C-BE32-E72D297353CC}">
              <c16:uniqueId val="{00000004-655A-4538-BAED-9A0C93921560}"/>
            </c:ext>
          </c:extLst>
        </c:ser>
        <c:ser>
          <c:idx val="5"/>
          <c:order val="5"/>
          <c:tx>
            <c:strRef>
              <c:f>Pivot!$AK$19</c:f>
              <c:strCache>
                <c:ptCount val="1"/>
                <c:pt idx="0">
                  <c:v>Youtube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Pivot!$AK$20:$AK$45</c:f>
              <c:numCache>
                <c:formatCode>General</c:formatCode>
                <c:ptCount val="25"/>
                <c:pt idx="2">
                  <c:v>10</c:v>
                </c:pt>
                <c:pt idx="3">
                  <c:v>1</c:v>
                </c:pt>
                <c:pt idx="4">
                  <c:v>2</c:v>
                </c:pt>
                <c:pt idx="7">
                  <c:v>2</c:v>
                </c:pt>
                <c:pt idx="8">
                  <c:v>3</c:v>
                </c:pt>
                <c:pt idx="9">
                  <c:v>3</c:v>
                </c:pt>
                <c:pt idx="10">
                  <c:v>2</c:v>
                </c:pt>
                <c:pt idx="11">
                  <c:v>1</c:v>
                </c:pt>
                <c:pt idx="12">
                  <c:v>5</c:v>
                </c:pt>
                <c:pt idx="13">
                  <c:v>1</c:v>
                </c:pt>
                <c:pt idx="15">
                  <c:v>5</c:v>
                </c:pt>
                <c:pt idx="16">
                  <c:v>6</c:v>
                </c:pt>
                <c:pt idx="18">
                  <c:v>6</c:v>
                </c:pt>
                <c:pt idx="20">
                  <c:v>5</c:v>
                </c:pt>
                <c:pt idx="21">
                  <c:v>2</c:v>
                </c:pt>
                <c:pt idx="22">
                  <c:v>1</c:v>
                </c:pt>
                <c:pt idx="23">
                  <c:v>6</c:v>
                </c:pt>
              </c:numCache>
            </c:numRef>
          </c:val>
          <c:extLst>
            <c:ext xmlns:c16="http://schemas.microsoft.com/office/drawing/2014/chart" uri="{C3380CC4-5D6E-409C-BE32-E72D297353CC}">
              <c16:uniqueId val="{00000005-655A-4538-BAED-9A0C93921560}"/>
            </c:ext>
          </c:extLst>
        </c:ser>
        <c:ser>
          <c:idx val="6"/>
          <c:order val="6"/>
          <c:tx>
            <c:strRef>
              <c:f>Pivot!$AL$19</c:f>
              <c:strCache>
                <c:ptCount val="1"/>
                <c:pt idx="0">
                  <c:v>Zalo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Pivot!$AL$20:$AL$45</c:f>
              <c:numCache>
                <c:formatCode>General</c:formatCode>
                <c:ptCount val="25"/>
                <c:pt idx="0">
                  <c:v>2</c:v>
                </c:pt>
                <c:pt idx="2">
                  <c:v>4</c:v>
                </c:pt>
                <c:pt idx="3">
                  <c:v>2</c:v>
                </c:pt>
                <c:pt idx="4">
                  <c:v>3</c:v>
                </c:pt>
                <c:pt idx="5">
                  <c:v>5</c:v>
                </c:pt>
                <c:pt idx="6">
                  <c:v>4</c:v>
                </c:pt>
                <c:pt idx="7">
                  <c:v>1</c:v>
                </c:pt>
                <c:pt idx="8">
                  <c:v>5</c:v>
                </c:pt>
                <c:pt idx="9">
                  <c:v>2</c:v>
                </c:pt>
                <c:pt idx="10">
                  <c:v>1</c:v>
                </c:pt>
                <c:pt idx="11">
                  <c:v>3</c:v>
                </c:pt>
                <c:pt idx="12">
                  <c:v>9</c:v>
                </c:pt>
                <c:pt idx="13">
                  <c:v>3</c:v>
                </c:pt>
                <c:pt idx="15">
                  <c:v>3</c:v>
                </c:pt>
                <c:pt idx="16">
                  <c:v>5</c:v>
                </c:pt>
                <c:pt idx="17">
                  <c:v>12</c:v>
                </c:pt>
                <c:pt idx="18">
                  <c:v>5</c:v>
                </c:pt>
                <c:pt idx="19">
                  <c:v>5</c:v>
                </c:pt>
                <c:pt idx="20">
                  <c:v>11</c:v>
                </c:pt>
                <c:pt idx="21">
                  <c:v>1</c:v>
                </c:pt>
                <c:pt idx="22">
                  <c:v>5</c:v>
                </c:pt>
                <c:pt idx="23">
                  <c:v>12</c:v>
                </c:pt>
              </c:numCache>
            </c:numRef>
          </c:val>
          <c:extLst>
            <c:ext xmlns:c16="http://schemas.microsoft.com/office/drawing/2014/chart" uri="{C3380CC4-5D6E-409C-BE32-E72D297353CC}">
              <c16:uniqueId val="{00000006-655A-4538-BAED-9A0C93921560}"/>
            </c:ext>
          </c:extLst>
        </c:ser>
        <c:ser>
          <c:idx val="7"/>
          <c:order val="7"/>
          <c:tx>
            <c:strRef>
              <c:f>Pivot!$AM$19</c:f>
              <c:strCache>
                <c:ptCount val="1"/>
                <c:pt idx="0">
                  <c:v>Online banner</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Pivot!$AM$20:$AM$45</c:f>
              <c:numCache>
                <c:formatCode>General</c:formatCode>
                <c:ptCount val="25"/>
                <c:pt idx="0">
                  <c:v>1</c:v>
                </c:pt>
                <c:pt idx="1">
                  <c:v>1</c:v>
                </c:pt>
                <c:pt idx="2">
                  <c:v>11</c:v>
                </c:pt>
                <c:pt idx="4">
                  <c:v>7</c:v>
                </c:pt>
                <c:pt idx="5">
                  <c:v>9</c:v>
                </c:pt>
                <c:pt idx="6">
                  <c:v>4</c:v>
                </c:pt>
                <c:pt idx="7">
                  <c:v>12</c:v>
                </c:pt>
                <c:pt idx="8">
                  <c:v>6</c:v>
                </c:pt>
                <c:pt idx="9">
                  <c:v>11</c:v>
                </c:pt>
                <c:pt idx="10">
                  <c:v>1</c:v>
                </c:pt>
                <c:pt idx="11">
                  <c:v>2</c:v>
                </c:pt>
                <c:pt idx="12">
                  <c:v>9</c:v>
                </c:pt>
                <c:pt idx="13">
                  <c:v>10</c:v>
                </c:pt>
                <c:pt idx="14">
                  <c:v>4</c:v>
                </c:pt>
                <c:pt idx="15">
                  <c:v>6</c:v>
                </c:pt>
                <c:pt idx="16">
                  <c:v>12</c:v>
                </c:pt>
                <c:pt idx="17">
                  <c:v>11</c:v>
                </c:pt>
                <c:pt idx="18">
                  <c:v>8</c:v>
                </c:pt>
                <c:pt idx="19">
                  <c:v>6</c:v>
                </c:pt>
                <c:pt idx="20">
                  <c:v>11</c:v>
                </c:pt>
                <c:pt idx="21">
                  <c:v>1</c:v>
                </c:pt>
                <c:pt idx="22">
                  <c:v>4</c:v>
                </c:pt>
                <c:pt idx="23">
                  <c:v>3</c:v>
                </c:pt>
              </c:numCache>
            </c:numRef>
          </c:val>
          <c:extLst>
            <c:ext xmlns:c16="http://schemas.microsoft.com/office/drawing/2014/chart" uri="{C3380CC4-5D6E-409C-BE32-E72D297353CC}">
              <c16:uniqueId val="{00000007-655A-4538-BAED-9A0C93921560}"/>
            </c:ext>
          </c:extLst>
        </c:ser>
        <c:ser>
          <c:idx val="8"/>
          <c:order val="8"/>
          <c:tx>
            <c:strRef>
              <c:f>Pivot!$AN$19</c:f>
              <c:strCache>
                <c:ptCount val="1"/>
                <c:pt idx="0">
                  <c:v>Offline (Event,Lái thử...)</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Pivot!$AN$20:$AN$45</c:f>
              <c:numCache>
                <c:formatCode>General</c:formatCode>
                <c:ptCount val="25"/>
                <c:pt idx="0">
                  <c:v>9</c:v>
                </c:pt>
                <c:pt idx="1">
                  <c:v>2</c:v>
                </c:pt>
                <c:pt idx="2">
                  <c:v>10</c:v>
                </c:pt>
                <c:pt idx="3">
                  <c:v>9</c:v>
                </c:pt>
                <c:pt idx="4">
                  <c:v>8</c:v>
                </c:pt>
                <c:pt idx="5">
                  <c:v>9</c:v>
                </c:pt>
                <c:pt idx="6">
                  <c:v>9</c:v>
                </c:pt>
                <c:pt idx="7">
                  <c:v>2</c:v>
                </c:pt>
                <c:pt idx="8">
                  <c:v>12</c:v>
                </c:pt>
                <c:pt idx="9">
                  <c:v>6</c:v>
                </c:pt>
                <c:pt idx="10">
                  <c:v>10</c:v>
                </c:pt>
                <c:pt idx="11">
                  <c:v>7</c:v>
                </c:pt>
                <c:pt idx="12">
                  <c:v>11</c:v>
                </c:pt>
                <c:pt idx="13">
                  <c:v>7</c:v>
                </c:pt>
                <c:pt idx="14">
                  <c:v>5</c:v>
                </c:pt>
                <c:pt idx="15">
                  <c:v>6</c:v>
                </c:pt>
                <c:pt idx="16">
                  <c:v>13</c:v>
                </c:pt>
                <c:pt idx="17">
                  <c:v>11</c:v>
                </c:pt>
                <c:pt idx="18">
                  <c:v>7</c:v>
                </c:pt>
                <c:pt idx="19">
                  <c:v>9</c:v>
                </c:pt>
                <c:pt idx="20">
                  <c:v>7</c:v>
                </c:pt>
                <c:pt idx="21">
                  <c:v>4</c:v>
                </c:pt>
                <c:pt idx="22">
                  <c:v>5</c:v>
                </c:pt>
                <c:pt idx="23">
                  <c:v>9</c:v>
                </c:pt>
              </c:numCache>
            </c:numRef>
          </c:val>
          <c:extLst>
            <c:ext xmlns:c16="http://schemas.microsoft.com/office/drawing/2014/chart" uri="{C3380CC4-5D6E-409C-BE32-E72D297353CC}">
              <c16:uniqueId val="{00000008-655A-4538-BAED-9A0C93921560}"/>
            </c:ext>
          </c:extLst>
        </c:ser>
        <c:ser>
          <c:idx val="9"/>
          <c:order val="9"/>
          <c:tx>
            <c:strRef>
              <c:f>Pivot!$AO$19</c:f>
              <c:strCache>
                <c:ptCount val="1"/>
                <c:pt idx="0">
                  <c:v>Car club/Sponsorship</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Pivot!$AO$20:$AO$45</c:f>
              <c:numCache>
                <c:formatCode>General</c:formatCode>
                <c:ptCount val="25"/>
                <c:pt idx="6">
                  <c:v>1</c:v>
                </c:pt>
                <c:pt idx="16">
                  <c:v>1</c:v>
                </c:pt>
              </c:numCache>
            </c:numRef>
          </c:val>
          <c:extLst>
            <c:ext xmlns:c16="http://schemas.microsoft.com/office/drawing/2014/chart" uri="{C3380CC4-5D6E-409C-BE32-E72D297353CC}">
              <c16:uniqueId val="{00000009-655A-4538-BAED-9A0C93921560}"/>
            </c:ext>
          </c:extLst>
        </c:ser>
        <c:ser>
          <c:idx val="10"/>
          <c:order val="10"/>
          <c:tx>
            <c:strRef>
              <c:f>Pivot!$AP$19</c:f>
              <c:strCache>
                <c:ptCount val="1"/>
                <c:pt idx="0">
                  <c:v>TV/Radio</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Pivot!$AP$20:$AP$45</c:f>
              <c:numCache>
                <c:formatCode>General</c:formatCode>
                <c:ptCount val="25"/>
                <c:pt idx="5">
                  <c:v>1</c:v>
                </c:pt>
                <c:pt idx="21">
                  <c:v>1</c:v>
                </c:pt>
              </c:numCache>
            </c:numRef>
          </c:val>
          <c:extLst>
            <c:ext xmlns:c16="http://schemas.microsoft.com/office/drawing/2014/chart" uri="{C3380CC4-5D6E-409C-BE32-E72D297353CC}">
              <c16:uniqueId val="{0000000A-655A-4538-BAED-9A0C93921560}"/>
            </c:ext>
          </c:extLst>
        </c:ser>
        <c:ser>
          <c:idx val="11"/>
          <c:order val="11"/>
          <c:tx>
            <c:strRef>
              <c:f>Pivot!$AQ$19</c:f>
              <c:strCache>
                <c:ptCount val="1"/>
                <c:pt idx="0">
                  <c:v>Print Ads/ PR Articles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Pivot!$AQ$20:$AQ$45</c:f>
              <c:numCache>
                <c:formatCode>General</c:formatCode>
                <c:ptCount val="25"/>
                <c:pt idx="0">
                  <c:v>2</c:v>
                </c:pt>
                <c:pt idx="1">
                  <c:v>1</c:v>
                </c:pt>
                <c:pt idx="5">
                  <c:v>9</c:v>
                </c:pt>
                <c:pt idx="6">
                  <c:v>5</c:v>
                </c:pt>
                <c:pt idx="9">
                  <c:v>2</c:v>
                </c:pt>
                <c:pt idx="10">
                  <c:v>1</c:v>
                </c:pt>
                <c:pt idx="11">
                  <c:v>1</c:v>
                </c:pt>
                <c:pt idx="16">
                  <c:v>10</c:v>
                </c:pt>
                <c:pt idx="17">
                  <c:v>2</c:v>
                </c:pt>
                <c:pt idx="18">
                  <c:v>1</c:v>
                </c:pt>
                <c:pt idx="19">
                  <c:v>2</c:v>
                </c:pt>
                <c:pt idx="20">
                  <c:v>3</c:v>
                </c:pt>
                <c:pt idx="21">
                  <c:v>3</c:v>
                </c:pt>
                <c:pt idx="22">
                  <c:v>9</c:v>
                </c:pt>
              </c:numCache>
            </c:numRef>
          </c:val>
          <c:extLst>
            <c:ext xmlns:c16="http://schemas.microsoft.com/office/drawing/2014/chart" uri="{C3380CC4-5D6E-409C-BE32-E72D297353CC}">
              <c16:uniqueId val="{0000000B-655A-4538-BAED-9A0C93921560}"/>
            </c:ext>
          </c:extLst>
        </c:ser>
        <c:ser>
          <c:idx val="12"/>
          <c:order val="12"/>
          <c:tx>
            <c:strRef>
              <c:f>Pivot!$AR$19</c:f>
              <c:strCache>
                <c:ptCount val="1"/>
                <c:pt idx="0">
                  <c:v>CSR</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Pivot!$AR$20:$AR$45</c:f>
              <c:numCache>
                <c:formatCode>General</c:formatCode>
                <c:ptCount val="25"/>
                <c:pt idx="0">
                  <c:v>2</c:v>
                </c:pt>
                <c:pt idx="1">
                  <c:v>1</c:v>
                </c:pt>
                <c:pt idx="2">
                  <c:v>4</c:v>
                </c:pt>
                <c:pt idx="5">
                  <c:v>2</c:v>
                </c:pt>
                <c:pt idx="6">
                  <c:v>2</c:v>
                </c:pt>
                <c:pt idx="8">
                  <c:v>1</c:v>
                </c:pt>
                <c:pt idx="10">
                  <c:v>1</c:v>
                </c:pt>
                <c:pt idx="12">
                  <c:v>1</c:v>
                </c:pt>
                <c:pt idx="15">
                  <c:v>1</c:v>
                </c:pt>
                <c:pt idx="16">
                  <c:v>8</c:v>
                </c:pt>
                <c:pt idx="17">
                  <c:v>1</c:v>
                </c:pt>
                <c:pt idx="18">
                  <c:v>4</c:v>
                </c:pt>
                <c:pt idx="19">
                  <c:v>1</c:v>
                </c:pt>
                <c:pt idx="20">
                  <c:v>3</c:v>
                </c:pt>
                <c:pt idx="22">
                  <c:v>3</c:v>
                </c:pt>
              </c:numCache>
            </c:numRef>
          </c:val>
          <c:extLst>
            <c:ext xmlns:c16="http://schemas.microsoft.com/office/drawing/2014/chart" uri="{C3380CC4-5D6E-409C-BE32-E72D297353CC}">
              <c16:uniqueId val="{0000000C-655A-4538-BAED-9A0C93921560}"/>
            </c:ext>
          </c:extLst>
        </c:ser>
        <c:ser>
          <c:idx val="13"/>
          <c:order val="13"/>
          <c:tx>
            <c:strRef>
              <c:f>Pivot!$AS$19</c:f>
              <c:strCache>
                <c:ptCount val="1"/>
                <c:pt idx="0">
                  <c:v>Khác</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Pivot!$AE$20:$AE$45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Pivot!$AS$20:$AS$45</c:f>
              <c:numCache>
                <c:formatCode>General</c:formatCode>
                <c:ptCount val="25"/>
                <c:pt idx="0">
                  <c:v>9</c:v>
                </c:pt>
                <c:pt idx="2">
                  <c:v>2</c:v>
                </c:pt>
                <c:pt idx="3">
                  <c:v>2</c:v>
                </c:pt>
                <c:pt idx="5">
                  <c:v>2</c:v>
                </c:pt>
                <c:pt idx="6">
                  <c:v>1</c:v>
                </c:pt>
                <c:pt idx="8">
                  <c:v>2</c:v>
                </c:pt>
                <c:pt idx="12">
                  <c:v>1</c:v>
                </c:pt>
                <c:pt idx="14">
                  <c:v>1</c:v>
                </c:pt>
                <c:pt idx="15">
                  <c:v>1</c:v>
                </c:pt>
                <c:pt idx="16">
                  <c:v>4</c:v>
                </c:pt>
                <c:pt idx="17">
                  <c:v>2</c:v>
                </c:pt>
                <c:pt idx="18">
                  <c:v>1</c:v>
                </c:pt>
                <c:pt idx="19">
                  <c:v>3</c:v>
                </c:pt>
                <c:pt idx="22">
                  <c:v>4</c:v>
                </c:pt>
                <c:pt idx="23">
                  <c:v>1</c:v>
                </c:pt>
              </c:numCache>
            </c:numRef>
          </c:val>
          <c:extLst>
            <c:ext xmlns:c16="http://schemas.microsoft.com/office/drawing/2014/chart" uri="{C3380CC4-5D6E-409C-BE32-E72D297353CC}">
              <c16:uniqueId val="{0000000D-655A-4538-BAED-9A0C93921560}"/>
            </c:ext>
          </c:extLst>
        </c:ser>
        <c:dLbls>
          <c:dLblPos val="ctr"/>
          <c:showLegendKey val="0"/>
          <c:showVal val="1"/>
          <c:showCatName val="0"/>
          <c:showSerName val="0"/>
          <c:showPercent val="0"/>
          <c:showBubbleSize val="0"/>
        </c:dLbls>
        <c:gapWidth val="150"/>
        <c:overlap val="100"/>
        <c:axId val="1976687776"/>
        <c:axId val="1976684032"/>
      </c:barChart>
      <c:catAx>
        <c:axId val="19766877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altLang="ja-JP" sz="900" b="0" i="0" u="none" strike="noStrike" kern="1200" baseline="0">
                <a:solidFill>
                  <a:schemeClr val="tx2"/>
                </a:solidFill>
                <a:latin typeface="+mn-lt"/>
                <a:ea typeface="+mn-ea"/>
                <a:cs typeface="+mn-cs"/>
              </a:defRPr>
            </a:pPr>
            <a:endParaRPr lang="en-US"/>
          </a:p>
        </c:txPr>
        <c:crossAx val="1976684032"/>
        <c:crosses val="autoZero"/>
        <c:auto val="1"/>
        <c:lblAlgn val="ctr"/>
        <c:lblOffset val="100"/>
        <c:noMultiLvlLbl val="0"/>
      </c:catAx>
      <c:valAx>
        <c:axId val="1976684032"/>
        <c:scaling>
          <c:orientation val="minMax"/>
        </c:scaling>
        <c:delete val="1"/>
        <c:axPos val="l"/>
        <c:numFmt formatCode="General" sourceLinked="1"/>
        <c:majorTickMark val="out"/>
        <c:minorTickMark val="none"/>
        <c:tickLblPos val="nextTo"/>
        <c:crossAx val="1976687776"/>
        <c:crosses val="autoZero"/>
        <c:crossBetween val="between"/>
      </c:valAx>
      <c:spPr>
        <a:noFill/>
        <a:ln>
          <a:noFill/>
        </a:ln>
        <a:effectLst/>
      </c:spPr>
    </c:plotArea>
    <c:legend>
      <c:legendPos val="b"/>
      <c:layout>
        <c:manualLayout>
          <c:xMode val="edge"/>
          <c:yMode val="edge"/>
          <c:x val="3.7080611816330006E-3"/>
          <c:y val="0.87134414659393733"/>
          <c:w val="0.99501256796313542"/>
          <c:h val="0.12046795520365061"/>
        </c:manualLayout>
      </c:layout>
      <c:overlay val="0"/>
      <c:spPr>
        <a:noFill/>
        <a:ln>
          <a:noFill/>
        </a:ln>
        <a:effectLst/>
      </c:spPr>
      <c:txPr>
        <a:bodyPr rot="0" spcFirstLastPara="1" vertOverflow="ellipsis" vert="horz" wrap="square" anchor="ctr" anchorCtr="1"/>
        <a:lstStyle/>
        <a:p>
          <a:pPr>
            <a:defRPr lang="en-US" altLang="ja-JP"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lang="en-US" altLang="ja-JP" sz="900" b="0" i="0" u="none" strike="noStrike" kern="1200" baseline="0">
          <a:solidFill>
            <a:schemeClr val="tx2"/>
          </a:solidFill>
          <a:latin typeface="+mn-lt"/>
          <a:ea typeface="+mn-ea"/>
          <a:cs typeface="+mn-cs"/>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c:name>
    <c:fmtId val="4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14851773834128E-2"/>
          <c:y val="0.14743569278813085"/>
          <c:w val="0.96297029645233179"/>
          <c:h val="0.57735810846326663"/>
        </c:manualLayout>
      </c:layout>
      <c:lineChart>
        <c:grouping val="stacked"/>
        <c:varyColors val="0"/>
        <c:ser>
          <c:idx val="0"/>
          <c:order val="0"/>
          <c:tx>
            <c:strRef>
              <c:f>Pivot!$R$69</c:f>
              <c:strCache>
                <c:ptCount val="1"/>
                <c:pt idx="0">
                  <c:v>Average of Hoàn thành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Pivot!$Q$70:$Q$95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Pivot!$R$70:$R$95</c:f>
              <c:numCache>
                <c:formatCode>General</c:formatCode>
                <c:ptCount val="25"/>
                <c:pt idx="0">
                  <c:v>1.1249999999999998</c:v>
                </c:pt>
                <c:pt idx="1">
                  <c:v>0.19583333333333333</c:v>
                </c:pt>
                <c:pt idx="2">
                  <c:v>1.0941666666666665</c:v>
                </c:pt>
                <c:pt idx="3">
                  <c:v>0.97500000000000009</c:v>
                </c:pt>
                <c:pt idx="4">
                  <c:v>0.96583333333333332</c:v>
                </c:pt>
                <c:pt idx="5">
                  <c:v>1.0158333333333334</c:v>
                </c:pt>
                <c:pt idx="6">
                  <c:v>0.93416666666666659</c:v>
                </c:pt>
                <c:pt idx="7">
                  <c:v>1.18</c:v>
                </c:pt>
                <c:pt idx="8">
                  <c:v>1.1099999999999999</c:v>
                </c:pt>
                <c:pt idx="9">
                  <c:v>0.98491666666666655</c:v>
                </c:pt>
                <c:pt idx="10">
                  <c:v>1.1616666666666668</c:v>
                </c:pt>
                <c:pt idx="11">
                  <c:v>0.85666666666666647</c:v>
                </c:pt>
                <c:pt idx="12">
                  <c:v>1.1775</c:v>
                </c:pt>
                <c:pt idx="13">
                  <c:v>0.63833333333333331</c:v>
                </c:pt>
                <c:pt idx="14">
                  <c:v>1.2591666666666665</c:v>
                </c:pt>
                <c:pt idx="15">
                  <c:v>1.04</c:v>
                </c:pt>
                <c:pt idx="16">
                  <c:v>1.2068749999999999</c:v>
                </c:pt>
                <c:pt idx="17">
                  <c:v>1.0825000000000002</c:v>
                </c:pt>
                <c:pt idx="18">
                  <c:v>1.1850000000000001</c:v>
                </c:pt>
                <c:pt idx="19">
                  <c:v>1.0033333333333334</c:v>
                </c:pt>
                <c:pt idx="20">
                  <c:v>1.2025000000000001</c:v>
                </c:pt>
                <c:pt idx="21">
                  <c:v>1.0416666666666667</c:v>
                </c:pt>
                <c:pt idx="22">
                  <c:v>0.91499999999999992</c:v>
                </c:pt>
                <c:pt idx="23">
                  <c:v>1.0991666666666668</c:v>
                </c:pt>
              </c:numCache>
            </c:numRef>
          </c:val>
          <c:smooth val="0"/>
          <c:extLst>
            <c:ext xmlns:c16="http://schemas.microsoft.com/office/drawing/2014/chart" uri="{C3380CC4-5D6E-409C-BE32-E72D297353CC}">
              <c16:uniqueId val="{00000000-3BEB-4F0D-ADD8-D8A34FBF43DF}"/>
            </c:ext>
          </c:extLst>
        </c:ser>
        <c:ser>
          <c:idx val="1"/>
          <c:order val="1"/>
          <c:tx>
            <c:strRef>
              <c:f>Pivot!$S$69</c:f>
              <c:strCache>
                <c:ptCount val="1"/>
                <c:pt idx="0">
                  <c:v>Average of Hệ số Mi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Pivot!$Q$70:$Q$95</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Pivot!$S$70:$S$95</c:f>
              <c:numCache>
                <c:formatCode>General</c:formatCode>
                <c:ptCount val="25"/>
                <c:pt idx="0">
                  <c:v>1</c:v>
                </c:pt>
                <c:pt idx="1">
                  <c:v>8.3333333333333329E-2</c:v>
                </c:pt>
                <c:pt idx="2">
                  <c:v>1</c:v>
                </c:pt>
                <c:pt idx="3">
                  <c:v>0.83333333333333337</c:v>
                </c:pt>
                <c:pt idx="4">
                  <c:v>0.77083333333333337</c:v>
                </c:pt>
                <c:pt idx="5">
                  <c:v>0.89583333333333337</c:v>
                </c:pt>
                <c:pt idx="6">
                  <c:v>0.89583333333333337</c:v>
                </c:pt>
                <c:pt idx="7">
                  <c:v>1</c:v>
                </c:pt>
                <c:pt idx="8">
                  <c:v>0.9375</c:v>
                </c:pt>
                <c:pt idx="9">
                  <c:v>0.75</c:v>
                </c:pt>
                <c:pt idx="10">
                  <c:v>1</c:v>
                </c:pt>
                <c:pt idx="11">
                  <c:v>0.52083333333333337</c:v>
                </c:pt>
                <c:pt idx="12">
                  <c:v>0.95833333333333337</c:v>
                </c:pt>
                <c:pt idx="13">
                  <c:v>0.41666666666666669</c:v>
                </c:pt>
                <c:pt idx="14">
                  <c:v>1</c:v>
                </c:pt>
                <c:pt idx="15">
                  <c:v>0.875</c:v>
                </c:pt>
                <c:pt idx="16">
                  <c:v>0.921875</c:v>
                </c:pt>
                <c:pt idx="17">
                  <c:v>1</c:v>
                </c:pt>
                <c:pt idx="18">
                  <c:v>0.97916666666666663</c:v>
                </c:pt>
                <c:pt idx="19">
                  <c:v>0.85416666666666663</c:v>
                </c:pt>
                <c:pt idx="20">
                  <c:v>1</c:v>
                </c:pt>
                <c:pt idx="21">
                  <c:v>0.89583333333333337</c:v>
                </c:pt>
                <c:pt idx="22">
                  <c:v>0.77083333333333337</c:v>
                </c:pt>
                <c:pt idx="23">
                  <c:v>0.97916666666666663</c:v>
                </c:pt>
              </c:numCache>
            </c:numRef>
          </c:val>
          <c:smooth val="0"/>
          <c:extLst>
            <c:ext xmlns:c16="http://schemas.microsoft.com/office/drawing/2014/chart" uri="{C3380CC4-5D6E-409C-BE32-E72D297353CC}">
              <c16:uniqueId val="{00000000-AF9E-4B16-8ED0-472E092D5432}"/>
            </c:ext>
          </c:extLst>
        </c:ser>
        <c:dLbls>
          <c:dLblPos val="t"/>
          <c:showLegendKey val="0"/>
          <c:showVal val="1"/>
          <c:showCatName val="0"/>
          <c:showSerName val="0"/>
          <c:showPercent val="0"/>
          <c:showBubbleSize val="0"/>
        </c:dLbls>
        <c:marker val="1"/>
        <c:smooth val="0"/>
        <c:axId val="168379711"/>
        <c:axId val="168378879"/>
      </c:lineChart>
      <c:catAx>
        <c:axId val="168379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8879"/>
        <c:crosses val="autoZero"/>
        <c:auto val="1"/>
        <c:lblAlgn val="ctr"/>
        <c:lblOffset val="100"/>
        <c:noMultiLvlLbl val="0"/>
      </c:catAx>
      <c:valAx>
        <c:axId val="168378879"/>
        <c:scaling>
          <c:orientation val="minMax"/>
        </c:scaling>
        <c:delete val="1"/>
        <c:axPos val="l"/>
        <c:numFmt formatCode="General" sourceLinked="1"/>
        <c:majorTickMark val="none"/>
        <c:minorTickMark val="none"/>
        <c:tickLblPos val="nextTo"/>
        <c:crossAx val="168379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8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2022.xlsx]Pivot!PivotTable10</c:name>
    <c:fmtId val="2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5890409029777707E-3"/>
              <c:y val="0.125339556581530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339725670508876"/>
              <c:y val="5.8084184757294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619177715657764"/>
              <c:y val="-4.5855935334706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5890409029777195E-3"/>
              <c:y val="-0.11311130715894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060273625359988"/>
              <c:y val="-4.5855814977920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438900780881437E-2"/>
                  <c:h val="6.4152573890039616E-2"/>
                </c:manualLayout>
              </c15:layout>
            </c:ext>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9424654447644428E-2"/>
              <c:y val="6.419830946858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9130450855167266"/>
          <c:y val="0.1959434948962705"/>
          <c:w val="0.58023112224420681"/>
          <c:h val="0.6347431526015721"/>
        </c:manualLayout>
      </c:layout>
      <c:radarChart>
        <c:radarStyle val="marker"/>
        <c:varyColors val="0"/>
        <c:ser>
          <c:idx val="0"/>
          <c:order val="0"/>
          <c:tx>
            <c:strRef>
              <c:f>Pivot!$W$8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28F-4AA1-BCDF-C449703682AC}"/>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26-4B80-AFCA-AD9F4FC886A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8F-4AA1-BCDF-C449703682AC}"/>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28F-4AA1-BCDF-C449703682AC}"/>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8F-4AA1-BCDF-C449703682AC}"/>
              </c:ext>
            </c:extLst>
          </c:dPt>
          <c:dPt>
            <c:idx val="1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B52-45DF-9FB8-D322CD96AED2}"/>
              </c:ext>
            </c:extLst>
          </c:dPt>
          <c:dPt>
            <c:idx val="1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126-4B80-AFCA-AD9F4FC886A9}"/>
              </c:ext>
            </c:extLst>
          </c:dPt>
          <c:dPt>
            <c:idx val="1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126-4B80-AFCA-AD9F4FC886A9}"/>
              </c:ext>
            </c:extLst>
          </c:dPt>
          <c:dPt>
            <c:idx val="1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52-45DF-9FB8-D322CD96AED2}"/>
              </c:ext>
            </c:extLst>
          </c:dPt>
          <c:dPt>
            <c:idx val="1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28F-4AA1-BCDF-C449703682AC}"/>
              </c:ext>
            </c:extLst>
          </c:dPt>
          <c:dP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126-4B80-AFCA-AD9F4FC886A9}"/>
              </c:ext>
            </c:extLst>
          </c:dPt>
          <c:dPt>
            <c:idx val="1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8F-4AA1-BCDF-C449703682AC}"/>
              </c:ext>
            </c:extLst>
          </c:dPt>
          <c:dPt>
            <c:idx val="2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B52-45DF-9FB8-D322CD96AED2}"/>
              </c:ext>
            </c:extLst>
          </c:dPt>
          <c:dPt>
            <c:idx val="2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52-45DF-9FB8-D322CD96AED2}"/>
              </c:ext>
            </c:extLst>
          </c:dPt>
          <c:dLbls>
            <c:dLbl>
              <c:idx val="2"/>
              <c:layout>
                <c:manualLayout>
                  <c:x val="-5.5890409029777707E-3"/>
                  <c:y val="0.12533955658153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8F-4AA1-BCDF-C449703682AC}"/>
                </c:ext>
              </c:extLst>
            </c:dLbl>
            <c:dLbl>
              <c:idx val="5"/>
              <c:layout>
                <c:manualLayout>
                  <c:x val="-8.9424654447644428E-2"/>
                  <c:y val="6.4198309468588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8F-4AA1-BCDF-C449703682AC}"/>
                </c:ext>
              </c:extLst>
            </c:dLbl>
            <c:dLbl>
              <c:idx val="6"/>
              <c:layout>
                <c:manualLayout>
                  <c:x val="-0.10060273625359988"/>
                  <c:y val="-4.5855814977920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438900780881437E-2"/>
                      <c:h val="6.4152573890039616E-2"/>
                    </c:manualLayout>
                  </c15:layout>
                </c:ext>
                <c:ext xmlns:c16="http://schemas.microsoft.com/office/drawing/2014/chart" uri="{C3380CC4-5D6E-409C-BE32-E72D297353CC}">
                  <c16:uniqueId val="{00000002-628F-4AA1-BCDF-C449703682AC}"/>
                </c:ext>
              </c:extLst>
            </c:dLbl>
            <c:dLbl>
              <c:idx val="7"/>
              <c:layout>
                <c:manualLayout>
                  <c:x val="5.5890409029777195E-3"/>
                  <c:y val="-0.11311130715894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8F-4AA1-BCDF-C449703682AC}"/>
                </c:ext>
              </c:extLst>
            </c:dLbl>
            <c:dLbl>
              <c:idx val="17"/>
              <c:layout>
                <c:manualLayout>
                  <c:x val="0.10619177715657764"/>
                  <c:y val="-4.5855935334706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8F-4AA1-BCDF-C449703682AC}"/>
                </c:ext>
              </c:extLst>
            </c:dLbl>
            <c:dLbl>
              <c:idx val="19"/>
              <c:layout>
                <c:manualLayout>
                  <c:x val="0.10339725670508876"/>
                  <c:y val="5.8084184757294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8F-4AA1-BCDF-C449703682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Pivot!$V$9:$V$34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Pivot!$W$9:$W$34</c:f>
              <c:numCache>
                <c:formatCode>0.00_);[Red]\(0.00\)</c:formatCode>
                <c:ptCount val="25"/>
                <c:pt idx="0">
                  <c:v>71</c:v>
                </c:pt>
                <c:pt idx="1">
                  <c:v>14</c:v>
                </c:pt>
                <c:pt idx="2">
                  <c:v>54</c:v>
                </c:pt>
                <c:pt idx="3">
                  <c:v>72</c:v>
                </c:pt>
                <c:pt idx="4">
                  <c:v>64</c:v>
                </c:pt>
                <c:pt idx="5">
                  <c:v>47</c:v>
                </c:pt>
                <c:pt idx="6">
                  <c:v>49</c:v>
                </c:pt>
                <c:pt idx="7">
                  <c:v>66</c:v>
                </c:pt>
                <c:pt idx="8">
                  <c:v>57</c:v>
                </c:pt>
                <c:pt idx="9">
                  <c:v>46</c:v>
                </c:pt>
                <c:pt idx="10">
                  <c:v>62</c:v>
                </c:pt>
                <c:pt idx="11">
                  <c:v>51</c:v>
                </c:pt>
                <c:pt idx="12">
                  <c:v>68</c:v>
                </c:pt>
                <c:pt idx="13">
                  <c:v>40</c:v>
                </c:pt>
                <c:pt idx="14">
                  <c:v>64</c:v>
                </c:pt>
                <c:pt idx="15">
                  <c:v>49</c:v>
                </c:pt>
                <c:pt idx="16">
                  <c:v>79</c:v>
                </c:pt>
                <c:pt idx="17">
                  <c:v>64</c:v>
                </c:pt>
                <c:pt idx="18">
                  <c:v>84</c:v>
                </c:pt>
                <c:pt idx="19">
                  <c:v>62</c:v>
                </c:pt>
                <c:pt idx="20">
                  <c:v>60</c:v>
                </c:pt>
                <c:pt idx="21">
                  <c:v>41</c:v>
                </c:pt>
                <c:pt idx="22">
                  <c:v>40</c:v>
                </c:pt>
                <c:pt idx="23">
                  <c:v>66</c:v>
                </c:pt>
              </c:numCache>
            </c:numRef>
          </c:val>
          <c:extLst>
            <c:ext xmlns:c16="http://schemas.microsoft.com/office/drawing/2014/chart" uri="{C3380CC4-5D6E-409C-BE32-E72D297353CC}">
              <c16:uniqueId val="{00000000-4FA9-4C9E-A0E1-2B58C8FE5A4F}"/>
            </c:ext>
          </c:extLst>
        </c:ser>
        <c:dLbls>
          <c:showLegendKey val="0"/>
          <c:showVal val="1"/>
          <c:showCatName val="0"/>
          <c:showSerName val="0"/>
          <c:showPercent val="0"/>
          <c:showBubbleSize val="0"/>
        </c:dLbls>
        <c:axId val="1127149599"/>
        <c:axId val="1127143359"/>
      </c:radarChart>
      <c:catAx>
        <c:axId val="1127149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27143359"/>
        <c:crosses val="autoZero"/>
        <c:auto val="1"/>
        <c:lblAlgn val="ctr"/>
        <c:lblOffset val="100"/>
        <c:noMultiLvlLbl val="0"/>
      </c:catAx>
      <c:valAx>
        <c:axId val="1127143359"/>
        <c:scaling>
          <c:orientation val="minMax"/>
        </c:scaling>
        <c:delete val="1"/>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crossAx val="112714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A9AE"/>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Dashboard_2022_ Sơ kết MKT 2022.xlsx]Pivot!PivotTable5</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45605165910042E-2"/>
          <c:y val="0.16571015611110898"/>
          <c:w val="0.96540605461177542"/>
          <c:h val="0.47134403722492862"/>
        </c:manualLayout>
      </c:layout>
      <c:barChart>
        <c:barDir val="col"/>
        <c:grouping val="stacked"/>
        <c:varyColors val="0"/>
        <c:ser>
          <c:idx val="1"/>
          <c:order val="1"/>
          <c:tx>
            <c:strRef>
              <c:f>Pivot!$C$8</c:f>
              <c:strCache>
                <c:ptCount val="1"/>
                <c:pt idx="0">
                  <c:v>KM_DV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Pivot!$C$9:$C$34</c:f>
              <c:numCache>
                <c:formatCode>General</c:formatCode>
                <c:ptCount val="25"/>
                <c:pt idx="0">
                  <c:v>7</c:v>
                </c:pt>
                <c:pt idx="2">
                  <c:v>5</c:v>
                </c:pt>
                <c:pt idx="3">
                  <c:v>11</c:v>
                </c:pt>
                <c:pt idx="4">
                  <c:v>4</c:v>
                </c:pt>
                <c:pt idx="5">
                  <c:v>4</c:v>
                </c:pt>
                <c:pt idx="6">
                  <c:v>6</c:v>
                </c:pt>
                <c:pt idx="7">
                  <c:v>5</c:v>
                </c:pt>
                <c:pt idx="8">
                  <c:v>2</c:v>
                </c:pt>
                <c:pt idx="9">
                  <c:v>11</c:v>
                </c:pt>
                <c:pt idx="10">
                  <c:v>4</c:v>
                </c:pt>
                <c:pt idx="11">
                  <c:v>6</c:v>
                </c:pt>
                <c:pt idx="12">
                  <c:v>8</c:v>
                </c:pt>
                <c:pt idx="13">
                  <c:v>3</c:v>
                </c:pt>
                <c:pt idx="14">
                  <c:v>4</c:v>
                </c:pt>
                <c:pt idx="15">
                  <c:v>8</c:v>
                </c:pt>
                <c:pt idx="16">
                  <c:v>8</c:v>
                </c:pt>
                <c:pt idx="17">
                  <c:v>8</c:v>
                </c:pt>
                <c:pt idx="18">
                  <c:v>14</c:v>
                </c:pt>
                <c:pt idx="19">
                  <c:v>10</c:v>
                </c:pt>
                <c:pt idx="20">
                  <c:v>3</c:v>
                </c:pt>
                <c:pt idx="21">
                  <c:v>5</c:v>
                </c:pt>
                <c:pt idx="22">
                  <c:v>4</c:v>
                </c:pt>
                <c:pt idx="23">
                  <c:v>10</c:v>
                </c:pt>
              </c:numCache>
            </c:numRef>
          </c:val>
          <c:extLst>
            <c:ext xmlns:c16="http://schemas.microsoft.com/office/drawing/2014/chart" uri="{C3380CC4-5D6E-409C-BE32-E72D297353CC}">
              <c16:uniqueId val="{00000000-7132-4B9C-B8C6-1A856FDB11EA}"/>
            </c:ext>
          </c:extLst>
        </c:ser>
        <c:ser>
          <c:idx val="2"/>
          <c:order val="2"/>
          <c:tx>
            <c:strRef>
              <c:f>Pivot!$D$8</c:f>
              <c:strCache>
                <c:ptCount val="1"/>
                <c:pt idx="0">
                  <c:v>QC_Online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Pivot!$D$9:$D$34</c:f>
              <c:numCache>
                <c:formatCode>General</c:formatCode>
                <c:ptCount val="25"/>
                <c:pt idx="0">
                  <c:v>9</c:v>
                </c:pt>
                <c:pt idx="1">
                  <c:v>6</c:v>
                </c:pt>
                <c:pt idx="2">
                  <c:v>4</c:v>
                </c:pt>
                <c:pt idx="3">
                  <c:v>11</c:v>
                </c:pt>
                <c:pt idx="4">
                  <c:v>9</c:v>
                </c:pt>
                <c:pt idx="5">
                  <c:v>9</c:v>
                </c:pt>
                <c:pt idx="6">
                  <c:v>5</c:v>
                </c:pt>
                <c:pt idx="7">
                  <c:v>15</c:v>
                </c:pt>
                <c:pt idx="8">
                  <c:v>8</c:v>
                </c:pt>
                <c:pt idx="9">
                  <c:v>6</c:v>
                </c:pt>
                <c:pt idx="10">
                  <c:v>8</c:v>
                </c:pt>
                <c:pt idx="11">
                  <c:v>19</c:v>
                </c:pt>
                <c:pt idx="12">
                  <c:v>9</c:v>
                </c:pt>
                <c:pt idx="13">
                  <c:v>10</c:v>
                </c:pt>
                <c:pt idx="14">
                  <c:v>12</c:v>
                </c:pt>
                <c:pt idx="15">
                  <c:v>11</c:v>
                </c:pt>
                <c:pt idx="16">
                  <c:v>13</c:v>
                </c:pt>
                <c:pt idx="17">
                  <c:v>9</c:v>
                </c:pt>
                <c:pt idx="18">
                  <c:v>13</c:v>
                </c:pt>
                <c:pt idx="19">
                  <c:v>5</c:v>
                </c:pt>
                <c:pt idx="20">
                  <c:v>20</c:v>
                </c:pt>
                <c:pt idx="21">
                  <c:v>9</c:v>
                </c:pt>
                <c:pt idx="22">
                  <c:v>9</c:v>
                </c:pt>
                <c:pt idx="23">
                  <c:v>11</c:v>
                </c:pt>
              </c:numCache>
            </c:numRef>
          </c:val>
          <c:extLst>
            <c:ext xmlns:c16="http://schemas.microsoft.com/office/drawing/2014/chart" uri="{C3380CC4-5D6E-409C-BE32-E72D297353CC}">
              <c16:uniqueId val="{00000001-7132-4B9C-B8C6-1A856FDB11EA}"/>
            </c:ext>
          </c:extLst>
        </c:ser>
        <c:ser>
          <c:idx val="3"/>
          <c:order val="3"/>
          <c:tx>
            <c:strRef>
              <c:f>Pivot!$E$8</c:f>
              <c:strCache>
                <c:ptCount val="1"/>
                <c:pt idx="0">
                  <c:v>Test-drive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Pivot!$E$9:$E$34</c:f>
              <c:numCache>
                <c:formatCode>General</c:formatCode>
                <c:ptCount val="25"/>
                <c:pt idx="0">
                  <c:v>10</c:v>
                </c:pt>
                <c:pt idx="2">
                  <c:v>3</c:v>
                </c:pt>
                <c:pt idx="3">
                  <c:v>6</c:v>
                </c:pt>
                <c:pt idx="4">
                  <c:v>5</c:v>
                </c:pt>
                <c:pt idx="5">
                  <c:v>2</c:v>
                </c:pt>
                <c:pt idx="6">
                  <c:v>7</c:v>
                </c:pt>
                <c:pt idx="7">
                  <c:v>4</c:v>
                </c:pt>
                <c:pt idx="8">
                  <c:v>6</c:v>
                </c:pt>
                <c:pt idx="9">
                  <c:v>5</c:v>
                </c:pt>
                <c:pt idx="10">
                  <c:v>8</c:v>
                </c:pt>
                <c:pt idx="11">
                  <c:v>4</c:v>
                </c:pt>
                <c:pt idx="12">
                  <c:v>10</c:v>
                </c:pt>
                <c:pt idx="13">
                  <c:v>3</c:v>
                </c:pt>
                <c:pt idx="14">
                  <c:v>3</c:v>
                </c:pt>
                <c:pt idx="15">
                  <c:v>1</c:v>
                </c:pt>
                <c:pt idx="16">
                  <c:v>6</c:v>
                </c:pt>
                <c:pt idx="17">
                  <c:v>2</c:v>
                </c:pt>
                <c:pt idx="18">
                  <c:v>13</c:v>
                </c:pt>
                <c:pt idx="19">
                  <c:v>4</c:v>
                </c:pt>
                <c:pt idx="20">
                  <c:v>2</c:v>
                </c:pt>
                <c:pt idx="21">
                  <c:v>5</c:v>
                </c:pt>
                <c:pt idx="22">
                  <c:v>2</c:v>
                </c:pt>
                <c:pt idx="23">
                  <c:v>7</c:v>
                </c:pt>
              </c:numCache>
            </c:numRef>
          </c:val>
          <c:extLst>
            <c:ext xmlns:c16="http://schemas.microsoft.com/office/drawing/2014/chart" uri="{C3380CC4-5D6E-409C-BE32-E72D297353CC}">
              <c16:uniqueId val="{00000002-7132-4B9C-B8C6-1A856FDB11EA}"/>
            </c:ext>
          </c:extLst>
        </c:ser>
        <c:ser>
          <c:idx val="4"/>
          <c:order val="4"/>
          <c:tx>
            <c:strRef>
              <c:f>Pivot!$F$8</c:f>
              <c:strCache>
                <c:ptCount val="1"/>
                <c:pt idx="0">
                  <c:v>Event.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Pivot!$F$9:$F$34</c:f>
              <c:numCache>
                <c:formatCode>General</c:formatCode>
                <c:ptCount val="25"/>
                <c:pt idx="0">
                  <c:v>11</c:v>
                </c:pt>
                <c:pt idx="1">
                  <c:v>1</c:v>
                </c:pt>
                <c:pt idx="2">
                  <c:v>5</c:v>
                </c:pt>
                <c:pt idx="3">
                  <c:v>10</c:v>
                </c:pt>
                <c:pt idx="4">
                  <c:v>11</c:v>
                </c:pt>
                <c:pt idx="5">
                  <c:v>6</c:v>
                </c:pt>
                <c:pt idx="6">
                  <c:v>9</c:v>
                </c:pt>
                <c:pt idx="7">
                  <c:v>7</c:v>
                </c:pt>
                <c:pt idx="8">
                  <c:v>10</c:v>
                </c:pt>
                <c:pt idx="9">
                  <c:v>3</c:v>
                </c:pt>
                <c:pt idx="10">
                  <c:v>16</c:v>
                </c:pt>
                <c:pt idx="11">
                  <c:v>3</c:v>
                </c:pt>
                <c:pt idx="12">
                  <c:v>13</c:v>
                </c:pt>
                <c:pt idx="13">
                  <c:v>5</c:v>
                </c:pt>
                <c:pt idx="14">
                  <c:v>10</c:v>
                </c:pt>
                <c:pt idx="15">
                  <c:v>3</c:v>
                </c:pt>
                <c:pt idx="16">
                  <c:v>8</c:v>
                </c:pt>
                <c:pt idx="17">
                  <c:v>9</c:v>
                </c:pt>
                <c:pt idx="18">
                  <c:v>7</c:v>
                </c:pt>
                <c:pt idx="19">
                  <c:v>9</c:v>
                </c:pt>
                <c:pt idx="20">
                  <c:v>7</c:v>
                </c:pt>
                <c:pt idx="21">
                  <c:v>5</c:v>
                </c:pt>
                <c:pt idx="22">
                  <c:v>3</c:v>
                </c:pt>
                <c:pt idx="23">
                  <c:v>11</c:v>
                </c:pt>
              </c:numCache>
            </c:numRef>
          </c:val>
          <c:extLst>
            <c:ext xmlns:c16="http://schemas.microsoft.com/office/drawing/2014/chart" uri="{C3380CC4-5D6E-409C-BE32-E72D297353CC}">
              <c16:uniqueId val="{00000003-7132-4B9C-B8C6-1A856FDB11EA}"/>
            </c:ext>
          </c:extLst>
        </c:ser>
        <c:ser>
          <c:idx val="5"/>
          <c:order val="5"/>
          <c:tx>
            <c:strRef>
              <c:f>Pivot!$G$8</c:f>
              <c:strCache>
                <c:ptCount val="1"/>
                <c:pt idx="0">
                  <c:v>QC_Thương hiệu</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Pivot!$G$9:$G$34</c:f>
              <c:numCache>
                <c:formatCode>General</c:formatCode>
                <c:ptCount val="25"/>
                <c:pt idx="0">
                  <c:v>11</c:v>
                </c:pt>
                <c:pt idx="2">
                  <c:v>12</c:v>
                </c:pt>
                <c:pt idx="3">
                  <c:v>7</c:v>
                </c:pt>
                <c:pt idx="4">
                  <c:v>10</c:v>
                </c:pt>
                <c:pt idx="5">
                  <c:v>6</c:v>
                </c:pt>
                <c:pt idx="6">
                  <c:v>2</c:v>
                </c:pt>
                <c:pt idx="7">
                  <c:v>10</c:v>
                </c:pt>
                <c:pt idx="8">
                  <c:v>8</c:v>
                </c:pt>
                <c:pt idx="10">
                  <c:v>6</c:v>
                </c:pt>
                <c:pt idx="11">
                  <c:v>1</c:v>
                </c:pt>
                <c:pt idx="12">
                  <c:v>7</c:v>
                </c:pt>
                <c:pt idx="14">
                  <c:v>6</c:v>
                </c:pt>
                <c:pt idx="15">
                  <c:v>4</c:v>
                </c:pt>
                <c:pt idx="16">
                  <c:v>10</c:v>
                </c:pt>
                <c:pt idx="17">
                  <c:v>9</c:v>
                </c:pt>
                <c:pt idx="18">
                  <c:v>12</c:v>
                </c:pt>
                <c:pt idx="19">
                  <c:v>13</c:v>
                </c:pt>
                <c:pt idx="20">
                  <c:v>9</c:v>
                </c:pt>
                <c:pt idx="21">
                  <c:v>6</c:v>
                </c:pt>
                <c:pt idx="23">
                  <c:v>5</c:v>
                </c:pt>
              </c:numCache>
            </c:numRef>
          </c:val>
          <c:extLst>
            <c:ext xmlns:c16="http://schemas.microsoft.com/office/drawing/2014/chart" uri="{C3380CC4-5D6E-409C-BE32-E72D297353CC}">
              <c16:uniqueId val="{00000004-7132-4B9C-B8C6-1A856FDB11EA}"/>
            </c:ext>
          </c:extLst>
        </c:ser>
        <c:ser>
          <c:idx val="6"/>
          <c:order val="6"/>
          <c:tx>
            <c:strRef>
              <c:f>Pivot!$H$8</c:f>
              <c:strCache>
                <c:ptCount val="1"/>
                <c:pt idx="0">
                  <c:v>TTTH_CSR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Pivot!$H$9:$H$34</c:f>
              <c:numCache>
                <c:formatCode>General</c:formatCode>
                <c:ptCount val="25"/>
                <c:pt idx="0">
                  <c:v>4</c:v>
                </c:pt>
                <c:pt idx="2">
                  <c:v>7</c:v>
                </c:pt>
                <c:pt idx="3">
                  <c:v>10</c:v>
                </c:pt>
                <c:pt idx="4">
                  <c:v>1</c:v>
                </c:pt>
                <c:pt idx="5">
                  <c:v>4</c:v>
                </c:pt>
                <c:pt idx="6">
                  <c:v>4</c:v>
                </c:pt>
                <c:pt idx="7">
                  <c:v>5</c:v>
                </c:pt>
                <c:pt idx="8">
                  <c:v>2</c:v>
                </c:pt>
                <c:pt idx="10">
                  <c:v>2</c:v>
                </c:pt>
                <c:pt idx="12">
                  <c:v>1</c:v>
                </c:pt>
                <c:pt idx="14">
                  <c:v>11</c:v>
                </c:pt>
                <c:pt idx="15">
                  <c:v>1</c:v>
                </c:pt>
                <c:pt idx="16">
                  <c:v>5</c:v>
                </c:pt>
                <c:pt idx="17">
                  <c:v>3</c:v>
                </c:pt>
                <c:pt idx="18">
                  <c:v>6</c:v>
                </c:pt>
                <c:pt idx="19">
                  <c:v>1</c:v>
                </c:pt>
                <c:pt idx="20">
                  <c:v>5</c:v>
                </c:pt>
                <c:pt idx="21">
                  <c:v>2</c:v>
                </c:pt>
                <c:pt idx="22">
                  <c:v>1</c:v>
                </c:pt>
              </c:numCache>
            </c:numRef>
          </c:val>
          <c:extLst>
            <c:ext xmlns:c16="http://schemas.microsoft.com/office/drawing/2014/chart" uri="{C3380CC4-5D6E-409C-BE32-E72D297353CC}">
              <c16:uniqueId val="{00000005-7132-4B9C-B8C6-1A856FDB11EA}"/>
            </c:ext>
          </c:extLst>
        </c:ser>
        <c:ser>
          <c:idx val="7"/>
          <c:order val="7"/>
          <c:tx>
            <c:strRef>
              <c:f>Pivot!$I$8</c:f>
              <c:strCache>
                <c:ptCount val="1"/>
                <c:pt idx="0">
                  <c:v>QC_Website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Pivot!$I$9:$I$34</c:f>
              <c:numCache>
                <c:formatCode>General</c:formatCode>
                <c:ptCount val="25"/>
                <c:pt idx="0">
                  <c:v>5</c:v>
                </c:pt>
                <c:pt idx="1">
                  <c:v>2</c:v>
                </c:pt>
                <c:pt idx="2">
                  <c:v>9</c:v>
                </c:pt>
                <c:pt idx="3">
                  <c:v>7</c:v>
                </c:pt>
                <c:pt idx="4">
                  <c:v>8</c:v>
                </c:pt>
                <c:pt idx="5">
                  <c:v>5</c:v>
                </c:pt>
                <c:pt idx="6">
                  <c:v>8</c:v>
                </c:pt>
                <c:pt idx="7">
                  <c:v>8</c:v>
                </c:pt>
                <c:pt idx="8">
                  <c:v>10</c:v>
                </c:pt>
                <c:pt idx="9">
                  <c:v>7</c:v>
                </c:pt>
                <c:pt idx="10">
                  <c:v>7</c:v>
                </c:pt>
                <c:pt idx="11">
                  <c:v>2</c:v>
                </c:pt>
                <c:pt idx="12">
                  <c:v>7</c:v>
                </c:pt>
                <c:pt idx="13">
                  <c:v>3</c:v>
                </c:pt>
                <c:pt idx="14">
                  <c:v>6</c:v>
                </c:pt>
                <c:pt idx="15">
                  <c:v>5</c:v>
                </c:pt>
                <c:pt idx="16">
                  <c:v>9</c:v>
                </c:pt>
                <c:pt idx="17">
                  <c:v>7</c:v>
                </c:pt>
                <c:pt idx="18">
                  <c:v>6</c:v>
                </c:pt>
                <c:pt idx="19">
                  <c:v>7</c:v>
                </c:pt>
                <c:pt idx="20">
                  <c:v>6</c:v>
                </c:pt>
                <c:pt idx="21">
                  <c:v>3</c:v>
                </c:pt>
                <c:pt idx="22">
                  <c:v>4</c:v>
                </c:pt>
                <c:pt idx="23">
                  <c:v>7</c:v>
                </c:pt>
              </c:numCache>
            </c:numRef>
          </c:val>
          <c:extLst>
            <c:ext xmlns:c16="http://schemas.microsoft.com/office/drawing/2014/chart" uri="{C3380CC4-5D6E-409C-BE32-E72D297353CC}">
              <c16:uniqueId val="{00000006-7132-4B9C-B8C6-1A856FDB11EA}"/>
            </c:ext>
          </c:extLst>
        </c:ser>
        <c:ser>
          <c:idx val="0"/>
          <c:order val="0"/>
          <c:tx>
            <c:strRef>
              <c:f>Pivot!$B$8</c:f>
              <c:strCache>
                <c:ptCount val="1"/>
                <c:pt idx="0">
                  <c:v>KM_BH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Pivot!$A$9:$A$34</c:f>
              <c:strCache>
                <c:ptCount val="25"/>
                <c:pt idx="0">
                  <c:v>An Giang</c:v>
                </c:pt>
                <c:pt idx="1">
                  <c:v>An Phú</c:v>
                </c:pt>
                <c:pt idx="2">
                  <c:v>Bà Rịa Vũng Tàu</c:v>
                </c:pt>
                <c:pt idx="3">
                  <c:v>Bạc Liêu</c:v>
                </c:pt>
                <c:pt idx="4">
                  <c:v>Bến Tre</c:v>
                </c:pt>
                <c:pt idx="5">
                  <c:v>Bình Dương</c:v>
                </c:pt>
                <c:pt idx="6">
                  <c:v>Bình Phước</c:v>
                </c:pt>
                <c:pt idx="7">
                  <c:v>Bình Thuận</c:v>
                </c:pt>
                <c:pt idx="8">
                  <c:v>Cà Mau</c:v>
                </c:pt>
                <c:pt idx="9">
                  <c:v>Đông Sài Gòn</c:v>
                </c:pt>
                <c:pt idx="10">
                  <c:v>Đồng Tháp</c:v>
                </c:pt>
                <c:pt idx="11">
                  <c:v>Gia Định</c:v>
                </c:pt>
                <c:pt idx="12">
                  <c:v>Kiên Giang</c:v>
                </c:pt>
                <c:pt idx="13">
                  <c:v>Kinh Dương Vương</c:v>
                </c:pt>
                <c:pt idx="14">
                  <c:v>Long An</c:v>
                </c:pt>
                <c:pt idx="15">
                  <c:v>Miền Nam</c:v>
                </c:pt>
                <c:pt idx="16">
                  <c:v>Ngọc An</c:v>
                </c:pt>
                <c:pt idx="17">
                  <c:v>Ngọc Phát</c:v>
                </c:pt>
                <c:pt idx="18">
                  <c:v>Tây Đô</c:v>
                </c:pt>
                <c:pt idx="19">
                  <c:v>Tây Ninh</c:v>
                </c:pt>
                <c:pt idx="20">
                  <c:v>Tiền Giang</c:v>
                </c:pt>
                <c:pt idx="21">
                  <c:v>Trường Chinh</c:v>
                </c:pt>
                <c:pt idx="22">
                  <c:v>Việt Hàn</c:v>
                </c:pt>
                <c:pt idx="23">
                  <c:v>Vĩnh Long</c:v>
                </c:pt>
                <c:pt idx="24">
                  <c:v>(blank)</c:v>
                </c:pt>
              </c:strCache>
            </c:strRef>
          </c:cat>
          <c:val>
            <c:numRef>
              <c:f>Pivot!$B$9:$B$34</c:f>
              <c:numCache>
                <c:formatCode>General</c:formatCode>
                <c:ptCount val="25"/>
                <c:pt idx="0">
                  <c:v>14</c:v>
                </c:pt>
                <c:pt idx="1">
                  <c:v>5</c:v>
                </c:pt>
                <c:pt idx="2">
                  <c:v>9</c:v>
                </c:pt>
                <c:pt idx="3">
                  <c:v>10</c:v>
                </c:pt>
                <c:pt idx="4">
                  <c:v>16</c:v>
                </c:pt>
                <c:pt idx="5">
                  <c:v>11</c:v>
                </c:pt>
                <c:pt idx="6">
                  <c:v>8</c:v>
                </c:pt>
                <c:pt idx="7">
                  <c:v>12</c:v>
                </c:pt>
                <c:pt idx="8">
                  <c:v>11</c:v>
                </c:pt>
                <c:pt idx="9">
                  <c:v>14</c:v>
                </c:pt>
                <c:pt idx="10">
                  <c:v>11</c:v>
                </c:pt>
                <c:pt idx="11">
                  <c:v>15</c:v>
                </c:pt>
                <c:pt idx="12">
                  <c:v>13</c:v>
                </c:pt>
                <c:pt idx="13">
                  <c:v>16</c:v>
                </c:pt>
                <c:pt idx="14">
                  <c:v>12</c:v>
                </c:pt>
                <c:pt idx="15">
                  <c:v>16</c:v>
                </c:pt>
                <c:pt idx="16">
                  <c:v>20</c:v>
                </c:pt>
                <c:pt idx="17">
                  <c:v>17</c:v>
                </c:pt>
                <c:pt idx="18">
                  <c:v>13</c:v>
                </c:pt>
                <c:pt idx="19">
                  <c:v>13</c:v>
                </c:pt>
                <c:pt idx="20">
                  <c:v>8</c:v>
                </c:pt>
                <c:pt idx="21">
                  <c:v>6</c:v>
                </c:pt>
                <c:pt idx="22">
                  <c:v>17</c:v>
                </c:pt>
                <c:pt idx="23">
                  <c:v>15</c:v>
                </c:pt>
              </c:numCache>
            </c:numRef>
          </c:val>
          <c:extLst>
            <c:ext xmlns:c16="http://schemas.microsoft.com/office/drawing/2014/chart" uri="{C3380CC4-5D6E-409C-BE32-E72D297353CC}">
              <c16:uniqueId val="{00000008-7132-4B9C-B8C6-1A856FDB11EA}"/>
            </c:ext>
          </c:extLst>
        </c:ser>
        <c:dLbls>
          <c:dLblPos val="ctr"/>
          <c:showLegendKey val="0"/>
          <c:showVal val="1"/>
          <c:showCatName val="0"/>
          <c:showSerName val="0"/>
          <c:showPercent val="0"/>
          <c:showBubbleSize val="0"/>
        </c:dLbls>
        <c:gapWidth val="150"/>
        <c:overlap val="100"/>
        <c:axId val="696787295"/>
        <c:axId val="1816011183"/>
      </c:barChart>
      <c:dateAx>
        <c:axId val="6967872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1183"/>
        <c:crosses val="autoZero"/>
        <c:auto val="0"/>
        <c:lblOffset val="100"/>
        <c:baseTimeUnit val="days"/>
      </c:dateAx>
      <c:valAx>
        <c:axId val="1816011183"/>
        <c:scaling>
          <c:orientation val="minMax"/>
        </c:scaling>
        <c:delete val="1"/>
        <c:axPos val="r"/>
        <c:numFmt formatCode="General" sourceLinked="1"/>
        <c:majorTickMark val="out"/>
        <c:minorTickMark val="none"/>
        <c:tickLblPos val="nextTo"/>
        <c:crossAx val="696787295"/>
        <c:crosses val="max"/>
        <c:crossBetween val="between"/>
      </c:valAx>
      <c:spPr>
        <a:noFill/>
        <a:ln>
          <a:noFill/>
        </a:ln>
        <a:effectLst/>
      </c:spPr>
    </c:plotArea>
    <c:legend>
      <c:legendPos val="b"/>
      <c:layout>
        <c:manualLayout>
          <c:xMode val="edge"/>
          <c:yMode val="edge"/>
          <c:x val="5.0000017822988498E-2"/>
          <c:y val="0.92008795023899059"/>
          <c:w val="0.89999995247202502"/>
          <c:h val="6.218842499296665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45F0DE47-B4F8-4469-88D6-E0A76520AED5}">
          <cx:dataLabels pos="inEnd">
            <cx:txPr>
              <a:bodyPr spcFirstLastPara="1" vertOverflow="ellipsis" horzOverflow="overflow" wrap="square" lIns="38100" tIns="19050" rIns="38100" bIns="19050" anchor="ctr" anchorCtr="1">
                <a:spAutoFit/>
              </a:bodyPr>
              <a:lstStyle/>
              <a:p>
                <a:pPr algn="ctr" rtl="0">
                  <a:defRPr sz="1100"/>
                </a:pPr>
                <a:endParaRPr lang="en-US" altLang="ja-JP"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plotArea>
      <cx:plotAreaRegion>
        <cx:series layoutId="treemap" uniqueId="{45F0DE47-B4F8-4469-88D6-E0A76520AED5}">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8.png"/><Relationship Id="rId18" Type="http://schemas.openxmlformats.org/officeDocument/2006/relationships/image" Target="../media/image13.svg"/><Relationship Id="rId26" Type="http://schemas.openxmlformats.org/officeDocument/2006/relationships/image" Target="../media/image21.svg"/><Relationship Id="rId21" Type="http://schemas.openxmlformats.org/officeDocument/2006/relationships/image" Target="../media/image16.png"/><Relationship Id="rId34" Type="http://schemas.openxmlformats.org/officeDocument/2006/relationships/chart" Target="../charts/chart12.xml"/><Relationship Id="rId7" Type="http://schemas.openxmlformats.org/officeDocument/2006/relationships/image" Target="../media/image3.png"/><Relationship Id="rId12" Type="http://schemas.openxmlformats.org/officeDocument/2006/relationships/image" Target="../media/image7.png"/><Relationship Id="rId17" Type="http://schemas.openxmlformats.org/officeDocument/2006/relationships/image" Target="../media/image12.png"/><Relationship Id="rId25" Type="http://schemas.openxmlformats.org/officeDocument/2006/relationships/image" Target="../media/image20.png"/><Relationship Id="rId33" Type="http://schemas.microsoft.com/office/2014/relationships/chartEx" Target="../charts/chartEx1.xml"/><Relationship Id="rId2" Type="http://schemas.openxmlformats.org/officeDocument/2006/relationships/image" Target="../media/image2.svg"/><Relationship Id="rId16" Type="http://schemas.openxmlformats.org/officeDocument/2006/relationships/image" Target="../media/image11.svg"/><Relationship Id="rId20" Type="http://schemas.openxmlformats.org/officeDocument/2006/relationships/image" Target="../media/image15.sv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6.svg"/><Relationship Id="rId24" Type="http://schemas.openxmlformats.org/officeDocument/2006/relationships/image" Target="../media/image19.svg"/><Relationship Id="rId32" Type="http://schemas.openxmlformats.org/officeDocument/2006/relationships/chart" Target="../charts/chart11.xml"/><Relationship Id="rId37" Type="http://schemas.openxmlformats.org/officeDocument/2006/relationships/chart" Target="../charts/chart13.xml"/><Relationship Id="rId5" Type="http://schemas.openxmlformats.org/officeDocument/2006/relationships/chart" Target="../charts/chart3.xml"/><Relationship Id="rId15" Type="http://schemas.openxmlformats.org/officeDocument/2006/relationships/image" Target="../media/image10.png"/><Relationship Id="rId23" Type="http://schemas.openxmlformats.org/officeDocument/2006/relationships/image" Target="../media/image18.png"/><Relationship Id="rId28" Type="http://schemas.openxmlformats.org/officeDocument/2006/relationships/chart" Target="../charts/chart7.xml"/><Relationship Id="rId36" Type="http://schemas.openxmlformats.org/officeDocument/2006/relationships/image" Target="../media/image23.svg"/><Relationship Id="rId10" Type="http://schemas.openxmlformats.org/officeDocument/2006/relationships/image" Target="../media/image5.png"/><Relationship Id="rId19" Type="http://schemas.openxmlformats.org/officeDocument/2006/relationships/image" Target="../media/image14.png"/><Relationship Id="rId31" Type="http://schemas.openxmlformats.org/officeDocument/2006/relationships/chart" Target="../charts/chart10.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image" Target="../media/image9.svg"/><Relationship Id="rId22" Type="http://schemas.openxmlformats.org/officeDocument/2006/relationships/image" Target="../media/image17.svg"/><Relationship Id="rId27" Type="http://schemas.openxmlformats.org/officeDocument/2006/relationships/chart" Target="../charts/chart6.xml"/><Relationship Id="rId30" Type="http://schemas.openxmlformats.org/officeDocument/2006/relationships/chart" Target="../charts/chart9.xml"/><Relationship Id="rId35" Type="http://schemas.openxmlformats.org/officeDocument/2006/relationships/image" Target="../media/image22.png"/><Relationship Id="rId8" Type="http://schemas.openxmlformats.org/officeDocument/2006/relationships/image" Target="../media/image4.svg"/><Relationship Id="rId3"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17" Type="http://schemas.openxmlformats.org/officeDocument/2006/relationships/chart" Target="../charts/chart29.xml"/><Relationship Id="rId2" Type="http://schemas.openxmlformats.org/officeDocument/2006/relationships/chart" Target="../charts/chart15.xml"/><Relationship Id="rId16" Type="http://schemas.openxmlformats.org/officeDocument/2006/relationships/chart" Target="../charts/chart28.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7.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90340</xdr:colOff>
      <xdr:row>35</xdr:row>
      <xdr:rowOff>36625</xdr:rowOff>
    </xdr:from>
    <xdr:to>
      <xdr:col>2</xdr:col>
      <xdr:colOff>585197</xdr:colOff>
      <xdr:row>38</xdr:row>
      <xdr:rowOff>280858</xdr:rowOff>
    </xdr:to>
    <xdr:grpSp>
      <xdr:nvGrpSpPr>
        <xdr:cNvPr id="51" name="Group 50">
          <a:extLst>
            <a:ext uri="{FF2B5EF4-FFF2-40B4-BE49-F238E27FC236}">
              <a16:creationId xmlns:a16="http://schemas.microsoft.com/office/drawing/2014/main" id="{D61684FC-2AB9-2346-0D2E-4827F6F1CEAF}"/>
            </a:ext>
          </a:extLst>
        </xdr:cNvPr>
        <xdr:cNvGrpSpPr/>
      </xdr:nvGrpSpPr>
      <xdr:grpSpPr>
        <a:xfrm>
          <a:off x="90340" y="7840069"/>
          <a:ext cx="1453284" cy="822789"/>
          <a:chOff x="2533334" y="5541416"/>
          <a:chExt cx="1509500" cy="967334"/>
        </a:xfrm>
      </xdr:grpSpPr>
      <xdr:sp macro="" textlink="">
        <xdr:nvSpPr>
          <xdr:cNvPr id="11" name="Rectangle 10">
            <a:extLst>
              <a:ext uri="{FF2B5EF4-FFF2-40B4-BE49-F238E27FC236}">
                <a16:creationId xmlns:a16="http://schemas.microsoft.com/office/drawing/2014/main" id="{05EF303D-807A-8518-1C26-DDCCDF7CC5EB}"/>
              </a:ext>
            </a:extLst>
          </xdr:cNvPr>
          <xdr:cNvSpPr/>
        </xdr:nvSpPr>
        <xdr:spPr>
          <a:xfrm>
            <a:off x="2603502" y="5820833"/>
            <a:ext cx="1439332" cy="687917"/>
          </a:xfrm>
          <a:prstGeom prst="rect">
            <a:avLst/>
          </a:prstGeom>
          <a:solidFill>
            <a:srgbClr val="6D969B"/>
          </a:solidFill>
          <a:effectLst>
            <a:outerShdw blurRad="50800" dist="38100" dir="10800000" algn="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r"/>
            <a:r>
              <a:rPr kumimoji="1" lang="en-US" altLang="ja-JP" sz="1400">
                <a:solidFill>
                  <a:schemeClr val="bg1"/>
                </a:solidFill>
                <a:latin typeface="Hyundai Sans Head" panose="020B0504040000000000" pitchFamily="34" charset="0"/>
                <a:ea typeface="Hyundai Sans Head" panose="020B0504040000000000" pitchFamily="34" charset="0"/>
              </a:rPr>
              <a:t>Data </a:t>
            </a:r>
          </a:p>
          <a:p>
            <a:pPr algn="r"/>
            <a:r>
              <a:rPr kumimoji="1" lang="en-US" altLang="ja-JP" sz="1400">
                <a:solidFill>
                  <a:schemeClr val="bg1"/>
                </a:solidFill>
                <a:latin typeface="Hyundai Sans Head" panose="020B0504040000000000" pitchFamily="34" charset="0"/>
                <a:ea typeface="Hyundai Sans Head" panose="020B0504040000000000" pitchFamily="34" charset="0"/>
              </a:rPr>
              <a:t>KH Tiềm</a:t>
            </a:r>
            <a:r>
              <a:rPr kumimoji="1" lang="en-US" altLang="ja-JP" sz="1400" baseline="0">
                <a:solidFill>
                  <a:schemeClr val="bg1"/>
                </a:solidFill>
                <a:latin typeface="Hyundai Sans Head" panose="020B0504040000000000" pitchFamily="34" charset="0"/>
                <a:ea typeface="Hyundai Sans Head" panose="020B0504040000000000" pitchFamily="34" charset="0"/>
              </a:rPr>
              <a:t> nă</a:t>
            </a:r>
            <a:r>
              <a:rPr kumimoji="1" lang="en-US" altLang="ja-JP" sz="1400">
                <a:solidFill>
                  <a:schemeClr val="bg1"/>
                </a:solidFill>
                <a:latin typeface="Hyundai Sans Head" panose="020B0504040000000000" pitchFamily="34" charset="0"/>
                <a:ea typeface="Hyundai Sans Head" panose="020B0504040000000000" pitchFamily="34" charset="0"/>
              </a:rPr>
              <a:t>ng</a:t>
            </a:r>
            <a:endParaRPr kumimoji="1" lang="ja-JP" altLang="en-US" sz="1400">
              <a:solidFill>
                <a:schemeClr val="bg1"/>
              </a:solidFill>
              <a:latin typeface="Hyundai Sans Head" panose="020B0504040000000000" pitchFamily="34" charset="0"/>
            </a:endParaRPr>
          </a:p>
        </xdr:txBody>
      </xdr:sp>
      <xdr:pic>
        <xdr:nvPicPr>
          <xdr:cNvPr id="41" name="Graphic 40" descr="Employee badge">
            <a:extLst>
              <a:ext uri="{FF2B5EF4-FFF2-40B4-BE49-F238E27FC236}">
                <a16:creationId xmlns:a16="http://schemas.microsoft.com/office/drawing/2014/main" id="{0D620AF5-EB13-E1EC-2E71-9B9F9C890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33334" y="5541416"/>
            <a:ext cx="612405" cy="612406"/>
          </a:xfrm>
          <a:prstGeom prst="rect">
            <a:avLst/>
          </a:prstGeom>
        </xdr:spPr>
      </xdr:pic>
    </xdr:grpSp>
    <xdr:clientData/>
  </xdr:twoCellAnchor>
  <xdr:twoCellAnchor editAs="oneCell">
    <xdr:from>
      <xdr:col>3</xdr:col>
      <xdr:colOff>511688</xdr:colOff>
      <xdr:row>5</xdr:row>
      <xdr:rowOff>100802</xdr:rowOff>
    </xdr:from>
    <xdr:to>
      <xdr:col>5</xdr:col>
      <xdr:colOff>386583</xdr:colOff>
      <xdr:row>12</xdr:row>
      <xdr:rowOff>182307</xdr:rowOff>
    </xdr:to>
    <mc:AlternateContent xmlns:mc="http://schemas.openxmlformats.org/markup-compatibility/2006" xmlns:a14="http://schemas.microsoft.com/office/drawing/2010/main">
      <mc:Choice Requires="a14">
        <xdr:graphicFrame macro="">
          <xdr:nvGraphicFramePr>
            <xdr:cNvPr id="4" name="Tháng">
              <a:extLst>
                <a:ext uri="{FF2B5EF4-FFF2-40B4-BE49-F238E27FC236}">
                  <a16:creationId xmlns:a16="http://schemas.microsoft.com/office/drawing/2014/main" id="{29273B3C-B65D-5055-5684-FFD723673156}"/>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2229923" y="1071978"/>
              <a:ext cx="2160895" cy="1550721"/>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523899</xdr:colOff>
      <xdr:row>13</xdr:row>
      <xdr:rowOff>27043</xdr:rowOff>
    </xdr:from>
    <xdr:to>
      <xdr:col>5</xdr:col>
      <xdr:colOff>363904</xdr:colOff>
      <xdr:row>18</xdr:row>
      <xdr:rowOff>158668</xdr:rowOff>
    </xdr:to>
    <mc:AlternateContent xmlns:mc="http://schemas.openxmlformats.org/markup-compatibility/2006" xmlns:a14="http://schemas.microsoft.com/office/drawing/2010/main">
      <mc:Choice Requires="a14">
        <xdr:graphicFrame macro="">
          <xdr:nvGraphicFramePr>
            <xdr:cNvPr id="6" name="Khu vực">
              <a:extLst>
                <a:ext uri="{FF2B5EF4-FFF2-40B4-BE49-F238E27FC236}">
                  <a16:creationId xmlns:a16="http://schemas.microsoft.com/office/drawing/2014/main" id="{47852539-E5DE-55E7-1B0F-36F1B28935E8}"/>
                </a:ext>
              </a:extLst>
            </xdr:cNvPr>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mlns="">
        <xdr:sp macro="" textlink="">
          <xdr:nvSpPr>
            <xdr:cNvPr id="0" name=""/>
            <xdr:cNvSpPr>
              <a:spLocks noTextEdit="1"/>
            </xdr:cNvSpPr>
          </xdr:nvSpPr>
          <xdr:spPr>
            <a:xfrm>
              <a:off x="2242134" y="2691553"/>
              <a:ext cx="2126005" cy="1239762"/>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144386</xdr:colOff>
      <xdr:row>5</xdr:row>
      <xdr:rowOff>100048</xdr:rowOff>
    </xdr:from>
    <xdr:to>
      <xdr:col>3</xdr:col>
      <xdr:colOff>460687</xdr:colOff>
      <xdr:row>35</xdr:row>
      <xdr:rowOff>12451</xdr:rowOff>
    </xdr:to>
    <mc:AlternateContent xmlns:mc="http://schemas.openxmlformats.org/markup-compatibility/2006" xmlns:a14="http://schemas.microsoft.com/office/drawing/2010/main">
      <mc:Choice Requires="a14">
        <xdr:graphicFrame macro="">
          <xdr:nvGraphicFramePr>
            <xdr:cNvPr id="7" name="Đại lý">
              <a:extLst>
                <a:ext uri="{FF2B5EF4-FFF2-40B4-BE49-F238E27FC236}">
                  <a16:creationId xmlns:a16="http://schemas.microsoft.com/office/drawing/2014/main" id="{62CB3677-F1A4-4A6F-0F0B-418230EEB710}"/>
                </a:ext>
              </a:extLst>
            </xdr:cNvPr>
            <xdr:cNvGraphicFramePr/>
          </xdr:nvGraphicFramePr>
          <xdr:xfrm>
            <a:off x="0" y="0"/>
            <a:ext cx="0" cy="0"/>
          </xdr:xfrm>
          <a:graphic>
            <a:graphicData uri="http://schemas.microsoft.com/office/drawing/2010/slicer">
              <sle:slicer xmlns:sle="http://schemas.microsoft.com/office/drawing/2010/slicer" name="Đại lý"/>
            </a:graphicData>
          </a:graphic>
        </xdr:graphicFrame>
      </mc:Choice>
      <mc:Fallback xmlns="">
        <xdr:sp macro="" textlink="">
          <xdr:nvSpPr>
            <xdr:cNvPr id="0" name=""/>
            <xdr:cNvSpPr>
              <a:spLocks noTextEdit="1"/>
            </xdr:cNvSpPr>
          </xdr:nvSpPr>
          <xdr:spPr>
            <a:xfrm>
              <a:off x="144386" y="1071224"/>
              <a:ext cx="2034536" cy="7407894"/>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116417</xdr:colOff>
      <xdr:row>39</xdr:row>
      <xdr:rowOff>73270</xdr:rowOff>
    </xdr:from>
    <xdr:to>
      <xdr:col>12</xdr:col>
      <xdr:colOff>199215</xdr:colOff>
      <xdr:row>54</xdr:row>
      <xdr:rowOff>122116</xdr:rowOff>
    </xdr:to>
    <xdr:graphicFrame macro="">
      <xdr:nvGraphicFramePr>
        <xdr:cNvPr id="9" name="Chart 8">
          <a:extLst>
            <a:ext uri="{FF2B5EF4-FFF2-40B4-BE49-F238E27FC236}">
              <a16:creationId xmlns:a16="http://schemas.microsoft.com/office/drawing/2014/main" id="{4FA0D301-532F-4100-850E-C4AE5773C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368826</xdr:colOff>
      <xdr:row>39</xdr:row>
      <xdr:rowOff>62255</xdr:rowOff>
    </xdr:from>
    <xdr:to>
      <xdr:col>24</xdr:col>
      <xdr:colOff>298824</xdr:colOff>
      <xdr:row>54</xdr:row>
      <xdr:rowOff>134088</xdr:rowOff>
    </xdr:to>
    <xdr:graphicFrame macro="">
      <xdr:nvGraphicFramePr>
        <xdr:cNvPr id="10" name="Chart 9">
          <a:extLst>
            <a:ext uri="{FF2B5EF4-FFF2-40B4-BE49-F238E27FC236}">
              <a16:creationId xmlns:a16="http://schemas.microsoft.com/office/drawing/2014/main" id="{ADFA56FF-1532-490F-BB6C-33B9A4D5A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445311</xdr:colOff>
      <xdr:row>39</xdr:row>
      <xdr:rowOff>61510</xdr:rowOff>
    </xdr:from>
    <xdr:to>
      <xdr:col>36</xdr:col>
      <xdr:colOff>479330</xdr:colOff>
      <xdr:row>54</xdr:row>
      <xdr:rowOff>125202</xdr:rowOff>
    </xdr:to>
    <xdr:graphicFrame macro="">
      <xdr:nvGraphicFramePr>
        <xdr:cNvPr id="22" name="Chart 21">
          <a:extLst>
            <a:ext uri="{FF2B5EF4-FFF2-40B4-BE49-F238E27FC236}">
              <a16:creationId xmlns:a16="http://schemas.microsoft.com/office/drawing/2014/main" id="{808AB552-3E08-4FAB-AC9B-E19E181A1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455947</xdr:colOff>
      <xdr:row>59</xdr:row>
      <xdr:rowOff>92006</xdr:rowOff>
    </xdr:from>
    <xdr:to>
      <xdr:col>36</xdr:col>
      <xdr:colOff>464038</xdr:colOff>
      <xdr:row>73</xdr:row>
      <xdr:rowOff>46649</xdr:rowOff>
    </xdr:to>
    <xdr:graphicFrame macro="">
      <xdr:nvGraphicFramePr>
        <xdr:cNvPr id="26" name="Chart 25">
          <a:extLst>
            <a:ext uri="{FF2B5EF4-FFF2-40B4-BE49-F238E27FC236}">
              <a16:creationId xmlns:a16="http://schemas.microsoft.com/office/drawing/2014/main" id="{A63A6F16-60D4-46B4-892F-C92248788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195386</xdr:colOff>
      <xdr:row>55</xdr:row>
      <xdr:rowOff>37114</xdr:rowOff>
    </xdr:from>
    <xdr:to>
      <xdr:col>26</xdr:col>
      <xdr:colOff>595765</xdr:colOff>
      <xdr:row>58</xdr:row>
      <xdr:rowOff>231387</xdr:rowOff>
    </xdr:to>
    <xdr:grpSp>
      <xdr:nvGrpSpPr>
        <xdr:cNvPr id="30" name="Group 29">
          <a:extLst>
            <a:ext uri="{FF2B5EF4-FFF2-40B4-BE49-F238E27FC236}">
              <a16:creationId xmlns:a16="http://schemas.microsoft.com/office/drawing/2014/main" id="{42544A5D-CB13-5941-DEE7-57BAAC18AF2E}"/>
            </a:ext>
          </a:extLst>
        </xdr:cNvPr>
        <xdr:cNvGrpSpPr/>
      </xdr:nvGrpSpPr>
      <xdr:grpSpPr>
        <a:xfrm>
          <a:off x="14800386" y="11805781"/>
          <a:ext cx="1534630" cy="777062"/>
          <a:chOff x="0" y="13323267"/>
          <a:chExt cx="1670379" cy="829273"/>
        </a:xfrm>
      </xdr:grpSpPr>
      <xdr:sp macro="" textlink="">
        <xdr:nvSpPr>
          <xdr:cNvPr id="28" name="Rectangle 27">
            <a:extLst>
              <a:ext uri="{FF2B5EF4-FFF2-40B4-BE49-F238E27FC236}">
                <a16:creationId xmlns:a16="http://schemas.microsoft.com/office/drawing/2014/main" id="{01DE57EA-5005-ADEB-FDC1-930C57C95459}"/>
              </a:ext>
            </a:extLst>
          </xdr:cNvPr>
          <xdr:cNvSpPr/>
        </xdr:nvSpPr>
        <xdr:spPr>
          <a:xfrm>
            <a:off x="245796" y="13457413"/>
            <a:ext cx="1424583" cy="695127"/>
          </a:xfrm>
          <a:prstGeom prst="rect">
            <a:avLst/>
          </a:prstGeom>
          <a:solidFill>
            <a:srgbClr val="6D969B"/>
          </a:solidFill>
          <a:effectLst>
            <a:outerShdw blurRad="50800" dist="38100" dir="10800000" algn="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r"/>
            <a:r>
              <a:rPr kumimoji="1" lang="en-US" altLang="ja-JP" sz="1400" baseline="0">
                <a:solidFill>
                  <a:schemeClr val="bg1"/>
                </a:solidFill>
                <a:latin typeface="Hyundai Sans Head" panose="020B0504040000000000" pitchFamily="34" charset="0"/>
                <a:ea typeface="Hyundai Sans Head" panose="020B0504040000000000" pitchFamily="34" charset="0"/>
              </a:rPr>
              <a:t>Đóng góp </a:t>
            </a:r>
          </a:p>
          <a:p>
            <a:pPr algn="r"/>
            <a:r>
              <a:rPr kumimoji="1" lang="en-US" altLang="ja-JP" sz="1400" baseline="0">
                <a:solidFill>
                  <a:schemeClr val="bg1"/>
                </a:solidFill>
                <a:latin typeface="Hyundai Sans Head" panose="020B0504040000000000" pitchFamily="34" charset="0"/>
                <a:ea typeface="Hyundai Sans Head" panose="020B0504040000000000" pitchFamily="34" charset="0"/>
              </a:rPr>
              <a:t>HĐ từ MKT </a:t>
            </a:r>
            <a:endParaRPr kumimoji="1" lang="ja-JP" altLang="en-US" sz="1400">
              <a:solidFill>
                <a:schemeClr val="bg1"/>
              </a:solidFill>
              <a:latin typeface="Hyundai Sans Head" panose="020B0504040000000000" pitchFamily="34" charset="0"/>
            </a:endParaRPr>
          </a:p>
        </xdr:txBody>
      </xdr:sp>
      <xdr:pic>
        <xdr:nvPicPr>
          <xdr:cNvPr id="31" name="Graphic 30" descr="Gears">
            <a:extLst>
              <a:ext uri="{FF2B5EF4-FFF2-40B4-BE49-F238E27FC236}">
                <a16:creationId xmlns:a16="http://schemas.microsoft.com/office/drawing/2014/main" id="{5282DD0C-CC20-7EF3-43D8-77569AA3CA1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0" y="13323267"/>
            <a:ext cx="720729" cy="601273"/>
          </a:xfrm>
          <a:prstGeom prst="rect">
            <a:avLst/>
          </a:prstGeom>
        </xdr:spPr>
      </xdr:pic>
    </xdr:grpSp>
    <xdr:clientData/>
  </xdr:twoCellAnchor>
  <xdr:twoCellAnchor>
    <xdr:from>
      <xdr:col>24</xdr:col>
      <xdr:colOff>482585</xdr:colOff>
      <xdr:row>80</xdr:row>
      <xdr:rowOff>73267</xdr:rowOff>
    </xdr:from>
    <xdr:to>
      <xdr:col>36</xdr:col>
      <xdr:colOff>522703</xdr:colOff>
      <xdr:row>94</xdr:row>
      <xdr:rowOff>85480</xdr:rowOff>
    </xdr:to>
    <xdr:graphicFrame macro="">
      <xdr:nvGraphicFramePr>
        <xdr:cNvPr id="12" name="Chart 11">
          <a:extLst>
            <a:ext uri="{FF2B5EF4-FFF2-40B4-BE49-F238E27FC236}">
              <a16:creationId xmlns:a16="http://schemas.microsoft.com/office/drawing/2014/main" id="{E44FB870-5E29-4CE1-A3EB-8CDA4C7FA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356656</xdr:colOff>
      <xdr:row>76</xdr:row>
      <xdr:rowOff>97692</xdr:rowOff>
    </xdr:from>
    <xdr:to>
      <xdr:col>26</xdr:col>
      <xdr:colOff>586154</xdr:colOff>
      <xdr:row>79</xdr:row>
      <xdr:rowOff>215464</xdr:rowOff>
    </xdr:to>
    <xdr:grpSp>
      <xdr:nvGrpSpPr>
        <xdr:cNvPr id="43" name="Group 42">
          <a:extLst>
            <a:ext uri="{FF2B5EF4-FFF2-40B4-BE49-F238E27FC236}">
              <a16:creationId xmlns:a16="http://schemas.microsoft.com/office/drawing/2014/main" id="{0A609CC1-208F-320E-8B1E-0C74721D0CAF}"/>
            </a:ext>
          </a:extLst>
        </xdr:cNvPr>
        <xdr:cNvGrpSpPr/>
      </xdr:nvGrpSpPr>
      <xdr:grpSpPr>
        <a:xfrm>
          <a:off x="14961656" y="15492914"/>
          <a:ext cx="1371369" cy="682217"/>
          <a:chOff x="14817078" y="12277228"/>
          <a:chExt cx="1492607" cy="831555"/>
        </a:xfrm>
      </xdr:grpSpPr>
      <xdr:sp macro="" textlink="">
        <xdr:nvSpPr>
          <xdr:cNvPr id="15" name="Rectangle 14">
            <a:extLst>
              <a:ext uri="{FF2B5EF4-FFF2-40B4-BE49-F238E27FC236}">
                <a16:creationId xmlns:a16="http://schemas.microsoft.com/office/drawing/2014/main" id="{1E303653-005D-46CD-B8DC-00F2068517E8}"/>
              </a:ext>
            </a:extLst>
          </xdr:cNvPr>
          <xdr:cNvSpPr/>
        </xdr:nvSpPr>
        <xdr:spPr>
          <a:xfrm>
            <a:off x="14994328" y="12343949"/>
            <a:ext cx="1315357" cy="764834"/>
          </a:xfrm>
          <a:prstGeom prst="rect">
            <a:avLst/>
          </a:prstGeom>
          <a:solidFill>
            <a:srgbClr val="6D969B"/>
          </a:solidFill>
          <a:ln w="6350" cap="flat" cmpd="sng" algn="ctr">
            <a:solidFill>
              <a:sysClr val="windowText" lastClr="000000"/>
            </a:solidFill>
            <a:prstDash val="solid"/>
            <a:miter lim="800000"/>
          </a:ln>
          <a:effectLst>
            <a:outerShdw blurRad="50800" dist="38100" dir="10800000" algn="r" rotWithShape="0">
              <a:prstClr val="black">
                <a:alpha val="40000"/>
              </a:prstClr>
            </a:outerShdw>
          </a:effectLst>
        </xdr:spPr>
        <xdr:txBody>
          <a:bodyPr vertOverflow="clip" horzOverflow="clip"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Hyundai Sans Head" panose="020B0504040000000000" pitchFamily="34" charset="0"/>
                <a:ea typeface="Hyundai Sans Head" panose="020B0504040000000000" pitchFamily="34" charset="0"/>
                <a:cs typeface="+mn-cs"/>
              </a:rPr>
              <a:t>Hỗ trợ </a:t>
            </a:r>
          </a:p>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Hyundai Sans Head" panose="020B0504040000000000" pitchFamily="34" charset="0"/>
                <a:ea typeface="Hyundai Sans Head" panose="020B0504040000000000" pitchFamily="34" charset="0"/>
                <a:cs typeface="+mn-cs"/>
              </a:rPr>
              <a:t>MKT (x1K)</a:t>
            </a:r>
            <a:endParaRPr kumimoji="1" lang="ja-JP" altLang="en-US" sz="1400" b="0" i="0" u="none" strike="noStrike" kern="0" cap="none" spc="0" normalizeH="0" baseline="0" noProof="0">
              <a:ln>
                <a:noFill/>
              </a:ln>
              <a:solidFill>
                <a:schemeClr val="bg1"/>
              </a:solidFill>
              <a:effectLst/>
              <a:uLnTx/>
              <a:uFillTx/>
              <a:latin typeface="Hyundai Sans Head" panose="020B0504040000000000" pitchFamily="34" charset="0"/>
              <a:ea typeface="游ゴシック" panose="020B0400000000000000" pitchFamily="34" charset="-128"/>
              <a:cs typeface="+mn-cs"/>
            </a:endParaRPr>
          </a:p>
        </xdr:txBody>
      </xdr:sp>
      <xdr:pic>
        <xdr:nvPicPr>
          <xdr:cNvPr id="21" name="Graphic 20" descr="Coins">
            <a:extLst>
              <a:ext uri="{FF2B5EF4-FFF2-40B4-BE49-F238E27FC236}">
                <a16:creationId xmlns:a16="http://schemas.microsoft.com/office/drawing/2014/main" id="{0F6F9CDE-7B2C-4B0B-2865-4CDD5604B8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817078" y="12277228"/>
            <a:ext cx="532946" cy="532947"/>
          </a:xfrm>
          <a:prstGeom prst="rect">
            <a:avLst/>
          </a:prstGeom>
        </xdr:spPr>
      </xdr:pic>
    </xdr:grpSp>
    <xdr:clientData/>
  </xdr:twoCellAnchor>
  <xdr:twoCellAnchor>
    <xdr:from>
      <xdr:col>0</xdr:col>
      <xdr:colOff>129539</xdr:colOff>
      <xdr:row>1</xdr:row>
      <xdr:rowOff>146543</xdr:rowOff>
    </xdr:from>
    <xdr:to>
      <xdr:col>7</xdr:col>
      <xdr:colOff>158750</xdr:colOff>
      <xdr:row>4</xdr:row>
      <xdr:rowOff>190156</xdr:rowOff>
    </xdr:to>
    <xdr:grpSp>
      <xdr:nvGrpSpPr>
        <xdr:cNvPr id="44" name="Group 43">
          <a:extLst>
            <a:ext uri="{FF2B5EF4-FFF2-40B4-BE49-F238E27FC236}">
              <a16:creationId xmlns:a16="http://schemas.microsoft.com/office/drawing/2014/main" id="{CE90F2CC-376A-8241-DB11-4BCB5B4177A8}"/>
            </a:ext>
          </a:extLst>
        </xdr:cNvPr>
        <xdr:cNvGrpSpPr/>
      </xdr:nvGrpSpPr>
      <xdr:grpSpPr>
        <a:xfrm>
          <a:off x="129539" y="245321"/>
          <a:ext cx="4798767" cy="593946"/>
          <a:chOff x="136072" y="510268"/>
          <a:chExt cx="2075090" cy="822349"/>
        </a:xfrm>
      </xdr:grpSpPr>
      <xdr:sp macro="" textlink="">
        <xdr:nvSpPr>
          <xdr:cNvPr id="42" name="Rectangle: Diagonal Corners Rounded 41">
            <a:extLst>
              <a:ext uri="{FF2B5EF4-FFF2-40B4-BE49-F238E27FC236}">
                <a16:creationId xmlns:a16="http://schemas.microsoft.com/office/drawing/2014/main" id="{3B263254-4177-210F-B15D-05F942226112}"/>
              </a:ext>
            </a:extLst>
          </xdr:cNvPr>
          <xdr:cNvSpPr/>
        </xdr:nvSpPr>
        <xdr:spPr>
          <a:xfrm>
            <a:off x="136072" y="510268"/>
            <a:ext cx="2075090" cy="822349"/>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9" name="Picture 38">
            <a:extLst>
              <a:ext uri="{FF2B5EF4-FFF2-40B4-BE49-F238E27FC236}">
                <a16:creationId xmlns:a16="http://schemas.microsoft.com/office/drawing/2014/main" id="{095DE731-8DB8-4672-BC8A-7EE361A8F81D}"/>
              </a:ext>
            </a:extLst>
          </xdr:cNvPr>
          <xdr:cNvPicPr>
            <a:picLocks noChangeAspect="1"/>
          </xdr:cNvPicPr>
        </xdr:nvPicPr>
        <xdr:blipFill>
          <a:blip xmlns:r="http://schemas.openxmlformats.org/officeDocument/2006/relationships" r:embed="rId12"/>
          <a:stretch>
            <a:fillRect/>
          </a:stretch>
        </xdr:blipFill>
        <xdr:spPr>
          <a:xfrm>
            <a:off x="163769" y="542165"/>
            <a:ext cx="2030821" cy="774637"/>
          </a:xfrm>
          <a:prstGeom prst="rect">
            <a:avLst/>
          </a:prstGeom>
        </xdr:spPr>
      </xdr:pic>
    </xdr:grpSp>
    <xdr:clientData/>
  </xdr:twoCellAnchor>
  <xdr:twoCellAnchor>
    <xdr:from>
      <xdr:col>12</xdr:col>
      <xdr:colOff>243462</xdr:colOff>
      <xdr:row>35</xdr:row>
      <xdr:rowOff>86200</xdr:rowOff>
    </xdr:from>
    <xdr:to>
      <xdr:col>14</xdr:col>
      <xdr:colOff>563978</xdr:colOff>
      <xdr:row>38</xdr:row>
      <xdr:rowOff>273922</xdr:rowOff>
    </xdr:to>
    <xdr:grpSp>
      <xdr:nvGrpSpPr>
        <xdr:cNvPr id="3" name="Group 2">
          <a:extLst>
            <a:ext uri="{FF2B5EF4-FFF2-40B4-BE49-F238E27FC236}">
              <a16:creationId xmlns:a16="http://schemas.microsoft.com/office/drawing/2014/main" id="{91289B7C-D584-5C94-42BD-D1A5B6EEADE8}"/>
            </a:ext>
          </a:extLst>
        </xdr:cNvPr>
        <xdr:cNvGrpSpPr/>
      </xdr:nvGrpSpPr>
      <xdr:grpSpPr>
        <a:xfrm>
          <a:off x="7905795" y="7889644"/>
          <a:ext cx="1477627" cy="766278"/>
          <a:chOff x="8663212" y="7914822"/>
          <a:chExt cx="1669894" cy="858006"/>
        </a:xfrm>
      </xdr:grpSpPr>
      <xdr:sp macro="" textlink="">
        <xdr:nvSpPr>
          <xdr:cNvPr id="13" name="Rectangle 12">
            <a:extLst>
              <a:ext uri="{FF2B5EF4-FFF2-40B4-BE49-F238E27FC236}">
                <a16:creationId xmlns:a16="http://schemas.microsoft.com/office/drawing/2014/main" id="{CCA2197A-5C20-4AA6-8D2D-0F343C9B17E9}"/>
              </a:ext>
            </a:extLst>
          </xdr:cNvPr>
          <xdr:cNvSpPr/>
        </xdr:nvSpPr>
        <xdr:spPr>
          <a:xfrm>
            <a:off x="8891220" y="8139929"/>
            <a:ext cx="1441886" cy="632899"/>
          </a:xfrm>
          <a:prstGeom prst="rect">
            <a:avLst/>
          </a:prstGeom>
          <a:solidFill>
            <a:srgbClr val="6D969B"/>
          </a:solidFill>
          <a:effectLst>
            <a:outerShdw blurRad="50800" dist="38100" dir="10800000" algn="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r"/>
            <a:r>
              <a:rPr kumimoji="1" lang="en-US" altLang="ja-JP" sz="1400">
                <a:solidFill>
                  <a:schemeClr val="bg1"/>
                </a:solidFill>
                <a:latin typeface="Hyundai Sans Head" panose="020B0504040000000000" pitchFamily="34" charset="0"/>
                <a:ea typeface="Hyundai Sans Head" panose="020B0504040000000000" pitchFamily="34" charset="0"/>
              </a:rPr>
              <a:t>Hợp</a:t>
            </a:r>
            <a:r>
              <a:rPr kumimoji="1" lang="en-US" altLang="ja-JP" sz="1400" baseline="0">
                <a:solidFill>
                  <a:schemeClr val="bg1"/>
                </a:solidFill>
                <a:latin typeface="Hyundai Sans Head" panose="020B0504040000000000" pitchFamily="34" charset="0"/>
                <a:ea typeface="Hyundai Sans Head" panose="020B0504040000000000" pitchFamily="34" charset="0"/>
              </a:rPr>
              <a:t> đồng</a:t>
            </a:r>
            <a:endParaRPr kumimoji="1" lang="en-US" altLang="ja-JP" sz="1400">
              <a:solidFill>
                <a:schemeClr val="bg1"/>
              </a:solidFill>
              <a:latin typeface="Hyundai Sans Head" panose="020B0504040000000000" pitchFamily="34" charset="0"/>
              <a:ea typeface="Hyundai Sans Head" panose="020B0504040000000000" pitchFamily="34" charset="0"/>
            </a:endParaRPr>
          </a:p>
          <a:p>
            <a:pPr algn="r"/>
            <a:r>
              <a:rPr kumimoji="1" lang="en-US" altLang="ja-JP" sz="1400">
                <a:solidFill>
                  <a:schemeClr val="bg1"/>
                </a:solidFill>
                <a:latin typeface="Hyundai Sans Head" panose="020B0504040000000000" pitchFamily="34" charset="0"/>
                <a:ea typeface="Hyundai Sans Head" panose="020B0504040000000000" pitchFamily="34" charset="0"/>
              </a:rPr>
              <a:t>từ data</a:t>
            </a:r>
            <a:r>
              <a:rPr kumimoji="1" lang="en-US" altLang="ja-JP" sz="1400" baseline="0">
                <a:solidFill>
                  <a:schemeClr val="bg1"/>
                </a:solidFill>
                <a:latin typeface="Hyundai Sans Head" panose="020B0504040000000000" pitchFamily="34" charset="0"/>
                <a:ea typeface="Hyundai Sans Head" panose="020B0504040000000000" pitchFamily="34" charset="0"/>
              </a:rPr>
              <a:t> MKT</a:t>
            </a:r>
            <a:endParaRPr kumimoji="1" lang="ja-JP" altLang="en-US" sz="1400">
              <a:solidFill>
                <a:schemeClr val="bg1"/>
              </a:solidFill>
              <a:latin typeface="Hyundai Sans Head" panose="020B0504040000000000" pitchFamily="34" charset="0"/>
            </a:endParaRPr>
          </a:p>
        </xdr:txBody>
      </xdr:sp>
      <xdr:pic>
        <xdr:nvPicPr>
          <xdr:cNvPr id="50" name="Graphic 49" descr="Taxi">
            <a:extLst>
              <a:ext uri="{FF2B5EF4-FFF2-40B4-BE49-F238E27FC236}">
                <a16:creationId xmlns:a16="http://schemas.microsoft.com/office/drawing/2014/main" id="{332836BC-30ED-0D9C-F4FC-9A2FE583538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663212" y="7914822"/>
            <a:ext cx="653596" cy="653596"/>
          </a:xfrm>
          <a:prstGeom prst="rect">
            <a:avLst/>
          </a:prstGeom>
        </xdr:spPr>
      </xdr:pic>
    </xdr:grpSp>
    <xdr:clientData/>
  </xdr:twoCellAnchor>
  <xdr:twoCellAnchor>
    <xdr:from>
      <xdr:col>3</xdr:col>
      <xdr:colOff>554527</xdr:colOff>
      <xdr:row>19</xdr:row>
      <xdr:rowOff>108318</xdr:rowOff>
    </xdr:from>
    <xdr:to>
      <xdr:col>7</xdr:col>
      <xdr:colOff>94240</xdr:colOff>
      <xdr:row>34</xdr:row>
      <xdr:rowOff>51460</xdr:rowOff>
    </xdr:to>
    <xdr:grpSp>
      <xdr:nvGrpSpPr>
        <xdr:cNvPr id="18" name="Group 17">
          <a:extLst>
            <a:ext uri="{FF2B5EF4-FFF2-40B4-BE49-F238E27FC236}">
              <a16:creationId xmlns:a16="http://schemas.microsoft.com/office/drawing/2014/main" id="{045DB94F-8E11-5A85-0514-D1BB57D44D84}"/>
            </a:ext>
          </a:extLst>
        </xdr:cNvPr>
        <xdr:cNvGrpSpPr/>
      </xdr:nvGrpSpPr>
      <xdr:grpSpPr>
        <a:xfrm>
          <a:off x="2106749" y="3748985"/>
          <a:ext cx="2757047" cy="3626142"/>
          <a:chOff x="204121" y="2705791"/>
          <a:chExt cx="2091147" cy="4017044"/>
        </a:xfrm>
      </xdr:grpSpPr>
      <xdr:grpSp>
        <xdr:nvGrpSpPr>
          <xdr:cNvPr id="37" name="Group 36">
            <a:extLst>
              <a:ext uri="{FF2B5EF4-FFF2-40B4-BE49-F238E27FC236}">
                <a16:creationId xmlns:a16="http://schemas.microsoft.com/office/drawing/2014/main" id="{72982802-0636-4AD1-4FA6-D055D9663260}"/>
              </a:ext>
            </a:extLst>
          </xdr:cNvPr>
          <xdr:cNvGrpSpPr/>
        </xdr:nvGrpSpPr>
        <xdr:grpSpPr>
          <a:xfrm>
            <a:off x="227762" y="4958680"/>
            <a:ext cx="1989828" cy="608135"/>
            <a:chOff x="18629856" y="2040830"/>
            <a:chExt cx="1985230" cy="686296"/>
          </a:xfrm>
        </xdr:grpSpPr>
        <xdr:sp macro="" textlink="">
          <xdr:nvSpPr>
            <xdr:cNvPr id="33" name="Rectangle: Single Corner Rounded 32">
              <a:extLst>
                <a:ext uri="{FF2B5EF4-FFF2-40B4-BE49-F238E27FC236}">
                  <a16:creationId xmlns:a16="http://schemas.microsoft.com/office/drawing/2014/main" id="{94863661-23BA-131D-ACAF-907910F0CA61}"/>
                </a:ext>
              </a:extLst>
            </xdr:cNvPr>
            <xdr:cNvSpPr/>
          </xdr:nvSpPr>
          <xdr:spPr>
            <a:xfrm>
              <a:off x="18629856" y="2040830"/>
              <a:ext cx="1957917" cy="652408"/>
            </a:xfrm>
            <a:prstGeom prst="round1Rect">
              <a:avLst/>
            </a:prstGeom>
            <a:solidFill>
              <a:srgbClr val="6D969B"/>
            </a:solidFill>
            <a:effectLst>
              <a:outerShdw blurRad="63500" sx="102000" sy="102000" algn="ctr" rotWithShape="0">
                <a:prstClr val="black">
                  <a:alpha val="7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Hyundai Sans Head" panose="020B0504040000000000" pitchFamily="34" charset="0"/>
                  <a:ea typeface="Hyundai Sans Head" panose="020B0504040000000000" pitchFamily="34" charset="0"/>
                </a:rPr>
                <a:t>Chi phí</a:t>
              </a:r>
              <a:r>
                <a:rPr kumimoji="1" lang="en-US" altLang="ja-JP" sz="1400" baseline="0">
                  <a:latin typeface="Hyundai Sans Head" panose="020B0504040000000000" pitchFamily="34" charset="0"/>
                  <a:ea typeface="Hyundai Sans Head" panose="020B0504040000000000" pitchFamily="34" charset="0"/>
                </a:rPr>
                <a:t> </a:t>
              </a:r>
            </a:p>
            <a:p>
              <a:pPr algn="l"/>
              <a:r>
                <a:rPr kumimoji="1" lang="en-US" altLang="ja-JP" sz="1400" baseline="0">
                  <a:latin typeface="Hyundai Sans Head" panose="020B0504040000000000" pitchFamily="34" charset="0"/>
                  <a:ea typeface="Hyundai Sans Head" panose="020B0504040000000000" pitchFamily="34" charset="0"/>
                </a:rPr>
                <a:t>Quảngcáo (x1K)</a:t>
              </a:r>
              <a:endParaRPr kumimoji="1" lang="ja-JP" altLang="en-US" sz="1400">
                <a:latin typeface="Hyundai Sans Head" panose="020B0504040000000000" pitchFamily="34" charset="0"/>
              </a:endParaRPr>
            </a:p>
          </xdr:txBody>
        </xdr:sp>
        <xdr:pic>
          <xdr:nvPicPr>
            <xdr:cNvPr id="36" name="Graphic 35" descr="Money">
              <a:extLst>
                <a:ext uri="{FF2B5EF4-FFF2-40B4-BE49-F238E27FC236}">
                  <a16:creationId xmlns:a16="http://schemas.microsoft.com/office/drawing/2014/main" id="{0EC65E63-068F-BE7A-3E11-435F9EE2C14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044408" y="2074233"/>
              <a:ext cx="570678" cy="652893"/>
            </a:xfrm>
            <a:prstGeom prst="rect">
              <a:avLst/>
            </a:prstGeom>
          </xdr:spPr>
        </xdr:pic>
      </xdr:grpSp>
      <xdr:grpSp>
        <xdr:nvGrpSpPr>
          <xdr:cNvPr id="55" name="Group 54">
            <a:extLst>
              <a:ext uri="{FF2B5EF4-FFF2-40B4-BE49-F238E27FC236}">
                <a16:creationId xmlns:a16="http://schemas.microsoft.com/office/drawing/2014/main" id="{EBCA0C10-A973-7094-2980-D6A7B52C5EA7}"/>
              </a:ext>
            </a:extLst>
          </xdr:cNvPr>
          <xdr:cNvGrpSpPr/>
        </xdr:nvGrpSpPr>
        <xdr:grpSpPr>
          <a:xfrm>
            <a:off x="226030" y="2705791"/>
            <a:ext cx="2040652" cy="627959"/>
            <a:chOff x="18663707" y="392577"/>
            <a:chExt cx="1995817" cy="627959"/>
          </a:xfrm>
        </xdr:grpSpPr>
        <xdr:sp macro="" textlink="">
          <xdr:nvSpPr>
            <xdr:cNvPr id="25" name="Rectangle: Single Corner Rounded 24">
              <a:extLst>
                <a:ext uri="{FF2B5EF4-FFF2-40B4-BE49-F238E27FC236}">
                  <a16:creationId xmlns:a16="http://schemas.microsoft.com/office/drawing/2014/main" id="{B2F977A8-9287-82DD-C0D1-5F40F877AF8F}"/>
                </a:ext>
              </a:extLst>
            </xdr:cNvPr>
            <xdr:cNvSpPr/>
          </xdr:nvSpPr>
          <xdr:spPr>
            <a:xfrm>
              <a:off x="18663707" y="418795"/>
              <a:ext cx="1962453" cy="579061"/>
            </a:xfrm>
            <a:prstGeom prst="round1Rect">
              <a:avLst/>
            </a:prstGeom>
            <a:solidFill>
              <a:srgbClr val="6D969B"/>
            </a:solidFill>
            <a:effectLst>
              <a:outerShdw blurRad="63500" sx="102000" sy="102000" algn="ctr" rotWithShape="0">
                <a:prstClr val="black">
                  <a:alpha val="7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baseline="0">
                  <a:latin typeface="Hyundai Sans Head" panose="020B0504040000000000" pitchFamily="34" charset="0"/>
                  <a:ea typeface="Hyundai Sans Head" panose="020B0504040000000000" pitchFamily="34" charset="0"/>
                </a:rPr>
                <a:t>Hđộng MKT </a:t>
              </a:r>
            </a:p>
            <a:p>
              <a:pPr algn="l"/>
              <a:r>
                <a:rPr kumimoji="1" lang="en-US" altLang="ja-JP" sz="1400" baseline="0">
                  <a:latin typeface="Hyundai Sans Head" panose="020B0504040000000000" pitchFamily="34" charset="0"/>
                  <a:ea typeface="Hyundai Sans Head" panose="020B0504040000000000" pitchFamily="34" charset="0"/>
                </a:rPr>
                <a:t>triển khai</a:t>
              </a:r>
              <a:endParaRPr kumimoji="1" lang="ja-JP" altLang="en-US" sz="1400">
                <a:latin typeface="Hyundai Sans Head" panose="020B0504040000000000" pitchFamily="34" charset="0"/>
              </a:endParaRPr>
            </a:p>
          </xdr:txBody>
        </xdr:sp>
        <xdr:pic>
          <xdr:nvPicPr>
            <xdr:cNvPr id="19" name="Graphic 18" descr="Single gear">
              <a:extLst>
                <a:ext uri="{FF2B5EF4-FFF2-40B4-BE49-F238E27FC236}">
                  <a16:creationId xmlns:a16="http://schemas.microsoft.com/office/drawing/2014/main" id="{96B227EA-E56C-742A-59F1-F1364BA5AAA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0031565" y="392577"/>
              <a:ext cx="627959" cy="627959"/>
            </a:xfrm>
            <a:prstGeom prst="rect">
              <a:avLst/>
            </a:prstGeom>
          </xdr:spPr>
        </xdr:pic>
      </xdr:grpSp>
      <xdr:grpSp>
        <xdr:nvGrpSpPr>
          <xdr:cNvPr id="27" name="Group 26">
            <a:extLst>
              <a:ext uri="{FF2B5EF4-FFF2-40B4-BE49-F238E27FC236}">
                <a16:creationId xmlns:a16="http://schemas.microsoft.com/office/drawing/2014/main" id="{80353FC0-9354-580D-6FDF-123807CE95CE}"/>
              </a:ext>
            </a:extLst>
          </xdr:cNvPr>
          <xdr:cNvGrpSpPr/>
        </xdr:nvGrpSpPr>
        <xdr:grpSpPr>
          <a:xfrm>
            <a:off x="204121" y="3808604"/>
            <a:ext cx="2091147" cy="596554"/>
            <a:chOff x="18675452" y="3525621"/>
            <a:chExt cx="2025562" cy="664950"/>
          </a:xfrm>
        </xdr:grpSpPr>
        <xdr:sp macro="" textlink="">
          <xdr:nvSpPr>
            <xdr:cNvPr id="16" name="Rectangle: Single Corner Rounded 15">
              <a:extLst>
                <a:ext uri="{FF2B5EF4-FFF2-40B4-BE49-F238E27FC236}">
                  <a16:creationId xmlns:a16="http://schemas.microsoft.com/office/drawing/2014/main" id="{6BAE2FD4-4C14-6507-6BB0-F207C2597B2C}"/>
                </a:ext>
              </a:extLst>
            </xdr:cNvPr>
            <xdr:cNvSpPr/>
          </xdr:nvSpPr>
          <xdr:spPr>
            <a:xfrm>
              <a:off x="18675452" y="3545978"/>
              <a:ext cx="1962452" cy="628556"/>
            </a:xfrm>
            <a:prstGeom prst="round1Rect">
              <a:avLst/>
            </a:prstGeom>
            <a:solidFill>
              <a:srgbClr val="6D969B"/>
            </a:solidFill>
            <a:effectLst>
              <a:outerShdw blurRad="63500" sx="102000" sy="102000" algn="ctr" rotWithShape="0">
                <a:prstClr val="black">
                  <a:alpha val="7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Hyundai Sans Head" panose="020B0504040000000000" pitchFamily="34" charset="0"/>
                  <a:ea typeface="Hyundai Sans Head" panose="020B0504040000000000" pitchFamily="34" charset="0"/>
                </a:rPr>
                <a:t>Kênh</a:t>
              </a:r>
              <a:r>
                <a:rPr kumimoji="1" lang="ja-JP" altLang="en-US" sz="1400" baseline="0">
                  <a:latin typeface="Hyundai Sans Head" panose="020B0504040000000000" pitchFamily="34" charset="0"/>
                  <a:ea typeface="+mn-ea"/>
                </a:rPr>
                <a:t> </a:t>
              </a:r>
              <a:r>
                <a:rPr kumimoji="1" lang="en-US" altLang="ja-JP" sz="1400" baseline="0">
                  <a:latin typeface="Hyundai Sans Head" panose="020B0504040000000000" pitchFamily="34" charset="0"/>
                  <a:ea typeface="+mn-ea"/>
                </a:rPr>
                <a:t>MKT</a:t>
              </a:r>
            </a:p>
            <a:p>
              <a:pPr algn="l"/>
              <a:r>
                <a:rPr kumimoji="1" lang="en-US" altLang="ja-JP" sz="1400" baseline="0">
                  <a:latin typeface="Hyundai Sans Head" panose="020B0504040000000000" pitchFamily="34" charset="0"/>
                  <a:ea typeface="+mn-ea"/>
                </a:rPr>
                <a:t>triển khai </a:t>
              </a:r>
              <a:endParaRPr kumimoji="1" lang="en-US" altLang="ja-JP" sz="1400" baseline="0">
                <a:latin typeface="Hyundai Sans Head" panose="020B0504040000000000" pitchFamily="34" charset="0"/>
                <a:ea typeface="Hyundai Sans Head" panose="020B0504040000000000" pitchFamily="34" charset="0"/>
              </a:endParaRPr>
            </a:p>
          </xdr:txBody>
        </xdr:sp>
        <xdr:pic>
          <xdr:nvPicPr>
            <xdr:cNvPr id="23" name="Graphic 22" descr="Puzzle pieces">
              <a:extLst>
                <a:ext uri="{FF2B5EF4-FFF2-40B4-BE49-F238E27FC236}">
                  <a16:creationId xmlns:a16="http://schemas.microsoft.com/office/drawing/2014/main" id="{39DEE4A8-A9E8-4210-B9E6-8A1ABD6BEA1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0036063" y="3525621"/>
              <a:ext cx="664951" cy="664950"/>
            </a:xfrm>
            <a:prstGeom prst="rect">
              <a:avLst/>
            </a:prstGeom>
          </xdr:spPr>
        </xdr:pic>
      </xdr:grpSp>
      <xdr:grpSp>
        <xdr:nvGrpSpPr>
          <xdr:cNvPr id="56" name="Group 55">
            <a:extLst>
              <a:ext uri="{FF2B5EF4-FFF2-40B4-BE49-F238E27FC236}">
                <a16:creationId xmlns:a16="http://schemas.microsoft.com/office/drawing/2014/main" id="{1CD4A419-DF89-FE85-372F-F2830ACD156A}"/>
              </a:ext>
            </a:extLst>
          </xdr:cNvPr>
          <xdr:cNvGrpSpPr/>
        </xdr:nvGrpSpPr>
        <xdr:grpSpPr>
          <a:xfrm>
            <a:off x="227653" y="6065157"/>
            <a:ext cx="2060534" cy="657678"/>
            <a:chOff x="18676671" y="4505279"/>
            <a:chExt cx="2060535" cy="725714"/>
          </a:xfrm>
        </xdr:grpSpPr>
        <xdr:sp macro="" textlink="">
          <xdr:nvSpPr>
            <xdr:cNvPr id="32" name="Rectangle: Single Corner Rounded 31">
              <a:extLst>
                <a:ext uri="{FF2B5EF4-FFF2-40B4-BE49-F238E27FC236}">
                  <a16:creationId xmlns:a16="http://schemas.microsoft.com/office/drawing/2014/main" id="{ACB82067-4AAD-C824-8F1B-A97D14165ADA}"/>
                </a:ext>
              </a:extLst>
            </xdr:cNvPr>
            <xdr:cNvSpPr/>
          </xdr:nvSpPr>
          <xdr:spPr>
            <a:xfrm>
              <a:off x="18676671" y="4522051"/>
              <a:ext cx="1962453" cy="628556"/>
            </a:xfrm>
            <a:prstGeom prst="round1Rect">
              <a:avLst/>
            </a:prstGeom>
            <a:solidFill>
              <a:srgbClr val="6D969B"/>
            </a:solidFill>
            <a:effectLst>
              <a:outerShdw blurRad="63500" sx="102000" sy="102000" algn="ctr" rotWithShape="0">
                <a:prstClr val="black">
                  <a:alpha val="7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latin typeface="Hyundai Sans Head" panose="020B0504040000000000" pitchFamily="34" charset="0"/>
                  <a:ea typeface="Hyundai Sans Head" panose="020B0504040000000000" pitchFamily="34" charset="0"/>
                </a:rPr>
                <a:t>Chi phí</a:t>
              </a:r>
              <a:r>
                <a:rPr kumimoji="1" lang="en-US" altLang="ja-JP" sz="1400" baseline="0">
                  <a:latin typeface="Hyundai Sans Head" panose="020B0504040000000000" pitchFamily="34" charset="0"/>
                  <a:ea typeface="Hyundai Sans Head" panose="020B0504040000000000" pitchFamily="34" charset="0"/>
                </a:rPr>
                <a:t> </a:t>
              </a:r>
            </a:p>
            <a:p>
              <a:pPr algn="l"/>
              <a:r>
                <a:rPr kumimoji="1" lang="en-US" altLang="ja-JP" sz="1400" baseline="0">
                  <a:latin typeface="Hyundai Sans Head" panose="020B0504040000000000" pitchFamily="34" charset="0"/>
                  <a:ea typeface="Hyundai Sans Head" panose="020B0504040000000000" pitchFamily="34" charset="0"/>
                </a:rPr>
                <a:t>1 HĐ MKT (x1K)</a:t>
              </a:r>
              <a:endParaRPr kumimoji="1" lang="ja-JP" altLang="en-US" sz="1400">
                <a:latin typeface="Hyundai Sans Head" panose="020B0504040000000000" pitchFamily="34" charset="0"/>
              </a:endParaRPr>
            </a:p>
          </xdr:txBody>
        </xdr:sp>
        <xdr:pic>
          <xdr:nvPicPr>
            <xdr:cNvPr id="54" name="Graphic 53" descr="Label">
              <a:extLst>
                <a:ext uri="{FF2B5EF4-FFF2-40B4-BE49-F238E27FC236}">
                  <a16:creationId xmlns:a16="http://schemas.microsoft.com/office/drawing/2014/main" id="{4D0E23B0-00DE-3CAC-3AFB-BF724ED1B01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0055438" y="4505279"/>
              <a:ext cx="681768" cy="725714"/>
            </a:xfrm>
            <a:prstGeom prst="rect">
              <a:avLst/>
            </a:prstGeom>
          </xdr:spPr>
        </xdr:pic>
      </xdr:grpSp>
    </xdr:grpSp>
    <xdr:clientData/>
  </xdr:twoCellAnchor>
  <xdr:twoCellAnchor>
    <xdr:from>
      <xdr:col>24</xdr:col>
      <xdr:colOff>369430</xdr:colOff>
      <xdr:row>35</xdr:row>
      <xdr:rowOff>24424</xdr:rowOff>
    </xdr:from>
    <xdr:to>
      <xdr:col>26</xdr:col>
      <xdr:colOff>572745</xdr:colOff>
      <xdr:row>39</xdr:row>
      <xdr:rowOff>2</xdr:rowOff>
    </xdr:to>
    <xdr:grpSp>
      <xdr:nvGrpSpPr>
        <xdr:cNvPr id="24" name="Group 23">
          <a:extLst>
            <a:ext uri="{FF2B5EF4-FFF2-40B4-BE49-F238E27FC236}">
              <a16:creationId xmlns:a16="http://schemas.microsoft.com/office/drawing/2014/main" id="{A5DB5441-F85E-0819-F38E-AD05B1FA482A}"/>
            </a:ext>
          </a:extLst>
        </xdr:cNvPr>
        <xdr:cNvGrpSpPr/>
      </xdr:nvGrpSpPr>
      <xdr:grpSpPr>
        <a:xfrm>
          <a:off x="14974430" y="7827868"/>
          <a:ext cx="1360426" cy="836356"/>
          <a:chOff x="13974180" y="8974638"/>
          <a:chExt cx="1520409" cy="886762"/>
        </a:xfrm>
      </xdr:grpSpPr>
      <xdr:sp macro="" textlink="">
        <xdr:nvSpPr>
          <xdr:cNvPr id="14" name="Rectangle 13">
            <a:extLst>
              <a:ext uri="{FF2B5EF4-FFF2-40B4-BE49-F238E27FC236}">
                <a16:creationId xmlns:a16="http://schemas.microsoft.com/office/drawing/2014/main" id="{7D7A04DF-AD3D-4856-B1AB-41B15F912E3D}"/>
              </a:ext>
            </a:extLst>
          </xdr:cNvPr>
          <xdr:cNvSpPr/>
        </xdr:nvSpPr>
        <xdr:spPr>
          <a:xfrm>
            <a:off x="14100597" y="9246780"/>
            <a:ext cx="1393992" cy="614620"/>
          </a:xfrm>
          <a:prstGeom prst="rect">
            <a:avLst/>
          </a:prstGeom>
          <a:solidFill>
            <a:srgbClr val="6D969B"/>
          </a:solidFill>
          <a:effectLst>
            <a:outerShdw blurRad="50800" dist="38100" dir="10800000" algn="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r"/>
            <a:r>
              <a:rPr kumimoji="1" lang="en-US" altLang="ja-JP" sz="1400">
                <a:solidFill>
                  <a:schemeClr val="bg1"/>
                </a:solidFill>
                <a:latin typeface="Hyundai Sans Head" panose="020B0504040000000000" pitchFamily="34" charset="0"/>
                <a:ea typeface="Hyundai Sans Head" panose="020B0504040000000000" pitchFamily="34" charset="0"/>
              </a:rPr>
              <a:t>Tỷ</a:t>
            </a:r>
            <a:r>
              <a:rPr kumimoji="1" lang="en-US" altLang="ja-JP" sz="1400" baseline="0">
                <a:solidFill>
                  <a:schemeClr val="bg1"/>
                </a:solidFill>
                <a:latin typeface="Hyundai Sans Head" panose="020B0504040000000000" pitchFamily="34" charset="0"/>
                <a:ea typeface="Hyundai Sans Head" panose="020B0504040000000000" pitchFamily="34" charset="0"/>
              </a:rPr>
              <a:t> lệ HĐ </a:t>
            </a:r>
          </a:p>
          <a:p>
            <a:pPr algn="r"/>
            <a:r>
              <a:rPr kumimoji="1" lang="en-US" altLang="ja-JP" sz="1400" baseline="0">
                <a:solidFill>
                  <a:schemeClr val="bg1"/>
                </a:solidFill>
                <a:latin typeface="Hyundai Sans Head" panose="020B0504040000000000" pitchFamily="34" charset="0"/>
                <a:ea typeface="Hyundai Sans Head" panose="020B0504040000000000" pitchFamily="34" charset="0"/>
              </a:rPr>
              <a:t>chuyển đổi </a:t>
            </a:r>
            <a:endParaRPr kumimoji="1" lang="ja-JP" altLang="en-US" sz="1400">
              <a:solidFill>
                <a:schemeClr val="bg1"/>
              </a:solidFill>
              <a:latin typeface="Hyundai Sans Head" panose="020B0504040000000000" pitchFamily="34" charset="0"/>
            </a:endParaRPr>
          </a:p>
        </xdr:txBody>
      </xdr:sp>
      <xdr:pic>
        <xdr:nvPicPr>
          <xdr:cNvPr id="57" name="Graphic 56" descr="Car">
            <a:extLst>
              <a:ext uri="{FF2B5EF4-FFF2-40B4-BE49-F238E27FC236}">
                <a16:creationId xmlns:a16="http://schemas.microsoft.com/office/drawing/2014/main" id="{8221F23A-FA2B-4737-9D97-1A2DF55E452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974180" y="8974638"/>
            <a:ext cx="728190" cy="668765"/>
          </a:xfrm>
          <a:prstGeom prst="rect">
            <a:avLst/>
          </a:prstGeom>
        </xdr:spPr>
      </xdr:pic>
    </xdr:grpSp>
    <xdr:clientData/>
  </xdr:twoCellAnchor>
  <xdr:twoCellAnchor>
    <xdr:from>
      <xdr:col>12</xdr:col>
      <xdr:colOff>169868</xdr:colOff>
      <xdr:row>76</xdr:row>
      <xdr:rowOff>62845</xdr:rowOff>
    </xdr:from>
    <xdr:to>
      <xdr:col>14</xdr:col>
      <xdr:colOff>584958</xdr:colOff>
      <xdr:row>79</xdr:row>
      <xdr:rowOff>220047</xdr:rowOff>
    </xdr:to>
    <xdr:grpSp>
      <xdr:nvGrpSpPr>
        <xdr:cNvPr id="40" name="Group 39">
          <a:extLst>
            <a:ext uri="{FF2B5EF4-FFF2-40B4-BE49-F238E27FC236}">
              <a16:creationId xmlns:a16="http://schemas.microsoft.com/office/drawing/2014/main" id="{EA9EDE25-4A57-4851-1EFB-95EAB7B69BE5}"/>
            </a:ext>
          </a:extLst>
        </xdr:cNvPr>
        <xdr:cNvGrpSpPr/>
      </xdr:nvGrpSpPr>
      <xdr:grpSpPr>
        <a:xfrm>
          <a:off x="7832201" y="15458067"/>
          <a:ext cx="1556961" cy="721647"/>
          <a:chOff x="8708571" y="12133035"/>
          <a:chExt cx="1704125" cy="830602"/>
        </a:xfrm>
      </xdr:grpSpPr>
      <xdr:sp macro="" textlink="">
        <xdr:nvSpPr>
          <xdr:cNvPr id="5" name="Rectangle 4">
            <a:extLst>
              <a:ext uri="{FF2B5EF4-FFF2-40B4-BE49-F238E27FC236}">
                <a16:creationId xmlns:a16="http://schemas.microsoft.com/office/drawing/2014/main" id="{ABD8550D-48BA-43D0-9BA0-A3B3F98D6E49}"/>
              </a:ext>
            </a:extLst>
          </xdr:cNvPr>
          <xdr:cNvSpPr/>
        </xdr:nvSpPr>
        <xdr:spPr>
          <a:xfrm>
            <a:off x="8912679" y="12235163"/>
            <a:ext cx="1500017" cy="728474"/>
          </a:xfrm>
          <a:prstGeom prst="rect">
            <a:avLst/>
          </a:prstGeom>
          <a:solidFill>
            <a:srgbClr val="6D969B"/>
          </a:solidFill>
          <a:ln w="6350" cap="flat" cmpd="sng" algn="ctr">
            <a:solidFill>
              <a:sysClr val="windowText" lastClr="000000"/>
            </a:solidFill>
            <a:prstDash val="solid"/>
            <a:miter lim="800000"/>
          </a:ln>
          <a:effectLst>
            <a:outerShdw blurRad="50800" dist="38100" dir="10800000" algn="r" rotWithShape="0">
              <a:prstClr val="black">
                <a:alpha val="40000"/>
              </a:prstClr>
            </a:outerShdw>
          </a:effectLst>
        </xdr:spPr>
        <xdr:txBody>
          <a:bodyPr vertOverflow="clip" horzOverflow="clip"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Hyundai Sans Head" panose="020B0504040000000000" pitchFamily="34" charset="0"/>
                <a:ea typeface="Hyundai Sans Head" panose="020B0504040000000000" pitchFamily="34" charset="0"/>
                <a:cs typeface="+mn-cs"/>
              </a:rPr>
              <a:t>Hoàn thành</a:t>
            </a:r>
          </a:p>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Hyundai Sans Head" panose="020B0504040000000000" pitchFamily="34" charset="0"/>
                <a:ea typeface="Hyundai Sans Head" panose="020B0504040000000000" pitchFamily="34" charset="0"/>
                <a:cs typeface="+mn-cs"/>
              </a:rPr>
              <a:t>KPI MKT</a:t>
            </a:r>
            <a:endParaRPr kumimoji="1" lang="ja-JP" altLang="en-US" sz="1400" b="0" i="0" u="none" strike="noStrike" kern="0" cap="none" spc="0" normalizeH="0" baseline="0" noProof="0">
              <a:ln>
                <a:noFill/>
              </a:ln>
              <a:solidFill>
                <a:schemeClr val="bg1"/>
              </a:solidFill>
              <a:effectLst/>
              <a:uLnTx/>
              <a:uFillTx/>
              <a:latin typeface="Hyundai Sans Head" panose="020B0504040000000000" pitchFamily="34" charset="0"/>
              <a:ea typeface="游ゴシック" panose="020B0400000000000000" pitchFamily="34" charset="-128"/>
              <a:cs typeface="+mn-cs"/>
            </a:endParaRPr>
          </a:p>
        </xdr:txBody>
      </xdr:sp>
      <xdr:pic>
        <xdr:nvPicPr>
          <xdr:cNvPr id="60" name="Graphic 59" descr="Checklist RTL">
            <a:extLst>
              <a:ext uri="{FF2B5EF4-FFF2-40B4-BE49-F238E27FC236}">
                <a16:creationId xmlns:a16="http://schemas.microsoft.com/office/drawing/2014/main" id="{641126BB-E678-17E5-E469-A287621A7C8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708571" y="12133035"/>
            <a:ext cx="619578" cy="583259"/>
          </a:xfrm>
          <a:prstGeom prst="rect">
            <a:avLst/>
          </a:prstGeom>
        </xdr:spPr>
      </xdr:pic>
    </xdr:grpSp>
    <xdr:clientData/>
  </xdr:twoCellAnchor>
  <xdr:twoCellAnchor>
    <xdr:from>
      <xdr:col>23</xdr:col>
      <xdr:colOff>336177</xdr:colOff>
      <xdr:row>21</xdr:row>
      <xdr:rowOff>0</xdr:rowOff>
    </xdr:from>
    <xdr:to>
      <xdr:col>36</xdr:col>
      <xdr:colOff>498040</xdr:colOff>
      <xdr:row>35</xdr:row>
      <xdr:rowOff>0</xdr:rowOff>
    </xdr:to>
    <xdr:graphicFrame macro="">
      <xdr:nvGraphicFramePr>
        <xdr:cNvPr id="20" name="Chart 19">
          <a:extLst>
            <a:ext uri="{FF2B5EF4-FFF2-40B4-BE49-F238E27FC236}">
              <a16:creationId xmlns:a16="http://schemas.microsoft.com/office/drawing/2014/main" id="{99B39750-023B-471C-82D1-889AA310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324924</xdr:colOff>
      <xdr:row>80</xdr:row>
      <xdr:rowOff>73269</xdr:rowOff>
    </xdr:from>
    <xdr:to>
      <xdr:col>24</xdr:col>
      <xdr:colOff>329712</xdr:colOff>
      <xdr:row>94</xdr:row>
      <xdr:rowOff>97452</xdr:rowOff>
    </xdr:to>
    <xdr:graphicFrame macro="">
      <xdr:nvGraphicFramePr>
        <xdr:cNvPr id="17" name="Chart 16">
          <a:extLst>
            <a:ext uri="{FF2B5EF4-FFF2-40B4-BE49-F238E27FC236}">
              <a16:creationId xmlns:a16="http://schemas.microsoft.com/office/drawing/2014/main" id="{23F94298-1E02-4E60-8E4F-636336A2F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136721</xdr:colOff>
      <xdr:row>2</xdr:row>
      <xdr:rowOff>2</xdr:rowOff>
    </xdr:from>
    <xdr:to>
      <xdr:col>23</xdr:col>
      <xdr:colOff>236329</xdr:colOff>
      <xdr:row>20</xdr:row>
      <xdr:rowOff>124510</xdr:rowOff>
    </xdr:to>
    <xdr:graphicFrame macro="">
      <xdr:nvGraphicFramePr>
        <xdr:cNvPr id="49" name="Chart 48">
          <a:extLst>
            <a:ext uri="{FF2B5EF4-FFF2-40B4-BE49-F238E27FC236}">
              <a16:creationId xmlns:a16="http://schemas.microsoft.com/office/drawing/2014/main" id="{BE8F76E7-E298-49B3-A745-8B8344AC9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242285</xdr:colOff>
      <xdr:row>1</xdr:row>
      <xdr:rowOff>174075</xdr:rowOff>
    </xdr:from>
    <xdr:to>
      <xdr:col>13</xdr:col>
      <xdr:colOff>560533</xdr:colOff>
      <xdr:row>2</xdr:row>
      <xdr:rowOff>198976</xdr:rowOff>
    </xdr:to>
    <xdr:sp macro="" textlink="">
      <xdr:nvSpPr>
        <xdr:cNvPr id="58" name="Rectangle: Folded Corner 57">
          <a:extLst>
            <a:ext uri="{FF2B5EF4-FFF2-40B4-BE49-F238E27FC236}">
              <a16:creationId xmlns:a16="http://schemas.microsoft.com/office/drawing/2014/main" id="{B0CEB960-CDA7-967F-AC5C-090E6F11B18D}"/>
            </a:ext>
          </a:extLst>
        </xdr:cNvPr>
        <xdr:cNvSpPr/>
      </xdr:nvSpPr>
      <xdr:spPr>
        <a:xfrm>
          <a:off x="4491900" y="271767"/>
          <a:ext cx="4128248" cy="256921"/>
        </a:xfrm>
        <a:prstGeom prst="foldedCorner">
          <a:avLst/>
        </a:prstGeom>
        <a:solidFill>
          <a:srgbClr val="6D969B"/>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TỔNG QUAN HOẠT ĐỘNG  MARKETING ĐẠI LÝ </a:t>
          </a:r>
          <a:endParaRPr kumimoji="1" lang="ja-JP" altLang="en-US" sz="1600" b="1">
            <a:latin typeface="Hyundai Sans Head" panose="020B0504040000000000" pitchFamily="34" charset="0"/>
          </a:endParaRPr>
        </a:p>
      </xdr:txBody>
    </xdr:sp>
    <xdr:clientData/>
  </xdr:twoCellAnchor>
  <xdr:twoCellAnchor>
    <xdr:from>
      <xdr:col>23</xdr:col>
      <xdr:colOff>308569</xdr:colOff>
      <xdr:row>1</xdr:row>
      <xdr:rowOff>199141</xdr:rowOff>
    </xdr:from>
    <xdr:to>
      <xdr:col>36</xdr:col>
      <xdr:colOff>498044</xdr:colOff>
      <xdr:row>20</xdr:row>
      <xdr:rowOff>124508</xdr:rowOff>
    </xdr:to>
    <xdr:grpSp>
      <xdr:nvGrpSpPr>
        <xdr:cNvPr id="63" name="Group 62">
          <a:extLst>
            <a:ext uri="{FF2B5EF4-FFF2-40B4-BE49-F238E27FC236}">
              <a16:creationId xmlns:a16="http://schemas.microsoft.com/office/drawing/2014/main" id="{2F45B0E8-89FD-0FD7-5951-5310029F5FF2}"/>
            </a:ext>
          </a:extLst>
        </xdr:cNvPr>
        <xdr:cNvGrpSpPr/>
      </xdr:nvGrpSpPr>
      <xdr:grpSpPr>
        <a:xfrm>
          <a:off x="14335013" y="282679"/>
          <a:ext cx="7710698" cy="3736496"/>
          <a:chOff x="12675185" y="583159"/>
          <a:chExt cx="6204829" cy="4212166"/>
        </a:xfrm>
      </xdr:grpSpPr>
      <xdr:graphicFrame macro="">
        <xdr:nvGraphicFramePr>
          <xdr:cNvPr id="8" name="Chart 7">
            <a:extLst>
              <a:ext uri="{FF2B5EF4-FFF2-40B4-BE49-F238E27FC236}">
                <a16:creationId xmlns:a16="http://schemas.microsoft.com/office/drawing/2014/main" id="{37317093-0A63-44A2-ADA6-AAE88DB103C7}"/>
              </a:ext>
            </a:extLst>
          </xdr:cNvPr>
          <xdr:cNvGraphicFramePr>
            <a:graphicFrameLocks/>
          </xdr:cNvGraphicFramePr>
        </xdr:nvGraphicFramePr>
        <xdr:xfrm>
          <a:off x="12696037" y="583159"/>
          <a:ext cx="6183977" cy="4212166"/>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61" name="Rectangle: Folded Corner 60">
            <a:extLst>
              <a:ext uri="{FF2B5EF4-FFF2-40B4-BE49-F238E27FC236}">
                <a16:creationId xmlns:a16="http://schemas.microsoft.com/office/drawing/2014/main" id="{4A1E91A2-5406-4EAC-A3D3-55343E85296A}"/>
              </a:ext>
            </a:extLst>
          </xdr:cNvPr>
          <xdr:cNvSpPr/>
        </xdr:nvSpPr>
        <xdr:spPr>
          <a:xfrm>
            <a:off x="12675185" y="583236"/>
            <a:ext cx="3524072" cy="244740"/>
          </a:xfrm>
          <a:prstGeom prst="foldedCorner">
            <a:avLst/>
          </a:prstGeom>
          <a:solidFill>
            <a:srgbClr val="6D969B"/>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CHI TIẾT HOẠT ĐỘNG MARKETING THEO TỪNG ĐẠI LÝ </a:t>
            </a:r>
            <a:endParaRPr kumimoji="1" lang="ja-JP" altLang="en-US" sz="1600" b="1">
              <a:latin typeface="Hyundai Sans Head" panose="020B0504040000000000" pitchFamily="34" charset="0"/>
            </a:endParaRPr>
          </a:p>
        </xdr:txBody>
      </xdr:sp>
    </xdr:grpSp>
    <xdr:clientData/>
  </xdr:twoCellAnchor>
  <xdr:twoCellAnchor>
    <xdr:from>
      <xdr:col>16</xdr:col>
      <xdr:colOff>87157</xdr:colOff>
      <xdr:row>20</xdr:row>
      <xdr:rowOff>260994</xdr:rowOff>
    </xdr:from>
    <xdr:to>
      <xdr:col>23</xdr:col>
      <xdr:colOff>236570</xdr:colOff>
      <xdr:row>35</xdr:row>
      <xdr:rowOff>12452</xdr:rowOff>
    </xdr:to>
    <xdr:grpSp>
      <xdr:nvGrpSpPr>
        <xdr:cNvPr id="65" name="Group 64">
          <a:extLst>
            <a:ext uri="{FF2B5EF4-FFF2-40B4-BE49-F238E27FC236}">
              <a16:creationId xmlns:a16="http://schemas.microsoft.com/office/drawing/2014/main" id="{02C8A086-96FF-D846-AB6C-175D89CF2501}"/>
            </a:ext>
          </a:extLst>
        </xdr:cNvPr>
        <xdr:cNvGrpSpPr/>
      </xdr:nvGrpSpPr>
      <xdr:grpSpPr>
        <a:xfrm>
          <a:off x="10063713" y="4155661"/>
          <a:ext cx="4199301" cy="3660235"/>
          <a:chOff x="18091388" y="203211"/>
          <a:chExt cx="4382737" cy="4148266"/>
        </a:xfrm>
      </xdr:grpSpPr>
      <xdr:graphicFrame macro="">
        <xdr:nvGraphicFramePr>
          <xdr:cNvPr id="62" name="Chart 61">
            <a:extLst>
              <a:ext uri="{FF2B5EF4-FFF2-40B4-BE49-F238E27FC236}">
                <a16:creationId xmlns:a16="http://schemas.microsoft.com/office/drawing/2014/main" id="{3384DAC5-844B-4E2E-844D-5E65E1EA0A8B}"/>
              </a:ext>
            </a:extLst>
          </xdr:cNvPr>
          <xdr:cNvGraphicFramePr>
            <a:graphicFrameLocks/>
          </xdr:cNvGraphicFramePr>
        </xdr:nvGraphicFramePr>
        <xdr:xfrm>
          <a:off x="18114625" y="220500"/>
          <a:ext cx="4359500" cy="4130977"/>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64" name="Rectangle: Folded Corner 63">
            <a:extLst>
              <a:ext uri="{FF2B5EF4-FFF2-40B4-BE49-F238E27FC236}">
                <a16:creationId xmlns:a16="http://schemas.microsoft.com/office/drawing/2014/main" id="{7296DE20-7FAD-4EA4-AE1F-1C3B6FD4EC38}"/>
              </a:ext>
            </a:extLst>
          </xdr:cNvPr>
          <xdr:cNvSpPr/>
        </xdr:nvSpPr>
        <xdr:spPr>
          <a:xfrm>
            <a:off x="18091388" y="203211"/>
            <a:ext cx="2627157" cy="273921"/>
          </a:xfrm>
          <a:prstGeom prst="foldedCorner">
            <a:avLst/>
          </a:prstGeom>
          <a:solidFill>
            <a:srgbClr val="6D969B"/>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CHI PHÍ MARKETING ĐẠI LÝ </a:t>
            </a:r>
            <a:endParaRPr kumimoji="1" lang="ja-JP" altLang="en-US" sz="1600" b="1">
              <a:latin typeface="Hyundai Sans Head" panose="020B0504040000000000" pitchFamily="34" charset="0"/>
            </a:endParaRPr>
          </a:p>
        </xdr:txBody>
      </xdr:sp>
    </xdr:grpSp>
    <xdr:clientData/>
  </xdr:twoCellAnchor>
  <xdr:twoCellAnchor>
    <xdr:from>
      <xdr:col>7</xdr:col>
      <xdr:colOff>211666</xdr:colOff>
      <xdr:row>21</xdr:row>
      <xdr:rowOff>1</xdr:rowOff>
    </xdr:from>
    <xdr:to>
      <xdr:col>16</xdr:col>
      <xdr:colOff>49803</xdr:colOff>
      <xdr:row>35</xdr:row>
      <xdr:rowOff>12450</xdr:rowOff>
    </xdr:to>
    <xdr:graphicFrame macro="">
      <xdr:nvGraphicFramePr>
        <xdr:cNvPr id="67" name="Chart 66">
          <a:extLst>
            <a:ext uri="{FF2B5EF4-FFF2-40B4-BE49-F238E27FC236}">
              <a16:creationId xmlns:a16="http://schemas.microsoft.com/office/drawing/2014/main" id="{A7FE9F9A-54FC-4D26-A096-0C05DD114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xdr:col>
      <xdr:colOff>224118</xdr:colOff>
      <xdr:row>2</xdr:row>
      <xdr:rowOff>211667</xdr:rowOff>
    </xdr:from>
    <xdr:to>
      <xdr:col>16</xdr:col>
      <xdr:colOff>74706</xdr:colOff>
      <xdr:row>20</xdr:row>
      <xdr:rowOff>149411</xdr:rowOff>
    </xdr:to>
    <mc:AlternateContent xmlns:mc="http://schemas.openxmlformats.org/markup-compatibility/2006">
      <mc:Choice xmlns:cx1="http://schemas.microsoft.com/office/drawing/2015/9/8/chartex" Requires="cx1">
        <xdr:graphicFrame macro="">
          <xdr:nvGraphicFramePr>
            <xdr:cNvPr id="68" name="Chart 67">
              <a:extLst>
                <a:ext uri="{FF2B5EF4-FFF2-40B4-BE49-F238E27FC236}">
                  <a16:creationId xmlns:a16="http://schemas.microsoft.com/office/drawing/2014/main" id="{8B07D213-D4AE-429F-97FA-43432E730D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xfrm>
              <a:off x="4956138" y="463127"/>
              <a:ext cx="4994088" cy="35724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120764</xdr:colOff>
      <xdr:row>1</xdr:row>
      <xdr:rowOff>223640</xdr:rowOff>
    </xdr:from>
    <xdr:to>
      <xdr:col>21</xdr:col>
      <xdr:colOff>236808</xdr:colOff>
      <xdr:row>3</xdr:row>
      <xdr:rowOff>7062</xdr:rowOff>
    </xdr:to>
    <xdr:sp macro="" textlink="">
      <xdr:nvSpPr>
        <xdr:cNvPr id="69" name="Rectangle: Folded Corner 68">
          <a:extLst>
            <a:ext uri="{FF2B5EF4-FFF2-40B4-BE49-F238E27FC236}">
              <a16:creationId xmlns:a16="http://schemas.microsoft.com/office/drawing/2014/main" id="{65530193-F0EC-4943-8336-4C7FC3094804}"/>
            </a:ext>
          </a:extLst>
        </xdr:cNvPr>
        <xdr:cNvSpPr/>
      </xdr:nvSpPr>
      <xdr:spPr>
        <a:xfrm>
          <a:off x="10085379" y="321332"/>
          <a:ext cx="3291044" cy="247461"/>
        </a:xfrm>
        <a:prstGeom prst="foldedCorner">
          <a:avLst/>
        </a:prstGeom>
        <a:solidFill>
          <a:srgbClr val="6D969B"/>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SL HOẠT ĐỘNG MARKETING ĐẠI LÝ </a:t>
          </a:r>
          <a:endParaRPr kumimoji="1" lang="ja-JP" altLang="en-US" sz="1600" b="1">
            <a:latin typeface="Hyundai Sans Head" panose="020B0504040000000000" pitchFamily="34" charset="0"/>
          </a:endParaRPr>
        </a:p>
      </xdr:txBody>
    </xdr:sp>
    <xdr:clientData/>
  </xdr:twoCellAnchor>
  <xdr:twoCellAnchor>
    <xdr:from>
      <xdr:col>0</xdr:col>
      <xdr:colOff>134327</xdr:colOff>
      <xdr:row>56</xdr:row>
      <xdr:rowOff>0</xdr:rowOff>
    </xdr:from>
    <xdr:to>
      <xdr:col>4</xdr:col>
      <xdr:colOff>525097</xdr:colOff>
      <xdr:row>57</xdr:row>
      <xdr:rowOff>134327</xdr:rowOff>
    </xdr:to>
    <xdr:sp macro="" textlink="">
      <xdr:nvSpPr>
        <xdr:cNvPr id="34" name="Rectangle 33">
          <a:extLst>
            <a:ext uri="{FF2B5EF4-FFF2-40B4-BE49-F238E27FC236}">
              <a16:creationId xmlns:a16="http://schemas.microsoft.com/office/drawing/2014/main" id="{3715D5CD-1A00-42F2-BBEF-A666ABE6EAF6}"/>
            </a:ext>
          </a:extLst>
        </xdr:cNvPr>
        <xdr:cNvSpPr/>
      </xdr:nvSpPr>
      <xdr:spPr>
        <a:xfrm>
          <a:off x="134327" y="13469327"/>
          <a:ext cx="2735385" cy="366346"/>
        </a:xfrm>
        <a:prstGeom prst="rect">
          <a:avLst/>
        </a:prstGeom>
        <a:solidFill>
          <a:srgbClr val="6D969B"/>
        </a:solidFill>
        <a:effectLst>
          <a:outerShdw blurRad="50800" dist="38100" dir="10800000" algn="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l"/>
          <a:r>
            <a:rPr kumimoji="1" lang="en-US" altLang="ja-JP" sz="1400" baseline="0">
              <a:solidFill>
                <a:schemeClr val="bg1"/>
              </a:solidFill>
              <a:latin typeface="Hyundai Sans Head" panose="020B0504040000000000" pitchFamily="34" charset="0"/>
              <a:ea typeface="Hyundai Sans Head" panose="020B0504040000000000" pitchFamily="34" charset="0"/>
            </a:rPr>
            <a:t>Hiệu quả MKT theo từng tháng</a:t>
          </a:r>
          <a:endParaRPr kumimoji="1" lang="ja-JP" altLang="en-US" sz="1400">
            <a:solidFill>
              <a:schemeClr val="bg1"/>
            </a:solidFill>
            <a:latin typeface="Hyundai Sans Head" panose="020B0504040000000000" pitchFamily="34" charset="0"/>
          </a:endParaRPr>
        </a:p>
      </xdr:txBody>
    </xdr:sp>
    <xdr:clientData/>
  </xdr:twoCellAnchor>
  <xdr:twoCellAnchor>
    <xdr:from>
      <xdr:col>0</xdr:col>
      <xdr:colOff>61057</xdr:colOff>
      <xdr:row>80</xdr:row>
      <xdr:rowOff>85480</xdr:rowOff>
    </xdr:from>
    <xdr:to>
      <xdr:col>12</xdr:col>
      <xdr:colOff>232019</xdr:colOff>
      <xdr:row>94</xdr:row>
      <xdr:rowOff>85479</xdr:rowOff>
    </xdr:to>
    <xdr:graphicFrame macro="">
      <xdr:nvGraphicFramePr>
        <xdr:cNvPr id="35" name="Chart 34">
          <a:extLst>
            <a:ext uri="{FF2B5EF4-FFF2-40B4-BE49-F238E27FC236}">
              <a16:creationId xmlns:a16="http://schemas.microsoft.com/office/drawing/2014/main" id="{9B148838-272B-426D-B032-F0808BF99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201829</xdr:colOff>
      <xdr:row>76</xdr:row>
      <xdr:rowOff>156961</xdr:rowOff>
    </xdr:from>
    <xdr:to>
      <xdr:col>2</xdr:col>
      <xdr:colOff>598366</xdr:colOff>
      <xdr:row>79</xdr:row>
      <xdr:rowOff>218258</xdr:rowOff>
    </xdr:to>
    <xdr:sp macro="" textlink="">
      <xdr:nvSpPr>
        <xdr:cNvPr id="45" name="Rectangle 44">
          <a:extLst>
            <a:ext uri="{FF2B5EF4-FFF2-40B4-BE49-F238E27FC236}">
              <a16:creationId xmlns:a16="http://schemas.microsoft.com/office/drawing/2014/main" id="{EE9B09E1-DB04-75B3-D7DA-D563E4F5160F}"/>
            </a:ext>
          </a:extLst>
        </xdr:cNvPr>
        <xdr:cNvSpPr/>
      </xdr:nvSpPr>
      <xdr:spPr>
        <a:xfrm>
          <a:off x="201829" y="17863692"/>
          <a:ext cx="1471152" cy="684085"/>
        </a:xfrm>
        <a:prstGeom prst="rect">
          <a:avLst/>
        </a:prstGeom>
        <a:solidFill>
          <a:srgbClr val="6D969B"/>
        </a:solidFill>
        <a:ln w="6350" cap="flat" cmpd="sng" algn="ctr">
          <a:solidFill>
            <a:sysClr val="windowText" lastClr="000000"/>
          </a:solidFill>
          <a:prstDash val="solid"/>
          <a:miter lim="800000"/>
        </a:ln>
        <a:effectLst>
          <a:outerShdw blurRad="50800" dist="38100" dir="10800000" algn="r" rotWithShape="0">
            <a:prstClr val="black">
              <a:alpha val="40000"/>
            </a:prstClr>
          </a:outerShdw>
        </a:effectLst>
      </xdr:spPr>
      <xdr:txBody>
        <a:bodyPr vertOverflow="clip" horzOverflow="clip"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0" cap="none" spc="0" normalizeH="0" baseline="0" noProof="0">
              <a:ln>
                <a:noFill/>
              </a:ln>
              <a:solidFill>
                <a:schemeClr val="bg1"/>
              </a:solidFill>
              <a:effectLst/>
              <a:uLnTx/>
              <a:uFillTx/>
              <a:latin typeface="Hyundai Sans Head" panose="020B0504040000000000" pitchFamily="34" charset="0"/>
              <a:ea typeface="Hyundai Sans Head" panose="020B0504040000000000" pitchFamily="34" charset="0"/>
              <a:cs typeface="+mn-cs"/>
            </a:rPr>
            <a:t>Chi phí MKT</a:t>
          </a:r>
          <a:endParaRPr kumimoji="1" lang="ja-JP" altLang="en-US" sz="1400" b="0" i="0" u="none" strike="noStrike" kern="0" cap="none" spc="0" normalizeH="0" baseline="0" noProof="0">
            <a:ln>
              <a:noFill/>
            </a:ln>
            <a:solidFill>
              <a:schemeClr val="bg1"/>
            </a:solidFill>
            <a:effectLst/>
            <a:uLnTx/>
            <a:uFillTx/>
            <a:latin typeface="Hyundai Sans Head" panose="020B0504040000000000" pitchFamily="34" charset="0"/>
            <a:ea typeface="游ゴシック" panose="020B0400000000000000" pitchFamily="34" charset="-128"/>
            <a:cs typeface="+mn-cs"/>
          </a:endParaRPr>
        </a:p>
      </xdr:txBody>
    </xdr:sp>
    <xdr:clientData/>
  </xdr:twoCellAnchor>
  <xdr:twoCellAnchor editAs="oneCell">
    <xdr:from>
      <xdr:col>0</xdr:col>
      <xdr:colOff>12209</xdr:colOff>
      <xdr:row>74</xdr:row>
      <xdr:rowOff>36634</xdr:rowOff>
    </xdr:from>
    <xdr:to>
      <xdr:col>1</xdr:col>
      <xdr:colOff>207594</xdr:colOff>
      <xdr:row>78</xdr:row>
      <xdr:rowOff>219807</xdr:rowOff>
    </xdr:to>
    <xdr:pic>
      <xdr:nvPicPr>
        <xdr:cNvPr id="48" name="Graphic 47" descr="Wallet">
          <a:extLst>
            <a:ext uri="{FF2B5EF4-FFF2-40B4-BE49-F238E27FC236}">
              <a16:creationId xmlns:a16="http://schemas.microsoft.com/office/drawing/2014/main" id="{4645AF2C-B751-C1A6-C215-AC9E5015DF2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2209" y="17682307"/>
          <a:ext cx="635000" cy="635000"/>
        </a:xfrm>
        <a:prstGeom prst="rect">
          <a:avLst/>
        </a:prstGeom>
      </xdr:spPr>
    </xdr:pic>
    <xdr:clientData/>
  </xdr:twoCellAnchor>
  <xdr:twoCellAnchor>
    <xdr:from>
      <xdr:col>0</xdr:col>
      <xdr:colOff>129351</xdr:colOff>
      <xdr:row>57</xdr:row>
      <xdr:rowOff>164629</xdr:rowOff>
    </xdr:from>
    <xdr:to>
      <xdr:col>24</xdr:col>
      <xdr:colOff>317499</xdr:colOff>
      <xdr:row>73</xdr:row>
      <xdr:rowOff>58796</xdr:rowOff>
    </xdr:to>
    <xdr:graphicFrame macro="">
      <xdr:nvGraphicFramePr>
        <xdr:cNvPr id="29" name="Chart 28">
          <a:extLst>
            <a:ext uri="{FF2B5EF4-FFF2-40B4-BE49-F238E27FC236}">
              <a16:creationId xmlns:a16="http://schemas.microsoft.com/office/drawing/2014/main" id="{53E31615-BE71-442A-AAEA-904AF581F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0.0013</cdr:x>
      <cdr:y>0</cdr:y>
    </cdr:from>
    <cdr:to>
      <cdr:x>0.51331</cdr:x>
      <cdr:y>0.0566</cdr:y>
    </cdr:to>
    <cdr:sp macro="" textlink="">
      <cdr:nvSpPr>
        <cdr:cNvPr id="2" name="Rectangle: Folded Corner 1">
          <a:extLst xmlns:a="http://schemas.openxmlformats.org/drawingml/2006/main">
            <a:ext uri="{FF2B5EF4-FFF2-40B4-BE49-F238E27FC236}">
              <a16:creationId xmlns:a16="http://schemas.microsoft.com/office/drawing/2014/main" id="{F06D109A-AA22-CD5A-0370-689FD0FF10F3}"/>
            </a:ext>
          </a:extLst>
        </cdr:cNvPr>
        <cdr:cNvSpPr/>
      </cdr:nvSpPr>
      <cdr:spPr>
        <a:xfrm xmlns:a="http://schemas.openxmlformats.org/drawingml/2006/main">
          <a:off x="10943" y="0"/>
          <a:ext cx="4309548" cy="224118"/>
        </a:xfrm>
        <a:prstGeom xmlns:a="http://schemas.openxmlformats.org/drawingml/2006/main" prst="foldedCorner">
          <a:avLst/>
        </a:prstGeom>
        <a:solidFill xmlns:a="http://schemas.openxmlformats.org/drawingml/2006/main">
          <a:srgbClr val="6D969B"/>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GB" altLang="ja-JP" sz="1400" b="1">
              <a:solidFill>
                <a:schemeClr val="lt1"/>
              </a:solidFill>
              <a:effectLst/>
              <a:latin typeface="Hyundai Sans Head" panose="020B0504040000000000" pitchFamily="34" charset="0"/>
              <a:ea typeface="Hyundai Sans Head" panose="020B0504040000000000" pitchFamily="34" charset="0"/>
              <a:cs typeface="+mn-cs"/>
            </a:rPr>
            <a:t>CHI TIẾT</a:t>
          </a:r>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 </a:t>
          </a:r>
          <a:r>
            <a:rPr lang="en-GB" altLang="ja-JP" sz="1400" b="1">
              <a:solidFill>
                <a:schemeClr val="lt1"/>
              </a:solidFill>
              <a:effectLst/>
              <a:latin typeface="Hyundai Sans Head" panose="020B0504040000000000" pitchFamily="34" charset="0"/>
              <a:ea typeface="Hyundai Sans Head" panose="020B0504040000000000" pitchFamily="34" charset="0"/>
              <a:cs typeface="+mn-cs"/>
            </a:rPr>
            <a:t>KÊNH</a:t>
          </a:r>
          <a:r>
            <a:rPr lang="en-GB" altLang="ja-JP" sz="1400" b="1" baseline="0">
              <a:solidFill>
                <a:schemeClr val="lt1"/>
              </a:solidFill>
              <a:effectLst/>
              <a:latin typeface="Hyundai Sans Head" panose="020B0504040000000000" pitchFamily="34" charset="0"/>
              <a:ea typeface="Hyundai Sans Head" panose="020B0504040000000000" pitchFamily="34" charset="0"/>
              <a:cs typeface="+mn-cs"/>
            </a:rPr>
            <a:t> MARKETING ĐẠI LÝ TRIỂN KHAI</a:t>
          </a:r>
          <a:endParaRPr kumimoji="1" lang="ja-JP" altLang="en-US" sz="1600" b="1">
            <a:latin typeface="Hyundai Sans Head" panose="020B0504040000000000"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0.00305</cdr:y>
    </cdr:from>
    <cdr:to>
      <cdr:x>0.56092</cdr:x>
      <cdr:y>0.07012</cdr:y>
    </cdr:to>
    <cdr:sp macro="" textlink="">
      <cdr:nvSpPr>
        <cdr:cNvPr id="2" name="Rectangle: Folded Corner 1">
          <a:extLst xmlns:a="http://schemas.openxmlformats.org/drawingml/2006/main">
            <a:ext uri="{FF2B5EF4-FFF2-40B4-BE49-F238E27FC236}">
              <a16:creationId xmlns:a16="http://schemas.microsoft.com/office/drawing/2014/main" id="{D2216AB3-22D9-7B6B-3096-40C85EC497C6}"/>
            </a:ext>
          </a:extLst>
        </cdr:cNvPr>
        <cdr:cNvSpPr/>
      </cdr:nvSpPr>
      <cdr:spPr>
        <a:xfrm xmlns:a="http://schemas.openxmlformats.org/drawingml/2006/main">
          <a:off x="0" y="12452"/>
          <a:ext cx="3156770" cy="273920"/>
        </a:xfrm>
        <a:prstGeom xmlns:a="http://schemas.openxmlformats.org/drawingml/2006/main" prst="foldedCorner">
          <a:avLst/>
        </a:prstGeom>
        <a:solidFill xmlns:a="http://schemas.openxmlformats.org/drawingml/2006/main">
          <a:srgbClr val="6D969B"/>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kumimoji="1" lang="en-US" altLang="ja-JP" sz="1400" b="1">
              <a:latin typeface="Hyundai Sans Head" panose="020B0504040000000000" pitchFamily="34" charset="0"/>
              <a:ea typeface="Hyundai Sans Head" panose="020B0504040000000000" pitchFamily="34" charset="0"/>
            </a:rPr>
            <a:t>CHI</a:t>
          </a:r>
          <a:r>
            <a:rPr kumimoji="1" lang="en-US" altLang="ja-JP" sz="1400" b="1" baseline="0">
              <a:latin typeface="Hyundai Sans Head" panose="020B0504040000000000" pitchFamily="34" charset="0"/>
              <a:ea typeface="Hyundai Sans Head" panose="020B0504040000000000" pitchFamily="34" charset="0"/>
            </a:rPr>
            <a:t> PHÍ &amp; DATA </a:t>
          </a:r>
          <a:r>
            <a:rPr kumimoji="1" lang="en-US" altLang="ja-JP" sz="1400" b="1">
              <a:latin typeface="Hyundai Sans Head" panose="020B0504040000000000" pitchFamily="34" charset="0"/>
              <a:ea typeface="Hyundai Sans Head" panose="020B0504040000000000" pitchFamily="34" charset="0"/>
            </a:rPr>
            <a:t>THEO</a:t>
          </a:r>
          <a:r>
            <a:rPr kumimoji="1" lang="en-US" altLang="ja-JP" sz="1400" b="1" baseline="0">
              <a:latin typeface="Hyundai Sans Head" panose="020B0504040000000000" pitchFamily="34" charset="0"/>
              <a:ea typeface="Hyundai Sans Head" panose="020B0504040000000000" pitchFamily="34" charset="0"/>
            </a:rPr>
            <a:t> KÊNH QC</a:t>
          </a:r>
          <a:endParaRPr kumimoji="1" lang="ja-JP" altLang="en-US" sz="1400" b="1">
            <a:latin typeface="Hyundai Sans Head" panose="020B0504040000000000"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549274</xdr:colOff>
      <xdr:row>6</xdr:row>
      <xdr:rowOff>46692</xdr:rowOff>
    </xdr:from>
    <xdr:to>
      <xdr:col>16</xdr:col>
      <xdr:colOff>1120587</xdr:colOff>
      <xdr:row>20</xdr:row>
      <xdr:rowOff>168089</xdr:rowOff>
    </xdr:to>
    <xdr:graphicFrame macro="">
      <xdr:nvGraphicFramePr>
        <xdr:cNvPr id="3" name="Chart 2">
          <a:extLst>
            <a:ext uri="{FF2B5EF4-FFF2-40B4-BE49-F238E27FC236}">
              <a16:creationId xmlns:a16="http://schemas.microsoft.com/office/drawing/2014/main" id="{ADC02F4A-7008-E3BE-1ED3-885E16A04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619126</xdr:colOff>
      <xdr:row>48</xdr:row>
      <xdr:rowOff>26334</xdr:rowOff>
    </xdr:from>
    <xdr:to>
      <xdr:col>9</xdr:col>
      <xdr:colOff>757331</xdr:colOff>
      <xdr:row>60</xdr:row>
      <xdr:rowOff>80121</xdr:rowOff>
    </xdr:to>
    <xdr:graphicFrame macro="">
      <xdr:nvGraphicFramePr>
        <xdr:cNvPr id="4" name="Chart 3">
          <a:extLst>
            <a:ext uri="{FF2B5EF4-FFF2-40B4-BE49-F238E27FC236}">
              <a16:creationId xmlns:a16="http://schemas.microsoft.com/office/drawing/2014/main" id="{08149D5A-CEFE-C91C-F026-E4FEE2609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221316</xdr:colOff>
      <xdr:row>36</xdr:row>
      <xdr:rowOff>201892</xdr:rowOff>
    </xdr:from>
    <xdr:to>
      <xdr:col>14</xdr:col>
      <xdr:colOff>451037</xdr:colOff>
      <xdr:row>49</xdr:row>
      <xdr:rowOff>31563</xdr:rowOff>
    </xdr:to>
    <xdr:graphicFrame macro="">
      <xdr:nvGraphicFramePr>
        <xdr:cNvPr id="5" name="Chart 4">
          <a:extLst>
            <a:ext uri="{FF2B5EF4-FFF2-40B4-BE49-F238E27FC236}">
              <a16:creationId xmlns:a16="http://schemas.microsoft.com/office/drawing/2014/main" id="{FFEA4BC1-F4F8-485F-D300-8A8A55228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426751</xdr:colOff>
      <xdr:row>36</xdr:row>
      <xdr:rowOff>183216</xdr:rowOff>
    </xdr:from>
    <xdr:to>
      <xdr:col>25</xdr:col>
      <xdr:colOff>1083415</xdr:colOff>
      <xdr:row>49</xdr:row>
      <xdr:rowOff>12887</xdr:rowOff>
    </xdr:to>
    <xdr:graphicFrame macro="">
      <xdr:nvGraphicFramePr>
        <xdr:cNvPr id="6" name="Chart 5">
          <a:extLst>
            <a:ext uri="{FF2B5EF4-FFF2-40B4-BE49-F238E27FC236}">
              <a16:creationId xmlns:a16="http://schemas.microsoft.com/office/drawing/2014/main" id="{AFF82553-64DA-1C79-7483-F81F29DDD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1207432</xdr:colOff>
      <xdr:row>54</xdr:row>
      <xdr:rowOff>103544</xdr:rowOff>
    </xdr:from>
    <xdr:to>
      <xdr:col>15</xdr:col>
      <xdr:colOff>418351</xdr:colOff>
      <xdr:row>66</xdr:row>
      <xdr:rowOff>127748</xdr:rowOff>
    </xdr:to>
    <xdr:graphicFrame macro="">
      <xdr:nvGraphicFramePr>
        <xdr:cNvPr id="8" name="Chart 7">
          <a:extLst>
            <a:ext uri="{FF2B5EF4-FFF2-40B4-BE49-F238E27FC236}">
              <a16:creationId xmlns:a16="http://schemas.microsoft.com/office/drawing/2014/main" id="{B27BEBB2-A7C2-6C5F-018D-591A28C14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28015</xdr:colOff>
      <xdr:row>68</xdr:row>
      <xdr:rowOff>29137</xdr:rowOff>
    </xdr:from>
    <xdr:to>
      <xdr:col>24</xdr:col>
      <xdr:colOff>86847</xdr:colOff>
      <xdr:row>80</xdr:row>
      <xdr:rowOff>82924</xdr:rowOff>
    </xdr:to>
    <xdr:graphicFrame macro="">
      <xdr:nvGraphicFramePr>
        <xdr:cNvPr id="9" name="Chart 8">
          <a:extLst>
            <a:ext uri="{FF2B5EF4-FFF2-40B4-BE49-F238E27FC236}">
              <a16:creationId xmlns:a16="http://schemas.microsoft.com/office/drawing/2014/main" id="{0374791E-8F23-7522-B012-15DEF977A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286684</xdr:colOff>
      <xdr:row>102</xdr:row>
      <xdr:rowOff>19797</xdr:rowOff>
    </xdr:from>
    <xdr:to>
      <xdr:col>7</xdr:col>
      <xdr:colOff>1254125</xdr:colOff>
      <xdr:row>114</xdr:row>
      <xdr:rowOff>73585</xdr:rowOff>
    </xdr:to>
    <xdr:graphicFrame macro="">
      <xdr:nvGraphicFramePr>
        <xdr:cNvPr id="10" name="Chart 9">
          <a:extLst>
            <a:ext uri="{FF2B5EF4-FFF2-40B4-BE49-F238E27FC236}">
              <a16:creationId xmlns:a16="http://schemas.microsoft.com/office/drawing/2014/main" id="{ABB84097-FEFF-F5A8-4B75-D5C1C59B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996388</xdr:colOff>
      <xdr:row>115</xdr:row>
      <xdr:rowOff>1120</xdr:rowOff>
    </xdr:from>
    <xdr:to>
      <xdr:col>19</xdr:col>
      <xdr:colOff>74705</xdr:colOff>
      <xdr:row>127</xdr:row>
      <xdr:rowOff>54908</xdr:rowOff>
    </xdr:to>
    <xdr:graphicFrame macro="">
      <xdr:nvGraphicFramePr>
        <xdr:cNvPr id="14" name="Chart 13">
          <a:extLst>
            <a:ext uri="{FF2B5EF4-FFF2-40B4-BE49-F238E27FC236}">
              <a16:creationId xmlns:a16="http://schemas.microsoft.com/office/drawing/2014/main" id="{1A795AF5-8224-FDD1-A3D0-6D2CC82D7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1005726</xdr:colOff>
      <xdr:row>115</xdr:row>
      <xdr:rowOff>19799</xdr:rowOff>
    </xdr:from>
    <xdr:to>
      <xdr:col>12</xdr:col>
      <xdr:colOff>233454</xdr:colOff>
      <xdr:row>132</xdr:row>
      <xdr:rowOff>84045</xdr:rowOff>
    </xdr:to>
    <xdr:graphicFrame macro="">
      <xdr:nvGraphicFramePr>
        <xdr:cNvPr id="15" name="Chart 14">
          <a:extLst>
            <a:ext uri="{FF2B5EF4-FFF2-40B4-BE49-F238E27FC236}">
              <a16:creationId xmlns:a16="http://schemas.microsoft.com/office/drawing/2014/main" id="{1ECF68F5-D8C5-0C1C-31CB-B22F5726E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667683</xdr:colOff>
      <xdr:row>51</xdr:row>
      <xdr:rowOff>38474</xdr:rowOff>
    </xdr:from>
    <xdr:to>
      <xdr:col>23</xdr:col>
      <xdr:colOff>198905</xdr:colOff>
      <xdr:row>63</xdr:row>
      <xdr:rowOff>92262</xdr:rowOff>
    </xdr:to>
    <xdr:graphicFrame macro="">
      <xdr:nvGraphicFramePr>
        <xdr:cNvPr id="2" name="Chart 1">
          <a:extLst>
            <a:ext uri="{FF2B5EF4-FFF2-40B4-BE49-F238E27FC236}">
              <a16:creationId xmlns:a16="http://schemas.microsoft.com/office/drawing/2014/main" id="{1B859C74-9C32-335C-D270-83945CF07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11205</xdr:colOff>
      <xdr:row>49</xdr:row>
      <xdr:rowOff>93383</xdr:rowOff>
    </xdr:from>
    <xdr:to>
      <xdr:col>39</xdr:col>
      <xdr:colOff>1671544</xdr:colOff>
      <xdr:row>63</xdr:row>
      <xdr:rowOff>185644</xdr:rowOff>
    </xdr:to>
    <xdr:graphicFrame macro="">
      <xdr:nvGraphicFramePr>
        <xdr:cNvPr id="12" name="Chart 11">
          <a:extLst>
            <a:ext uri="{FF2B5EF4-FFF2-40B4-BE49-F238E27FC236}">
              <a16:creationId xmlns:a16="http://schemas.microsoft.com/office/drawing/2014/main" id="{58495DB5-CBB2-0F85-6BF0-4A5484030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758265</xdr:colOff>
      <xdr:row>23</xdr:row>
      <xdr:rowOff>187886</xdr:rowOff>
    </xdr:from>
    <xdr:to>
      <xdr:col>20</xdr:col>
      <xdr:colOff>373529</xdr:colOff>
      <xdr:row>36</xdr:row>
      <xdr:rowOff>0</xdr:rowOff>
    </xdr:to>
    <xdr:graphicFrame macro="">
      <xdr:nvGraphicFramePr>
        <xdr:cNvPr id="13" name="Chart 12">
          <a:extLst>
            <a:ext uri="{FF2B5EF4-FFF2-40B4-BE49-F238E27FC236}">
              <a16:creationId xmlns:a16="http://schemas.microsoft.com/office/drawing/2014/main" id="{9EDE66A3-C8C9-3F8D-6940-600820D16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29882</xdr:colOff>
      <xdr:row>65</xdr:row>
      <xdr:rowOff>187885</xdr:rowOff>
    </xdr:from>
    <xdr:to>
      <xdr:col>32</xdr:col>
      <xdr:colOff>522941</xdr:colOff>
      <xdr:row>78</xdr:row>
      <xdr:rowOff>17556</xdr:rowOff>
    </xdr:to>
    <xdr:graphicFrame macro="">
      <xdr:nvGraphicFramePr>
        <xdr:cNvPr id="16" name="Chart 15">
          <a:extLst>
            <a:ext uri="{FF2B5EF4-FFF2-40B4-BE49-F238E27FC236}">
              <a16:creationId xmlns:a16="http://schemas.microsoft.com/office/drawing/2014/main" id="{EB905D2E-DA1C-78BE-A77F-59D2CD76E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1150470</xdr:colOff>
      <xdr:row>25</xdr:row>
      <xdr:rowOff>57149</xdr:rowOff>
    </xdr:from>
    <xdr:to>
      <xdr:col>13</xdr:col>
      <xdr:colOff>586441</xdr:colOff>
      <xdr:row>37</xdr:row>
      <xdr:rowOff>110938</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4A68FC06-2DEA-66C0-C1E9-D6CC21520A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458550" y="4644389"/>
              <a:ext cx="3771751" cy="22483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1850838</xdr:colOff>
      <xdr:row>102</xdr:row>
      <xdr:rowOff>215900</xdr:rowOff>
    </xdr:from>
    <xdr:to>
      <xdr:col>31</xdr:col>
      <xdr:colOff>1016000</xdr:colOff>
      <xdr:row>115</xdr:row>
      <xdr:rowOff>45570</xdr:rowOff>
    </xdr:to>
    <xdr:graphicFrame macro="">
      <xdr:nvGraphicFramePr>
        <xdr:cNvPr id="19" name="Chart 18">
          <a:extLst>
            <a:ext uri="{FF2B5EF4-FFF2-40B4-BE49-F238E27FC236}">
              <a16:creationId xmlns:a16="http://schemas.microsoft.com/office/drawing/2014/main" id="{40D2A274-0C72-A056-0BEF-58FC47E99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1425949</xdr:colOff>
      <xdr:row>14</xdr:row>
      <xdr:rowOff>57150</xdr:rowOff>
    </xdr:from>
    <xdr:to>
      <xdr:col>30</xdr:col>
      <xdr:colOff>451037</xdr:colOff>
      <xdr:row>26</xdr:row>
      <xdr:rowOff>101600</xdr:rowOff>
    </xdr:to>
    <xdr:graphicFrame macro="">
      <xdr:nvGraphicFramePr>
        <xdr:cNvPr id="17" name="Chart 16">
          <a:extLst>
            <a:ext uri="{FF2B5EF4-FFF2-40B4-BE49-F238E27FC236}">
              <a16:creationId xmlns:a16="http://schemas.microsoft.com/office/drawing/2014/main" id="{558DACF7-4DE9-5435-E1B2-81FDE8DF1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118595</xdr:colOff>
      <xdr:row>174</xdr:row>
      <xdr:rowOff>18678</xdr:rowOff>
    </xdr:from>
    <xdr:to>
      <xdr:col>17</xdr:col>
      <xdr:colOff>286497</xdr:colOff>
      <xdr:row>187</xdr:row>
      <xdr:rowOff>82925</xdr:rowOff>
    </xdr:to>
    <xdr:graphicFrame macro="">
      <xdr:nvGraphicFramePr>
        <xdr:cNvPr id="20" name="Chart 19">
          <a:extLst>
            <a:ext uri="{FF2B5EF4-FFF2-40B4-BE49-F238E27FC236}">
              <a16:creationId xmlns:a16="http://schemas.microsoft.com/office/drawing/2014/main" id="{F2BCCB94-CBA3-F95E-7C21-26CD19CC6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114300</xdr:colOff>
      <xdr:row>0</xdr:row>
      <xdr:rowOff>121920</xdr:rowOff>
    </xdr:from>
    <xdr:to>
      <xdr:col>26</xdr:col>
      <xdr:colOff>160020</xdr:colOff>
      <xdr:row>15</xdr:row>
      <xdr:rowOff>114300</xdr:rowOff>
    </xdr:to>
    <xdr:graphicFrame macro="">
      <xdr:nvGraphicFramePr>
        <xdr:cNvPr id="3" name="Chart 2">
          <a:extLst>
            <a:ext uri="{FF2B5EF4-FFF2-40B4-BE49-F238E27FC236}">
              <a16:creationId xmlns:a16="http://schemas.microsoft.com/office/drawing/2014/main" id="{2F5850F1-DE86-47F6-8D89-0623FDD20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769408</xdr:colOff>
      <xdr:row>63</xdr:row>
      <xdr:rowOff>87842</xdr:rowOff>
    </xdr:from>
    <xdr:to>
      <xdr:col>3</xdr:col>
      <xdr:colOff>468842</xdr:colOff>
      <xdr:row>73</xdr:row>
      <xdr:rowOff>79375</xdr:rowOff>
    </xdr:to>
    <xdr:graphicFrame macro="">
      <xdr:nvGraphicFramePr>
        <xdr:cNvPr id="2" name="Chart 1">
          <a:extLst>
            <a:ext uri="{FF2B5EF4-FFF2-40B4-BE49-F238E27FC236}">
              <a16:creationId xmlns:a16="http://schemas.microsoft.com/office/drawing/2014/main" id="{63E4B60F-23C9-444A-837B-C77FF4EEA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uanl/Desktop/Hyundai/2023/Plan/20230103_HTV_BM01_KH%20ng&#226;n%20s&#225;ch%202023%20-%20KHKD%202023%20-%2025.263K%20-%20BH-MKT-HCNS%20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F "/>
      <sheetName val="TongHop_ChiTieu"/>
      <sheetName val="TongHop_ChiPhi"/>
      <sheetName val="Data 2022"/>
      <sheetName val="Bảng mã NS"/>
      <sheetName val="Ngân sách CTKM"/>
      <sheetName val="CTKM theo spec"/>
      <sheetName val="CRE303"/>
      <sheetName val="CRE210"/>
      <sheetName val="Chi tiết MKT"/>
      <sheetName val="Dự toán chi tiết"/>
      <sheetName val="KHMS 2023"/>
      <sheetName val="2023-MN-MODEL_400K81.7"/>
    </sheetNames>
    <sheetDataSet>
      <sheetData sheetId="0"/>
      <sheetData sheetId="1"/>
      <sheetData sheetId="2"/>
      <sheetData sheetId="3"/>
      <sheetData sheetId="4"/>
      <sheetData sheetId="5"/>
      <sheetData sheetId="6"/>
      <sheetData sheetId="7"/>
      <sheetData sheetId="8"/>
      <sheetData sheetId="9">
        <row r="96">
          <cell r="D96" t="str">
            <v>SL hiện tại</v>
          </cell>
        </row>
        <row r="97">
          <cell r="C97" t="str">
            <v>ACCENT</v>
          </cell>
          <cell r="D97">
            <v>22</v>
          </cell>
        </row>
        <row r="98">
          <cell r="C98" t="str">
            <v>CRETA</v>
          </cell>
          <cell r="D98">
            <v>22</v>
          </cell>
        </row>
        <row r="99">
          <cell r="C99" t="str">
            <v xml:space="preserve">ELANTRA </v>
          </cell>
          <cell r="D99">
            <v>10</v>
          </cell>
        </row>
        <row r="100">
          <cell r="C100" t="str">
            <v>GRAND I10</v>
          </cell>
          <cell r="D100">
            <v>9</v>
          </cell>
        </row>
        <row r="101">
          <cell r="C101" t="str">
            <v xml:space="preserve">SANTAFE </v>
          </cell>
          <cell r="D101">
            <v>22</v>
          </cell>
        </row>
        <row r="102">
          <cell r="C102" t="str">
            <v>STARGAZER</v>
          </cell>
          <cell r="D102">
            <v>22</v>
          </cell>
        </row>
        <row r="103">
          <cell r="C103" t="str">
            <v>TUCSON</v>
          </cell>
          <cell r="D103">
            <v>12</v>
          </cell>
        </row>
      </sheetData>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Tuan - VPHCM" refreshedDate="44957.431246527776" createdVersion="8" refreshedVersion="8" minRefreshableVersion="3" recordCount="293" xr:uid="{E8137E32-6ED4-4076-AC6F-F7404C8305D3}">
  <cacheSource type="worksheet">
    <worksheetSource ref="A1:BC1048576" sheet="Dữ liệu"/>
  </cacheSource>
  <cacheFields count="59">
    <cacheField name="Tháng" numFmtId="0">
      <sharedItems containsString="0" containsBlank="1" containsNumber="1" containsInteger="1" minValue="1" maxValue="12" count="13">
        <n v="1"/>
        <n v="2"/>
        <n v="3"/>
        <n v="4"/>
        <n v="5"/>
        <n v="6"/>
        <n v="7"/>
        <n v="8"/>
        <n v="9"/>
        <n v="10"/>
        <n v="11"/>
        <n v="12"/>
        <m/>
      </sharedItems>
    </cacheField>
    <cacheField name="Khu vực" numFmtId="0">
      <sharedItems containsBlank="1" count="4">
        <s v="TNB"/>
        <s v="HCM"/>
        <s v="DNB"/>
        <m/>
      </sharedItems>
    </cacheField>
    <cacheField name="Đại lý" numFmtId="0">
      <sharedItems containsBlank="1" count="27">
        <s v="An Giang"/>
        <s v="An Phú"/>
        <s v="Bà Rịa Vũng Tàu"/>
        <s v="Bạc Liêu"/>
        <s v="Bến Tre"/>
        <s v="Bình Dương"/>
        <s v="Bình Phước"/>
        <s v="Bình Thuận"/>
        <s v="Cà Mau"/>
        <s v="Đông Sài Gòn"/>
        <s v="Đồng Tháp"/>
        <s v="Gia Định"/>
        <s v="Kiên Giang"/>
        <s v="Kinh Dương Vương"/>
        <s v="Long An"/>
        <s v="Miền Nam"/>
        <s v="Ngọc An"/>
        <s v="Ngọc Phát"/>
        <s v="Tây Đô"/>
        <s v="Tây Ninh"/>
        <s v="Tiền Giang"/>
        <s v="Trường Chinh"/>
        <s v="Việt Hàn"/>
        <s v="Vĩnh Long"/>
        <m/>
        <s v="Sài Thành" u="1"/>
        <s v="Sài Gòn" u="1"/>
      </sharedItems>
    </cacheField>
    <cacheField name="KMBH" numFmtId="0">
      <sharedItems containsString="0" containsBlank="1" containsNumber="1" containsInteger="1" minValue="1" maxValue="4"/>
    </cacheField>
    <cacheField name="KMDV" numFmtId="0">
      <sharedItems containsString="0" containsBlank="1" containsNumber="1" containsInteger="1" minValue="1" maxValue="3"/>
    </cacheField>
    <cacheField name="QC Online" numFmtId="0">
      <sharedItems containsString="0" containsBlank="1" containsNumber="1" containsInteger="1" minValue="1" maxValue="4"/>
    </cacheField>
    <cacheField name="Testdrive" numFmtId="0">
      <sharedItems containsString="0" containsBlank="1" containsNumber="1" containsInteger="1" minValue="1" maxValue="4"/>
    </cacheField>
    <cacheField name="Event" numFmtId="0">
      <sharedItems containsString="0" containsBlank="1" containsNumber="1" containsInteger="1" minValue="1" maxValue="4"/>
    </cacheField>
    <cacheField name="QC Thương hiệu" numFmtId="0">
      <sharedItems containsString="0" containsBlank="1" containsNumber="1" containsInteger="1" minValue="1" maxValue="3"/>
    </cacheField>
    <cacheField name="TTTH/CSR" numFmtId="0">
      <sharedItems containsString="0" containsBlank="1" containsNumber="1" containsInteger="1" minValue="1" maxValue="2"/>
    </cacheField>
    <cacheField name="QC Website ĐL" numFmtId="0">
      <sharedItems containsString="0" containsBlank="1" containsNumber="1" containsInteger="1" minValue="1" maxValue="2"/>
    </cacheField>
    <cacheField name="Chtrình MKT" numFmtId="0">
      <sharedItems containsString="0" containsBlank="1" containsNumber="1" containsInteger="1" minValue="0" maxValue="10"/>
    </cacheField>
    <cacheField name="D_KH Showroom" numFmtId="0">
      <sharedItems containsString="0" containsBlank="1" containsNumber="1" containsInteger="1" minValue="3" maxValue="156"/>
    </cacheField>
    <cacheField name="D_Sự kiện (lái thử/ roadshow/...)" numFmtId="0">
      <sharedItems containsString="0" containsBlank="1" containsNumber="1" containsInteger="1" minValue="0" maxValue="346"/>
    </cacheField>
    <cacheField name="D_Online banner" numFmtId="0">
      <sharedItems containsString="0" containsBlank="1" containsNumber="1" containsInteger="1" minValue="0" maxValue="43"/>
    </cacheField>
    <cacheField name="D_Google Adwords" numFmtId="0">
      <sharedItems containsString="0" containsBlank="1" containsNumber="1" containsInteger="1" minValue="0" maxValue="143"/>
    </cacheField>
    <cacheField name="D_Facebook" numFmtId="0">
      <sharedItems containsString="0" containsBlank="1" containsNumber="1" containsInteger="1" minValue="0" maxValue="211"/>
    </cacheField>
    <cacheField name="D_Youtube" numFmtId="0">
      <sharedItems containsString="0" containsBlank="1" containsNumber="1" containsInteger="1" minValue="0" maxValue="159"/>
    </cacheField>
    <cacheField name="D_Zalo" numFmtId="0">
      <sharedItems containsString="0" containsBlank="1" containsNumber="1" containsInteger="1" minValue="0" maxValue="112"/>
    </cacheField>
    <cacheField name="D_SMS brandname" numFmtId="0">
      <sharedItems containsString="0" containsBlank="1" containsNumber="1" containsInteger="1" minValue="0" maxValue="23"/>
    </cacheField>
    <cacheField name="D_Direct mail" numFmtId="0">
      <sharedItems containsString="0" containsBlank="1" containsNumber="1" containsInteger="1" minValue="0" maxValue="15"/>
    </cacheField>
    <cacheField name="D_Biển bảng/ OOH" numFmtId="0">
      <sharedItems containsString="0" containsBlank="1" containsNumber="1" containsInteger="1" minValue="0" maxValue="21"/>
    </cacheField>
    <cacheField name="D_TV/Radio" numFmtId="0">
      <sharedItems containsString="0" containsBlank="1" containsNumber="1" containsInteger="1" minValue="0" maxValue="15"/>
    </cacheField>
    <cacheField name="D_Print Ads/ PR Articles" numFmtId="0">
      <sharedItems containsString="0" containsBlank="1" containsNumber="1" containsInteger="1" minValue="0" maxValue="53"/>
    </cacheField>
    <cacheField name="D_CSR/ Gifts" numFmtId="0">
      <sharedItems containsString="0" containsBlank="1" containsNumber="1" containsInteger="1" minValue="0" maxValue="28"/>
    </cacheField>
    <cacheField name="D_Car club/Sponsorship" numFmtId="0">
      <sharedItems containsString="0" containsBlank="1" containsNumber="1" containsInteger="1" minValue="0" maxValue="9"/>
    </cacheField>
    <cacheField name="D_Khác" numFmtId="0">
      <sharedItems containsString="0" containsBlank="1" containsNumber="1" containsInteger="1" minValue="0" maxValue="107"/>
    </cacheField>
    <cacheField name="Data Kênh MKT" numFmtId="0">
      <sharedItems containsString="0" containsBlank="1" containsNumber="1" containsInteger="1" minValue="0" maxValue="491"/>
    </cacheField>
    <cacheField name="C_KH Showroom" numFmtId="0">
      <sharedItems containsString="0" containsBlank="1" containsNumber="1" containsInteger="1" minValue="3" maxValue="50"/>
    </cacheField>
    <cacheField name="C_Sự kiện (lái thử/ roadshow/...)" numFmtId="0">
      <sharedItems containsString="0" containsBlank="1" containsNumber="1" minValue="0.9" maxValue="246.9"/>
    </cacheField>
    <cacheField name="C_Online banner" numFmtId="0">
      <sharedItems containsBlank="1" containsMixedTypes="1" containsNumber="1" minValue="0.7" maxValue="69"/>
    </cacheField>
    <cacheField name="C_Google Adwords" numFmtId="0">
      <sharedItems containsString="0" containsBlank="1" containsNumber="1" minValue="1.8" maxValue="70"/>
    </cacheField>
    <cacheField name="C_Facebook" numFmtId="0">
      <sharedItems containsString="0" containsBlank="1" containsNumber="1" minValue="2" maxValue="108"/>
    </cacheField>
    <cacheField name="C_Youtube" numFmtId="0">
      <sharedItems containsString="0" containsBlank="1" containsNumber="1" minValue="1" maxValue="50"/>
    </cacheField>
    <cacheField name="C_Zalo" numFmtId="0">
      <sharedItems containsString="0" containsBlank="1" containsNumber="1" minValue="0" maxValue="20"/>
    </cacheField>
    <cacheField name="C_SMS brandname" numFmtId="0">
      <sharedItems containsString="0" containsBlank="1" containsNumber="1" minValue="0" maxValue="7"/>
    </cacheField>
    <cacheField name="C_Direct mail" numFmtId="0">
      <sharedItems containsString="0" containsBlank="1" containsNumber="1" minValue="0.93700000000000006" maxValue="12"/>
    </cacheField>
    <cacheField name="C_Biển bảng/ OOH" numFmtId="0">
      <sharedItems containsString="0" containsBlank="1" containsNumber="1" minValue="0" maxValue="264"/>
    </cacheField>
    <cacheField name="C_TV/Radio" numFmtId="0">
      <sharedItems containsString="0" containsBlank="1" containsNumber="1" containsInteger="1" minValue="4" maxValue="8"/>
    </cacheField>
    <cacheField name="C_Print Ads/ PR Articles" numFmtId="0">
      <sharedItems containsString="0" containsBlank="1" containsNumber="1" minValue="1.82" maxValue="40"/>
    </cacheField>
    <cacheField name="C_CSR/ Gifts" numFmtId="0">
      <sharedItems containsString="0" containsBlank="1" containsNumber="1" minValue="0.8" maxValue="67"/>
    </cacheField>
    <cacheField name="C_Car club/Sponsorship" numFmtId="0">
      <sharedItems containsString="0" containsBlank="1" containsNumber="1" minValue="20" maxValue="28.9"/>
    </cacheField>
    <cacheField name="C_Khác" numFmtId="0">
      <sharedItems containsString="0" containsBlank="1" containsNumber="1" minValue="0" maxValue="75"/>
    </cacheField>
    <cacheField name="Chi phí kênh MKT thu data" numFmtId="0">
      <sharedItems containsString="0" containsBlank="1" containsNumber="1" minValue="0" maxValue="320900"/>
    </cacheField>
    <cacheField name="SL kênh triển khai MKT" numFmtId="0">
      <sharedItems containsString="0" containsBlank="1" containsNumber="1" containsInteger="1" minValue="0" maxValue="10"/>
    </cacheField>
    <cacheField name="Chí phí TB của HĐ MKT" numFmtId="0">
      <sharedItems containsString="0" containsBlank="1" containsNumber="1" minValue="0" maxValue="81000"/>
    </cacheField>
    <cacheField name="Data KH" numFmtId="0">
      <sharedItems containsString="0" containsBlank="1" containsNumber="1" containsInteger="1" minValue="0" maxValue="491"/>
    </cacheField>
    <cacheField name="HĐ MKT" numFmtId="0">
      <sharedItems containsString="0" containsBlank="1" containsNumber="1" containsInteger="1" minValue="0" maxValue="71"/>
    </cacheField>
    <cacheField name="CTR" numFmtId="9">
      <sharedItems containsBlank="1" containsMixedTypes="1" containsNumber="1" minValue="0" maxValue="0.36979166666666669"/>
    </cacheField>
    <cacheField name="HĐ TVBH" numFmtId="0">
      <sharedItems containsString="0" containsBlank="1" containsNumber="1" containsInteger="1" minValue="0" maxValue="476"/>
    </cacheField>
    <cacheField name="% HĐMKT đóng góp" numFmtId="0">
      <sharedItems containsString="0" containsBlank="1" containsNumber="1" minValue="0" maxValue="0.69696969696969702"/>
    </cacheField>
    <cacheField name="Hoàn thành" numFmtId="9">
      <sharedItems containsString="0" containsBlank="1" containsNumber="1" minValue="0" maxValue="2.0499999999999998"/>
    </cacheField>
    <cacheField name="Hệ số Mi" numFmtId="9">
      <sharedItems containsString="0" containsBlank="1" containsNumber="1" minValue="0" maxValue="1"/>
    </cacheField>
    <cacheField name="Chi phí MKT" numFmtId="0">
      <sharedItems containsString="0" containsBlank="1" containsNumber="1" minValue="0" maxValue="397000"/>
    </cacheField>
    <cacheField name="Thưởng MKT" numFmtId="0">
      <sharedItems containsString="0" containsBlank="1" containsNumber="1" minValue="0" maxValue="62373602"/>
    </cacheField>
    <cacheField name="CTR1" numFmtId="0" formula="'HĐ MKT'/'Data KH'" databaseField="0"/>
    <cacheField name="Đóng góp MKT" numFmtId="0" formula="'HĐ MKT'/('HĐ MKT'+'HĐ TVBH')" databaseField="0"/>
    <cacheField name="Ty le chuyen doi" numFmtId="0" formula="'HĐ MKT'/'Data KH'" databaseField="0"/>
    <cacheField name="Chuyển đổi HĐMKT" numFmtId="0" formula="'HĐ MKT'/'Data KH'" databaseField="0"/>
  </cacheFields>
  <extLst>
    <ext xmlns:x14="http://schemas.microsoft.com/office/spreadsheetml/2009/9/main" uri="{725AE2AE-9491-48be-B2B4-4EB974FC3084}">
      <x14:pivotCacheDefinition pivotCacheId="1384976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x v="0"/>
    <x v="0"/>
    <n v="1"/>
    <n v="1"/>
    <n v="1"/>
    <m/>
    <n v="1"/>
    <m/>
    <m/>
    <n v="1"/>
    <n v="5"/>
    <m/>
    <m/>
    <n v="0"/>
    <n v="22"/>
    <n v="48"/>
    <n v="0"/>
    <n v="5"/>
    <n v="0"/>
    <n v="0"/>
    <n v="0"/>
    <m/>
    <n v="0"/>
    <n v="0"/>
    <m/>
    <n v="34"/>
    <n v="109"/>
    <m/>
    <m/>
    <m/>
    <n v="5"/>
    <n v="7"/>
    <m/>
    <n v="1"/>
    <m/>
    <m/>
    <m/>
    <m/>
    <m/>
    <m/>
    <m/>
    <n v="2"/>
    <n v="15000"/>
    <n v="4"/>
    <n v="1875"/>
    <n v="109"/>
    <n v="8"/>
    <n v="7.3394495412844041E-2"/>
    <n v="46"/>
    <n v="0.14814814814814814"/>
    <n v="1"/>
    <n v="1"/>
    <n v="15000"/>
    <n v="12748668"/>
  </r>
  <r>
    <x v="0"/>
    <x v="1"/>
    <x v="1"/>
    <m/>
    <m/>
    <m/>
    <m/>
    <m/>
    <m/>
    <m/>
    <m/>
    <n v="0"/>
    <m/>
    <m/>
    <m/>
    <m/>
    <m/>
    <m/>
    <m/>
    <m/>
    <m/>
    <m/>
    <m/>
    <m/>
    <m/>
    <m/>
    <m/>
    <n v="0"/>
    <m/>
    <m/>
    <m/>
    <m/>
    <m/>
    <m/>
    <m/>
    <m/>
    <m/>
    <m/>
    <m/>
    <m/>
    <m/>
    <m/>
    <m/>
    <n v="0"/>
    <n v="0"/>
    <m/>
    <n v="0"/>
    <n v="0"/>
    <e v="#DIV/0!"/>
    <n v="0"/>
    <n v="0"/>
    <n v="0"/>
    <n v="0"/>
    <n v="0"/>
    <n v="0"/>
  </r>
  <r>
    <x v="0"/>
    <x v="2"/>
    <x v="2"/>
    <n v="1"/>
    <m/>
    <m/>
    <m/>
    <n v="1"/>
    <n v="2"/>
    <m/>
    <n v="1"/>
    <n v="5"/>
    <m/>
    <n v="80"/>
    <m/>
    <n v="83"/>
    <n v="49"/>
    <m/>
    <m/>
    <m/>
    <m/>
    <m/>
    <m/>
    <m/>
    <m/>
    <m/>
    <m/>
    <n v="212"/>
    <m/>
    <n v="20"/>
    <n v="10"/>
    <n v="20"/>
    <n v="10"/>
    <n v="5"/>
    <m/>
    <n v="3"/>
    <m/>
    <m/>
    <m/>
    <m/>
    <m/>
    <m/>
    <m/>
    <n v="65000"/>
    <n v="6"/>
    <n v="2826.086956521739"/>
    <n v="212"/>
    <n v="23"/>
    <n v="0.10849056603773585"/>
    <n v="91"/>
    <n v="0.20175438596491227"/>
    <n v="1.08"/>
    <n v="1"/>
    <n v="68000"/>
    <n v="62373602"/>
  </r>
  <r>
    <x v="0"/>
    <x v="0"/>
    <x v="3"/>
    <m/>
    <n v="1"/>
    <n v="2"/>
    <n v="1"/>
    <m/>
    <m/>
    <n v="1"/>
    <n v="1"/>
    <n v="6"/>
    <m/>
    <n v="0"/>
    <n v="0"/>
    <n v="17"/>
    <n v="65"/>
    <n v="0"/>
    <n v="7"/>
    <n v="7"/>
    <n v="0"/>
    <n v="0"/>
    <m/>
    <n v="0"/>
    <n v="0"/>
    <m/>
    <n v="25"/>
    <n v="121"/>
    <m/>
    <m/>
    <m/>
    <n v="3"/>
    <n v="43"/>
    <m/>
    <m/>
    <m/>
    <m/>
    <m/>
    <m/>
    <m/>
    <m/>
    <m/>
    <n v="1"/>
    <n v="47000"/>
    <n v="3"/>
    <n v="15666.666666666666"/>
    <n v="121"/>
    <n v="3"/>
    <n v="2.4793388429752067E-2"/>
    <n v="22"/>
    <n v="0.12"/>
    <n v="0.7"/>
    <n v="0.25"/>
    <n v="47000"/>
    <n v="1506676"/>
  </r>
  <r>
    <x v="0"/>
    <x v="0"/>
    <x v="4"/>
    <n v="3"/>
    <m/>
    <n v="2"/>
    <m/>
    <m/>
    <n v="1"/>
    <m/>
    <n v="1"/>
    <n v="7"/>
    <m/>
    <n v="0"/>
    <n v="0"/>
    <n v="5"/>
    <n v="32"/>
    <n v="0"/>
    <n v="0"/>
    <n v="0"/>
    <n v="0"/>
    <n v="0"/>
    <m/>
    <n v="0"/>
    <n v="0"/>
    <m/>
    <n v="20"/>
    <n v="57"/>
    <m/>
    <m/>
    <n v="5"/>
    <m/>
    <n v="10"/>
    <n v="5"/>
    <m/>
    <n v="1"/>
    <m/>
    <m/>
    <m/>
    <m/>
    <m/>
    <m/>
    <m/>
    <n v="20000"/>
    <n v="4"/>
    <n v="20000"/>
    <n v="57"/>
    <n v="1"/>
    <n v="1.7543859649122806E-2"/>
    <n v="36"/>
    <n v="2.7027027027027029E-2"/>
    <n v="1"/>
    <n v="1"/>
    <n v="21000"/>
    <n v="6584741"/>
  </r>
  <r>
    <x v="0"/>
    <x v="2"/>
    <x v="5"/>
    <n v="2"/>
    <m/>
    <n v="1"/>
    <m/>
    <m/>
    <n v="1"/>
    <m/>
    <m/>
    <n v="4"/>
    <m/>
    <n v="128"/>
    <n v="5"/>
    <n v="5"/>
    <n v="24"/>
    <m/>
    <n v="36"/>
    <m/>
    <m/>
    <n v="3"/>
    <m/>
    <m/>
    <m/>
    <m/>
    <m/>
    <n v="201"/>
    <m/>
    <n v="28"/>
    <n v="10"/>
    <n v="10"/>
    <n v="6"/>
    <m/>
    <n v="10"/>
    <n v="1"/>
    <m/>
    <n v="4"/>
    <m/>
    <n v="10"/>
    <n v="40"/>
    <m/>
    <m/>
    <n v="64000"/>
    <n v="9"/>
    <n v="6400"/>
    <n v="201"/>
    <n v="10"/>
    <n v="4.975124378109453E-2"/>
    <n v="265"/>
    <n v="3.6363636363636362E-2"/>
    <n v="1.23"/>
    <n v="1"/>
    <n v="119000"/>
    <n v="50661339"/>
  </r>
  <r>
    <x v="0"/>
    <x v="2"/>
    <x v="6"/>
    <n v="1"/>
    <n v="1"/>
    <m/>
    <m/>
    <n v="1"/>
    <m/>
    <m/>
    <n v="1"/>
    <n v="4"/>
    <m/>
    <m/>
    <n v="5"/>
    <n v="45"/>
    <n v="9"/>
    <m/>
    <m/>
    <m/>
    <m/>
    <m/>
    <m/>
    <m/>
    <m/>
    <m/>
    <m/>
    <n v="59"/>
    <m/>
    <m/>
    <n v="6"/>
    <n v="15"/>
    <n v="6"/>
    <m/>
    <m/>
    <m/>
    <m/>
    <m/>
    <m/>
    <n v="10"/>
    <m/>
    <m/>
    <m/>
    <n v="27000"/>
    <n v="4"/>
    <n v="9000"/>
    <n v="59"/>
    <n v="3"/>
    <n v="5.0847457627118647E-2"/>
    <n v="118"/>
    <n v="2.4793388429752067E-2"/>
    <n v="1"/>
    <n v="1"/>
    <n v="37000"/>
    <n v="23443935"/>
  </r>
  <r>
    <x v="0"/>
    <x v="2"/>
    <x v="7"/>
    <n v="1"/>
    <n v="2"/>
    <m/>
    <m/>
    <n v="1"/>
    <m/>
    <m/>
    <n v="1"/>
    <n v="5"/>
    <m/>
    <m/>
    <n v="17"/>
    <n v="78"/>
    <n v="55"/>
    <m/>
    <m/>
    <m/>
    <m/>
    <m/>
    <m/>
    <m/>
    <m/>
    <m/>
    <n v="11"/>
    <n v="161"/>
    <m/>
    <m/>
    <n v="20"/>
    <n v="30"/>
    <n v="35"/>
    <n v="5"/>
    <m/>
    <m/>
    <m/>
    <n v="40"/>
    <m/>
    <m/>
    <m/>
    <m/>
    <m/>
    <n v="90000"/>
    <n v="5"/>
    <n v="5000"/>
    <n v="161"/>
    <n v="18"/>
    <n v="0.11180124223602485"/>
    <n v="31"/>
    <n v="0.36734693877551022"/>
    <n v="1.18"/>
    <n v="1"/>
    <n v="130000"/>
    <n v="13345236"/>
  </r>
  <r>
    <x v="0"/>
    <x v="0"/>
    <x v="8"/>
    <n v="1"/>
    <m/>
    <m/>
    <m/>
    <m/>
    <n v="1"/>
    <m/>
    <n v="2"/>
    <n v="4"/>
    <m/>
    <n v="6"/>
    <n v="14"/>
    <n v="34"/>
    <n v="90"/>
    <n v="19"/>
    <n v="15"/>
    <n v="10"/>
    <n v="0"/>
    <n v="8"/>
    <m/>
    <n v="0"/>
    <n v="0"/>
    <m/>
    <n v="1"/>
    <n v="197"/>
    <m/>
    <n v="10"/>
    <n v="7"/>
    <n v="10"/>
    <n v="20"/>
    <n v="7"/>
    <n v="3"/>
    <n v="3"/>
    <m/>
    <n v="40"/>
    <m/>
    <m/>
    <m/>
    <m/>
    <n v="10"/>
    <n v="67000"/>
    <n v="9"/>
    <n v="3350"/>
    <n v="197"/>
    <n v="20"/>
    <n v="0.10152284263959391"/>
    <n v="12"/>
    <n v="0.625"/>
    <n v="0.9"/>
    <n v="0.75"/>
    <n v="110000"/>
    <n v="2388730"/>
  </r>
  <r>
    <x v="0"/>
    <x v="1"/>
    <x v="9"/>
    <m/>
    <n v="2"/>
    <n v="1"/>
    <m/>
    <m/>
    <m/>
    <m/>
    <n v="1"/>
    <n v="4"/>
    <m/>
    <n v="0"/>
    <n v="15"/>
    <n v="66"/>
    <n v="118"/>
    <n v="20"/>
    <n v="3"/>
    <n v="0"/>
    <n v="0"/>
    <n v="0"/>
    <m/>
    <n v="0"/>
    <n v="0"/>
    <m/>
    <n v="16"/>
    <n v="238"/>
    <m/>
    <m/>
    <n v="15"/>
    <n v="20"/>
    <n v="16"/>
    <n v="5"/>
    <n v="5"/>
    <n v="1"/>
    <m/>
    <m/>
    <m/>
    <m/>
    <m/>
    <m/>
    <m/>
    <n v="61000"/>
    <n v="6"/>
    <n v="15250"/>
    <n v="238"/>
    <n v="4"/>
    <n v="1.680672268907563E-2"/>
    <n v="105"/>
    <n v="3.669724770642202E-2"/>
    <n v="0.9"/>
    <n v="0.75"/>
    <n v="62000"/>
    <n v="3945265"/>
  </r>
  <r>
    <x v="0"/>
    <x v="0"/>
    <x v="10"/>
    <n v="1"/>
    <m/>
    <m/>
    <m/>
    <n v="1"/>
    <m/>
    <m/>
    <n v="1"/>
    <n v="3"/>
    <m/>
    <n v="0"/>
    <n v="0"/>
    <n v="26"/>
    <n v="28"/>
    <n v="0"/>
    <n v="0"/>
    <n v="0"/>
    <n v="0"/>
    <n v="0"/>
    <m/>
    <n v="0"/>
    <n v="0"/>
    <m/>
    <n v="0"/>
    <n v="54"/>
    <m/>
    <m/>
    <m/>
    <n v="11"/>
    <n v="7"/>
    <m/>
    <m/>
    <m/>
    <m/>
    <m/>
    <m/>
    <m/>
    <m/>
    <m/>
    <m/>
    <n v="18000"/>
    <n v="2"/>
    <n v="2571.4285714285716"/>
    <n v="54"/>
    <n v="7"/>
    <n v="0.12962962962962962"/>
    <n v="30"/>
    <n v="0.1891891891891892"/>
    <n v="1"/>
    <n v="1"/>
    <n v="18000"/>
    <n v="10724104"/>
  </r>
  <r>
    <x v="0"/>
    <x v="1"/>
    <x v="11"/>
    <n v="2"/>
    <m/>
    <n v="2"/>
    <m/>
    <m/>
    <m/>
    <m/>
    <m/>
    <n v="4"/>
    <m/>
    <m/>
    <m/>
    <m/>
    <n v="47"/>
    <n v="56"/>
    <m/>
    <m/>
    <m/>
    <m/>
    <m/>
    <m/>
    <m/>
    <m/>
    <m/>
    <n v="103"/>
    <m/>
    <m/>
    <m/>
    <m/>
    <n v="30"/>
    <n v="25"/>
    <m/>
    <m/>
    <m/>
    <m/>
    <m/>
    <m/>
    <m/>
    <m/>
    <m/>
    <n v="55000"/>
    <n v="2"/>
    <n v="0"/>
    <n v="103"/>
    <n v="1"/>
    <n v="9.7087378640776691E-3"/>
    <n v="0"/>
    <n v="0"/>
    <n v="0.83"/>
    <n v="0.5"/>
    <n v="55000"/>
    <n v="5285371"/>
  </r>
  <r>
    <x v="0"/>
    <x v="0"/>
    <x v="12"/>
    <n v="1"/>
    <n v="1"/>
    <m/>
    <m/>
    <n v="1"/>
    <m/>
    <m/>
    <n v="1"/>
    <n v="4"/>
    <m/>
    <n v="0"/>
    <n v="0"/>
    <n v="21"/>
    <n v="35"/>
    <n v="0"/>
    <n v="7"/>
    <n v="0"/>
    <n v="0"/>
    <n v="0"/>
    <m/>
    <n v="0"/>
    <n v="0"/>
    <m/>
    <n v="19"/>
    <n v="82"/>
    <m/>
    <n v="25"/>
    <m/>
    <n v="6"/>
    <n v="25"/>
    <m/>
    <m/>
    <m/>
    <m/>
    <m/>
    <m/>
    <m/>
    <m/>
    <m/>
    <n v="5"/>
    <n v="61000"/>
    <n v="4"/>
    <n v="12200"/>
    <n v="82"/>
    <n v="5"/>
    <n v="6.097560975609756E-2"/>
    <n v="24"/>
    <n v="0.17241379310344829"/>
    <n v="0.9"/>
    <n v="0.75"/>
    <n v="61000"/>
    <n v="6785586"/>
  </r>
  <r>
    <x v="0"/>
    <x v="1"/>
    <x v="13"/>
    <m/>
    <m/>
    <m/>
    <m/>
    <m/>
    <m/>
    <m/>
    <m/>
    <n v="0"/>
    <m/>
    <m/>
    <m/>
    <m/>
    <m/>
    <m/>
    <m/>
    <m/>
    <m/>
    <m/>
    <m/>
    <m/>
    <m/>
    <m/>
    <m/>
    <n v="0"/>
    <m/>
    <m/>
    <m/>
    <m/>
    <m/>
    <m/>
    <m/>
    <m/>
    <m/>
    <m/>
    <m/>
    <m/>
    <m/>
    <m/>
    <m/>
    <n v="0"/>
    <n v="0"/>
    <n v="0"/>
    <n v="0"/>
    <n v="0"/>
    <e v="#DIV/0!"/>
    <n v="0"/>
    <n v="0"/>
    <n v="0"/>
    <n v="0"/>
    <n v="0"/>
    <n v="0"/>
  </r>
  <r>
    <x v="0"/>
    <x v="0"/>
    <x v="14"/>
    <n v="2"/>
    <n v="1"/>
    <m/>
    <m/>
    <n v="1"/>
    <n v="1"/>
    <n v="1"/>
    <n v="1"/>
    <n v="7"/>
    <m/>
    <n v="0"/>
    <n v="21"/>
    <n v="12"/>
    <n v="28"/>
    <n v="0"/>
    <n v="0"/>
    <n v="4"/>
    <n v="0"/>
    <n v="0"/>
    <m/>
    <n v="0"/>
    <n v="0"/>
    <m/>
    <n v="10"/>
    <n v="75"/>
    <m/>
    <m/>
    <n v="4"/>
    <n v="4"/>
    <n v="8"/>
    <m/>
    <m/>
    <m/>
    <m/>
    <m/>
    <m/>
    <m/>
    <m/>
    <m/>
    <m/>
    <n v="16000"/>
    <n v="3"/>
    <n v="941.17647058823525"/>
    <n v="75"/>
    <n v="17"/>
    <n v="0.22666666666666666"/>
    <n v="58"/>
    <n v="0.22666666666666666"/>
    <n v="1"/>
    <n v="1"/>
    <n v="16000"/>
    <n v="21652058"/>
  </r>
  <r>
    <x v="0"/>
    <x v="1"/>
    <x v="15"/>
    <n v="2"/>
    <m/>
    <m/>
    <m/>
    <n v="1"/>
    <n v="2"/>
    <m/>
    <n v="1"/>
    <n v="6"/>
    <m/>
    <n v="0"/>
    <n v="0"/>
    <n v="54"/>
    <n v="18"/>
    <n v="0"/>
    <n v="0"/>
    <n v="0"/>
    <n v="0"/>
    <n v="0"/>
    <m/>
    <n v="0"/>
    <n v="0"/>
    <m/>
    <n v="0"/>
    <n v="72"/>
    <m/>
    <m/>
    <n v="23"/>
    <n v="60"/>
    <n v="80"/>
    <m/>
    <m/>
    <n v="2"/>
    <m/>
    <m/>
    <m/>
    <m/>
    <n v="18"/>
    <m/>
    <n v="5"/>
    <n v="168000"/>
    <n v="6"/>
    <n v="0"/>
    <n v="72"/>
    <n v="2"/>
    <n v="2.7777777777777776E-2"/>
    <n v="135"/>
    <n v="1.4598540145985401E-2"/>
    <n v="1"/>
    <n v="1"/>
    <n v="188000"/>
    <n v="9201764"/>
  </r>
  <r>
    <x v="0"/>
    <x v="1"/>
    <x v="16"/>
    <n v="1"/>
    <m/>
    <m/>
    <m/>
    <n v="1"/>
    <m/>
    <n v="2"/>
    <n v="2"/>
    <n v="6"/>
    <m/>
    <n v="0"/>
    <n v="0"/>
    <n v="100"/>
    <n v="52"/>
    <n v="0"/>
    <n v="3"/>
    <n v="0"/>
    <n v="0"/>
    <n v="0"/>
    <m/>
    <n v="0"/>
    <n v="0"/>
    <m/>
    <n v="107"/>
    <n v="262"/>
    <m/>
    <n v="37"/>
    <n v="12"/>
    <n v="70"/>
    <n v="17"/>
    <n v="8"/>
    <m/>
    <n v="2"/>
    <m/>
    <m/>
    <m/>
    <n v="5"/>
    <n v="3"/>
    <m/>
    <n v="17"/>
    <n v="161000"/>
    <n v="9"/>
    <n v="32200"/>
    <n v="262"/>
    <n v="5"/>
    <n v="1.9083969465648856E-2"/>
    <n v="109"/>
    <n v="4.3859649122807015E-2"/>
    <n v="1.46"/>
    <n v="1"/>
    <n v="171000"/>
    <n v="11909950"/>
  </r>
  <r>
    <x v="0"/>
    <x v="2"/>
    <x v="17"/>
    <n v="3"/>
    <n v="1"/>
    <n v="1"/>
    <m/>
    <m/>
    <n v="1"/>
    <m/>
    <n v="1"/>
    <n v="7"/>
    <m/>
    <n v="115"/>
    <n v="33"/>
    <n v="0"/>
    <n v="104"/>
    <m/>
    <n v="23"/>
    <m/>
    <m/>
    <m/>
    <m/>
    <m/>
    <m/>
    <m/>
    <m/>
    <n v="275"/>
    <m/>
    <n v="15"/>
    <n v="14"/>
    <m/>
    <n v="24"/>
    <m/>
    <n v="9"/>
    <m/>
    <m/>
    <m/>
    <m/>
    <m/>
    <m/>
    <m/>
    <m/>
    <n v="62000"/>
    <n v="4"/>
    <n v="5166.666666666667"/>
    <n v="275"/>
    <n v="12"/>
    <n v="4.363636363636364E-2"/>
    <n v="215"/>
    <n v="5.2863436123348019E-2"/>
    <n v="1.02"/>
    <n v="1"/>
    <n v="62000"/>
    <n v="48335080"/>
  </r>
  <r>
    <x v="0"/>
    <x v="1"/>
    <x v="16"/>
    <n v="2"/>
    <m/>
    <n v="1"/>
    <n v="1"/>
    <m/>
    <n v="1"/>
    <n v="1"/>
    <n v="1"/>
    <n v="7"/>
    <m/>
    <n v="2"/>
    <n v="8"/>
    <n v="16"/>
    <n v="95"/>
    <n v="0"/>
    <n v="0"/>
    <n v="0"/>
    <n v="0"/>
    <n v="0"/>
    <m/>
    <n v="0"/>
    <n v="0"/>
    <m/>
    <n v="0"/>
    <m/>
    <m/>
    <n v="50"/>
    <m/>
    <n v="10"/>
    <n v="26"/>
    <m/>
    <m/>
    <m/>
    <m/>
    <m/>
    <m/>
    <m/>
    <m/>
    <m/>
    <m/>
    <n v="86000"/>
    <n v="3"/>
    <n v="8600"/>
    <n v="0"/>
    <n v="10"/>
    <e v="#DIV/0!"/>
    <n v="111"/>
    <n v="8.2644628099173556E-2"/>
    <n v="1"/>
    <n v="1"/>
    <n v="86000"/>
    <n v="12776369"/>
  </r>
  <r>
    <x v="0"/>
    <x v="1"/>
    <x v="16"/>
    <n v="3"/>
    <m/>
    <n v="2"/>
    <m/>
    <m/>
    <m/>
    <n v="1"/>
    <n v="1"/>
    <n v="7"/>
    <m/>
    <n v="0"/>
    <n v="0"/>
    <n v="30"/>
    <n v="30"/>
    <n v="0"/>
    <n v="4"/>
    <n v="0"/>
    <n v="0"/>
    <n v="0"/>
    <m/>
    <n v="0"/>
    <n v="0"/>
    <m/>
    <n v="0"/>
    <m/>
    <m/>
    <m/>
    <m/>
    <n v="30"/>
    <n v="40"/>
    <m/>
    <m/>
    <m/>
    <m/>
    <m/>
    <m/>
    <m/>
    <m/>
    <m/>
    <m/>
    <n v="70000"/>
    <n v="2"/>
    <n v="0"/>
    <n v="0"/>
    <n v="0"/>
    <m/>
    <n v="44"/>
    <n v="0"/>
    <n v="0.9"/>
    <n v="0.75"/>
    <n v="70000"/>
    <n v="2289302"/>
  </r>
  <r>
    <x v="0"/>
    <x v="0"/>
    <x v="18"/>
    <n v="1"/>
    <n v="2"/>
    <m/>
    <n v="1"/>
    <m/>
    <m/>
    <n v="1"/>
    <m/>
    <n v="5"/>
    <m/>
    <n v="0"/>
    <n v="0"/>
    <n v="31"/>
    <n v="31"/>
    <n v="0"/>
    <n v="35"/>
    <n v="0"/>
    <n v="0"/>
    <n v="0"/>
    <m/>
    <n v="0"/>
    <n v="0"/>
    <m/>
    <m/>
    <n v="97"/>
    <m/>
    <m/>
    <n v="2"/>
    <n v="9"/>
    <n v="13"/>
    <n v="1"/>
    <m/>
    <m/>
    <m/>
    <m/>
    <m/>
    <m/>
    <m/>
    <m/>
    <m/>
    <n v="25000"/>
    <n v="4"/>
    <n v="12500"/>
    <n v="97"/>
    <n v="2"/>
    <n v="2.0618556701030927E-2"/>
    <n v="87"/>
    <n v="2.247191011235955E-2"/>
    <n v="0.9"/>
    <n v="0.75"/>
    <n v="25000"/>
    <n v="8678445"/>
  </r>
  <r>
    <x v="0"/>
    <x v="2"/>
    <x v="19"/>
    <n v="1"/>
    <n v="1"/>
    <m/>
    <m/>
    <n v="1"/>
    <n v="2"/>
    <m/>
    <n v="1"/>
    <n v="6"/>
    <m/>
    <m/>
    <m/>
    <n v="5"/>
    <n v="103"/>
    <m/>
    <n v="18"/>
    <m/>
    <m/>
    <m/>
    <m/>
    <m/>
    <m/>
    <m/>
    <n v="32"/>
    <n v="158"/>
    <m/>
    <m/>
    <n v="5"/>
    <n v="9"/>
    <n v="20"/>
    <m/>
    <n v="9"/>
    <n v="3"/>
    <m/>
    <n v="5"/>
    <m/>
    <n v="5"/>
    <m/>
    <m/>
    <m/>
    <n v="43000"/>
    <n v="7"/>
    <n v="3909.090909090909"/>
    <n v="158"/>
    <n v="11"/>
    <n v="6.9620253164556958E-2"/>
    <n v="32"/>
    <n v="0.2558139534883721"/>
    <n v="1.1399999999999999"/>
    <n v="1"/>
    <n v="56000"/>
    <n v="24719945"/>
  </r>
  <r>
    <x v="0"/>
    <x v="0"/>
    <x v="20"/>
    <n v="1"/>
    <m/>
    <n v="1"/>
    <m/>
    <n v="1"/>
    <m/>
    <n v="1"/>
    <n v="1"/>
    <n v="5"/>
    <m/>
    <n v="0"/>
    <n v="0"/>
    <n v="27"/>
    <n v="38"/>
    <n v="0"/>
    <n v="13"/>
    <n v="0"/>
    <n v="0"/>
    <n v="0"/>
    <m/>
    <n v="0"/>
    <n v="0"/>
    <m/>
    <n v="0"/>
    <n v="78"/>
    <m/>
    <m/>
    <n v="3"/>
    <n v="3"/>
    <n v="25"/>
    <m/>
    <n v="5"/>
    <m/>
    <m/>
    <m/>
    <m/>
    <m/>
    <m/>
    <m/>
    <m/>
    <n v="36000"/>
    <n v="4"/>
    <n v="1333.3333333333333"/>
    <n v="78"/>
    <n v="27"/>
    <n v="0.34615384615384615"/>
    <n v="86"/>
    <n v="0.23893805309734514"/>
    <n v="1"/>
    <n v="1"/>
    <n v="36000"/>
    <n v="11256346"/>
  </r>
  <r>
    <x v="0"/>
    <x v="1"/>
    <x v="21"/>
    <n v="1"/>
    <m/>
    <n v="1"/>
    <m/>
    <m/>
    <n v="1"/>
    <m/>
    <n v="1"/>
    <n v="4"/>
    <m/>
    <m/>
    <m/>
    <m/>
    <m/>
    <m/>
    <m/>
    <m/>
    <m/>
    <m/>
    <m/>
    <m/>
    <m/>
    <m/>
    <m/>
    <n v="0"/>
    <m/>
    <m/>
    <m/>
    <m/>
    <m/>
    <m/>
    <m/>
    <m/>
    <m/>
    <m/>
    <m/>
    <m/>
    <m/>
    <m/>
    <m/>
    <n v="0"/>
    <n v="0"/>
    <n v="0"/>
    <n v="0"/>
    <n v="11"/>
    <m/>
    <n v="0"/>
    <n v="0"/>
    <n v="0.7"/>
    <n v="0.25"/>
    <n v="0"/>
    <n v="3101924"/>
  </r>
  <r>
    <x v="0"/>
    <x v="1"/>
    <x v="22"/>
    <n v="1"/>
    <m/>
    <m/>
    <m/>
    <n v="1"/>
    <m/>
    <m/>
    <n v="1"/>
    <n v="3"/>
    <m/>
    <n v="0"/>
    <n v="0"/>
    <n v="3"/>
    <n v="109"/>
    <n v="0"/>
    <n v="0"/>
    <n v="0"/>
    <n v="0"/>
    <n v="0"/>
    <m/>
    <n v="0"/>
    <n v="0"/>
    <m/>
    <n v="21"/>
    <n v="133"/>
    <m/>
    <n v="7"/>
    <m/>
    <n v="6"/>
    <n v="25"/>
    <m/>
    <m/>
    <n v="1"/>
    <m/>
    <m/>
    <m/>
    <n v="3"/>
    <m/>
    <m/>
    <m/>
    <n v="38000"/>
    <n v="5"/>
    <n v="12666.666666666666"/>
    <n v="133"/>
    <n v="3"/>
    <n v="2.2556390977443608E-2"/>
    <n v="95"/>
    <n v="3.0612244897959183E-2"/>
    <n v="1.04"/>
    <n v="1"/>
    <n v="42000"/>
    <n v="6225927"/>
  </r>
  <r>
    <x v="0"/>
    <x v="0"/>
    <x v="23"/>
    <n v="1"/>
    <n v="1"/>
    <m/>
    <m/>
    <n v="1"/>
    <m/>
    <m/>
    <n v="1"/>
    <n v="4"/>
    <m/>
    <n v="0"/>
    <n v="4"/>
    <n v="29"/>
    <n v="73"/>
    <n v="0"/>
    <n v="3"/>
    <n v="0"/>
    <n v="0"/>
    <n v="0"/>
    <m/>
    <n v="0"/>
    <n v="0"/>
    <m/>
    <m/>
    <n v="109"/>
    <m/>
    <m/>
    <m/>
    <n v="7"/>
    <n v="18"/>
    <m/>
    <n v="1"/>
    <m/>
    <m/>
    <m/>
    <m/>
    <m/>
    <m/>
    <m/>
    <n v="35"/>
    <n v="61000"/>
    <n v="4"/>
    <n v="20333.333333333332"/>
    <n v="109"/>
    <n v="3"/>
    <n v="2.7522935779816515E-2"/>
    <n v="35"/>
    <n v="7.8947368421052627E-2"/>
    <n v="1.32"/>
    <n v="1"/>
    <n v="61000"/>
    <n v="6142643"/>
  </r>
  <r>
    <x v="1"/>
    <x v="0"/>
    <x v="0"/>
    <n v="2"/>
    <n v="1"/>
    <m/>
    <n v="1"/>
    <m/>
    <n v="1"/>
    <m/>
    <n v="1"/>
    <n v="6"/>
    <m/>
    <n v="37"/>
    <n v="0"/>
    <n v="18"/>
    <n v="108"/>
    <n v="0"/>
    <n v="6"/>
    <n v="0"/>
    <n v="0"/>
    <n v="0"/>
    <n v="0"/>
    <n v="0"/>
    <m/>
    <m/>
    <m/>
    <n v="169"/>
    <m/>
    <m/>
    <m/>
    <n v="6"/>
    <n v="7"/>
    <m/>
    <n v="1"/>
    <m/>
    <m/>
    <m/>
    <m/>
    <m/>
    <m/>
    <m/>
    <n v="2"/>
    <n v="16000"/>
    <n v="4"/>
    <n v="1333.3333333333333"/>
    <n v="169"/>
    <n v="12"/>
    <n v="7.1005917159763315E-2"/>
    <n v="40"/>
    <n v="0.23076923076923078"/>
    <n v="1.64"/>
    <n v="1"/>
    <n v="16000"/>
    <n v="15043377"/>
  </r>
  <r>
    <x v="1"/>
    <x v="1"/>
    <x v="1"/>
    <m/>
    <m/>
    <m/>
    <m/>
    <m/>
    <m/>
    <m/>
    <m/>
    <n v="0"/>
    <m/>
    <m/>
    <m/>
    <m/>
    <m/>
    <m/>
    <m/>
    <m/>
    <m/>
    <m/>
    <m/>
    <m/>
    <m/>
    <m/>
    <m/>
    <n v="0"/>
    <m/>
    <m/>
    <m/>
    <m/>
    <m/>
    <m/>
    <m/>
    <m/>
    <m/>
    <m/>
    <m/>
    <m/>
    <m/>
    <m/>
    <m/>
    <n v="0"/>
    <n v="0"/>
    <n v="0"/>
    <n v="0"/>
    <n v="0"/>
    <m/>
    <n v="0"/>
    <n v="0"/>
    <n v="0"/>
    <n v="0"/>
    <n v="0"/>
    <n v="0"/>
  </r>
  <r>
    <x v="1"/>
    <x v="2"/>
    <x v="2"/>
    <n v="1"/>
    <m/>
    <m/>
    <m/>
    <m/>
    <n v="1"/>
    <m/>
    <n v="1"/>
    <n v="3"/>
    <m/>
    <m/>
    <m/>
    <n v="134"/>
    <n v="36"/>
    <m/>
    <m/>
    <m/>
    <m/>
    <m/>
    <m/>
    <m/>
    <m/>
    <m/>
    <m/>
    <n v="170"/>
    <m/>
    <m/>
    <n v="8"/>
    <n v="20"/>
    <n v="10"/>
    <n v="5"/>
    <m/>
    <n v="3"/>
    <m/>
    <n v="10"/>
    <m/>
    <m/>
    <n v="20"/>
    <m/>
    <m/>
    <n v="43000"/>
    <n v="7"/>
    <n v="3071.4285714285716"/>
    <n v="170"/>
    <n v="14"/>
    <n v="8.2352941176470587E-2"/>
    <n v="80"/>
    <n v="0.14893617021276595"/>
    <n v="1.04"/>
    <n v="1"/>
    <n v="76000"/>
    <n v="16393691"/>
  </r>
  <r>
    <x v="1"/>
    <x v="0"/>
    <x v="3"/>
    <m/>
    <n v="1"/>
    <n v="1"/>
    <n v="1"/>
    <n v="1"/>
    <n v="1"/>
    <m/>
    <n v="1"/>
    <n v="6"/>
    <m/>
    <n v="0"/>
    <n v="0"/>
    <n v="16"/>
    <n v="31"/>
    <n v="0"/>
    <n v="5"/>
    <n v="5"/>
    <n v="0"/>
    <n v="0"/>
    <n v="0"/>
    <n v="0"/>
    <m/>
    <m/>
    <n v="0"/>
    <n v="57"/>
    <m/>
    <m/>
    <m/>
    <n v="3"/>
    <n v="14"/>
    <m/>
    <m/>
    <m/>
    <m/>
    <m/>
    <m/>
    <m/>
    <m/>
    <m/>
    <n v="1"/>
    <n v="18000"/>
    <n v="3"/>
    <n v="9000"/>
    <n v="57"/>
    <n v="2"/>
    <n v="3.5087719298245612E-2"/>
    <n v="8"/>
    <n v="0.2"/>
    <n v="1"/>
    <n v="1"/>
    <n v="18000"/>
    <n v="2201316"/>
  </r>
  <r>
    <x v="1"/>
    <x v="0"/>
    <x v="4"/>
    <n v="2"/>
    <m/>
    <m/>
    <n v="2"/>
    <m/>
    <n v="1"/>
    <m/>
    <n v="1"/>
    <n v="6"/>
    <m/>
    <n v="4"/>
    <n v="0"/>
    <n v="5"/>
    <n v="14"/>
    <n v="0"/>
    <n v="2"/>
    <n v="0"/>
    <n v="0"/>
    <n v="0"/>
    <n v="0"/>
    <n v="0"/>
    <m/>
    <m/>
    <n v="57"/>
    <n v="82"/>
    <m/>
    <n v="10"/>
    <n v="2"/>
    <n v="6"/>
    <n v="6"/>
    <m/>
    <m/>
    <n v="1"/>
    <m/>
    <n v="3"/>
    <m/>
    <m/>
    <m/>
    <m/>
    <m/>
    <n v="24000"/>
    <n v="6"/>
    <n v="0"/>
    <n v="82"/>
    <n v="0"/>
    <m/>
    <n v="11"/>
    <n v="0"/>
    <n v="1.36"/>
    <n v="1"/>
    <n v="28000"/>
    <n v="3375804"/>
  </r>
  <r>
    <x v="1"/>
    <x v="2"/>
    <x v="5"/>
    <m/>
    <m/>
    <n v="2"/>
    <m/>
    <m/>
    <n v="1"/>
    <m/>
    <n v="1"/>
    <n v="4"/>
    <m/>
    <n v="37"/>
    <n v="4"/>
    <m/>
    <n v="43"/>
    <m/>
    <m/>
    <m/>
    <m/>
    <m/>
    <m/>
    <m/>
    <m/>
    <m/>
    <m/>
    <n v="84"/>
    <m/>
    <m/>
    <n v="1"/>
    <n v="10"/>
    <n v="6"/>
    <m/>
    <m/>
    <m/>
    <m/>
    <n v="4"/>
    <m/>
    <n v="9"/>
    <m/>
    <m/>
    <m/>
    <n v="17000"/>
    <n v="5"/>
    <n v="1888.8888888888889"/>
    <n v="84"/>
    <n v="9"/>
    <n v="0.10714285714285714"/>
    <n v="330"/>
    <n v="2.6548672566371681E-2"/>
    <n v="1"/>
    <n v="1"/>
    <n v="30000"/>
    <n v="14238302"/>
  </r>
  <r>
    <x v="1"/>
    <x v="2"/>
    <x v="6"/>
    <n v="1"/>
    <m/>
    <m/>
    <m/>
    <m/>
    <m/>
    <m/>
    <n v="1"/>
    <n v="2"/>
    <m/>
    <m/>
    <n v="7"/>
    <n v="31"/>
    <n v="12"/>
    <m/>
    <m/>
    <m/>
    <m/>
    <m/>
    <m/>
    <m/>
    <m/>
    <m/>
    <n v="33"/>
    <n v="83"/>
    <m/>
    <m/>
    <n v="7"/>
    <n v="15"/>
    <n v="7"/>
    <m/>
    <m/>
    <m/>
    <m/>
    <m/>
    <m/>
    <m/>
    <m/>
    <m/>
    <m/>
    <n v="29000"/>
    <n v="3"/>
    <n v="4142.8571428571431"/>
    <n v="83"/>
    <n v="7"/>
    <n v="8.4337349397590355E-2"/>
    <n v="98"/>
    <n v="6.6666666666666666E-2"/>
    <n v="0.94"/>
    <n v="0.75"/>
    <n v="29000"/>
    <n v="9240765"/>
  </r>
  <r>
    <x v="1"/>
    <x v="2"/>
    <x v="7"/>
    <n v="1"/>
    <n v="1"/>
    <n v="2"/>
    <m/>
    <m/>
    <m/>
    <m/>
    <n v="1"/>
    <n v="5"/>
    <m/>
    <m/>
    <m/>
    <n v="101"/>
    <n v="59"/>
    <m/>
    <n v="2"/>
    <m/>
    <m/>
    <m/>
    <m/>
    <m/>
    <m/>
    <m/>
    <m/>
    <n v="162"/>
    <m/>
    <m/>
    <n v="20"/>
    <n v="30"/>
    <n v="35"/>
    <n v="5"/>
    <m/>
    <m/>
    <m/>
    <n v="4"/>
    <m/>
    <m/>
    <m/>
    <m/>
    <m/>
    <n v="90000"/>
    <n v="5"/>
    <n v="7500"/>
    <n v="162"/>
    <n v="12"/>
    <n v="7.407407407407407E-2"/>
    <n v="20"/>
    <n v="0.375"/>
    <n v="1.43"/>
    <n v="1"/>
    <n v="94000"/>
    <n v="8470685"/>
  </r>
  <r>
    <x v="1"/>
    <x v="0"/>
    <x v="8"/>
    <n v="1"/>
    <m/>
    <m/>
    <n v="1"/>
    <m/>
    <m/>
    <m/>
    <n v="1"/>
    <n v="3"/>
    <m/>
    <n v="60"/>
    <n v="2"/>
    <n v="35"/>
    <n v="65"/>
    <n v="7"/>
    <n v="4"/>
    <n v="12"/>
    <n v="0"/>
    <n v="10"/>
    <n v="0"/>
    <n v="0"/>
    <m/>
    <m/>
    <n v="12"/>
    <n v="207"/>
    <m/>
    <n v="15"/>
    <m/>
    <n v="15"/>
    <n v="20"/>
    <m/>
    <m/>
    <n v="3"/>
    <m/>
    <n v="30"/>
    <m/>
    <m/>
    <m/>
    <m/>
    <n v="10"/>
    <n v="60000"/>
    <n v="6"/>
    <n v="3157.8947368421054"/>
    <n v="207"/>
    <n v="19"/>
    <n v="9.1787439613526575E-2"/>
    <n v="12"/>
    <n v="0.61290322580645162"/>
    <n v="1.43"/>
    <n v="1"/>
    <n v="93000"/>
    <n v="2146828"/>
  </r>
  <r>
    <x v="1"/>
    <x v="1"/>
    <x v="9"/>
    <n v="2"/>
    <n v="1"/>
    <m/>
    <m/>
    <m/>
    <m/>
    <m/>
    <n v="1"/>
    <n v="4"/>
    <m/>
    <n v="0"/>
    <n v="25"/>
    <n v="52"/>
    <n v="123"/>
    <n v="0"/>
    <n v="0"/>
    <n v="0"/>
    <n v="0"/>
    <n v="0"/>
    <n v="0"/>
    <n v="0"/>
    <m/>
    <m/>
    <n v="3"/>
    <n v="203"/>
    <m/>
    <m/>
    <n v="10"/>
    <n v="20"/>
    <n v="24"/>
    <m/>
    <m/>
    <m/>
    <m/>
    <m/>
    <m/>
    <m/>
    <m/>
    <m/>
    <m/>
    <n v="54000"/>
    <n v="3"/>
    <n v="2571.4285714285716"/>
    <n v="203"/>
    <n v="21"/>
    <n v="0.10344827586206896"/>
    <n v="31"/>
    <n v="0.40384615384615385"/>
    <n v="1.4690000000000001"/>
    <n v="1"/>
    <n v="54000"/>
    <n v="8354764"/>
  </r>
  <r>
    <x v="1"/>
    <x v="0"/>
    <x v="10"/>
    <m/>
    <m/>
    <n v="1"/>
    <n v="1"/>
    <m/>
    <n v="1"/>
    <m/>
    <n v="1"/>
    <n v="4"/>
    <m/>
    <n v="30"/>
    <n v="0"/>
    <n v="13"/>
    <n v="17"/>
    <n v="0"/>
    <n v="0"/>
    <n v="0"/>
    <n v="0"/>
    <n v="0"/>
    <n v="0"/>
    <n v="0"/>
    <m/>
    <m/>
    <n v="0"/>
    <n v="60"/>
    <m/>
    <n v="25"/>
    <m/>
    <n v="5"/>
    <n v="8"/>
    <m/>
    <m/>
    <m/>
    <m/>
    <m/>
    <m/>
    <m/>
    <m/>
    <m/>
    <m/>
    <n v="38000"/>
    <n v="3"/>
    <n v="6333.333333333333"/>
    <n v="60"/>
    <n v="6"/>
    <n v="0.1"/>
    <n v="10"/>
    <n v="0.375"/>
    <n v="1.1000000000000001"/>
    <n v="1"/>
    <n v="38000"/>
    <n v="7982529"/>
  </r>
  <r>
    <x v="1"/>
    <x v="1"/>
    <x v="11"/>
    <n v="2"/>
    <m/>
    <m/>
    <m/>
    <m/>
    <m/>
    <m/>
    <n v="1"/>
    <n v="3"/>
    <m/>
    <n v="0"/>
    <n v="0"/>
    <n v="63"/>
    <n v="76"/>
    <n v="0"/>
    <n v="0"/>
    <n v="0"/>
    <n v="0"/>
    <n v="0"/>
    <n v="0"/>
    <n v="0"/>
    <m/>
    <m/>
    <n v="0"/>
    <n v="139"/>
    <m/>
    <m/>
    <m/>
    <n v="30"/>
    <n v="15"/>
    <m/>
    <m/>
    <m/>
    <m/>
    <m/>
    <m/>
    <m/>
    <m/>
    <m/>
    <m/>
    <n v="45000"/>
    <n v="2"/>
    <n v="0"/>
    <n v="139"/>
    <n v="2"/>
    <n v="1.4388489208633094E-2"/>
    <n v="0"/>
    <n v="0"/>
    <n v="0.97"/>
    <n v="0.75"/>
    <n v="45000"/>
    <n v="5966821"/>
  </r>
  <r>
    <x v="1"/>
    <x v="0"/>
    <x v="12"/>
    <n v="1"/>
    <n v="1"/>
    <n v="2"/>
    <n v="1"/>
    <m/>
    <m/>
    <n v="1"/>
    <n v="1"/>
    <n v="7"/>
    <m/>
    <n v="0"/>
    <n v="0"/>
    <n v="25"/>
    <n v="66"/>
    <n v="0"/>
    <n v="18"/>
    <n v="0"/>
    <n v="0"/>
    <n v="0"/>
    <n v="0"/>
    <n v="0"/>
    <m/>
    <m/>
    <n v="34"/>
    <n v="143"/>
    <m/>
    <n v="8"/>
    <m/>
    <n v="7"/>
    <n v="18"/>
    <n v="2"/>
    <n v="3"/>
    <n v="1"/>
    <m/>
    <m/>
    <m/>
    <m/>
    <m/>
    <m/>
    <m/>
    <n v="38000"/>
    <n v="6"/>
    <n v="7600"/>
    <n v="143"/>
    <n v="5"/>
    <n v="3.4965034965034968E-2"/>
    <n v="36"/>
    <n v="0.12195121951219512"/>
    <n v="1.81"/>
    <n v="1"/>
    <n v="39000"/>
    <n v="9618971"/>
  </r>
  <r>
    <x v="1"/>
    <x v="1"/>
    <x v="13"/>
    <m/>
    <m/>
    <m/>
    <m/>
    <m/>
    <m/>
    <m/>
    <m/>
    <n v="0"/>
    <m/>
    <m/>
    <m/>
    <m/>
    <m/>
    <m/>
    <m/>
    <m/>
    <m/>
    <m/>
    <m/>
    <m/>
    <m/>
    <m/>
    <m/>
    <n v="0"/>
    <m/>
    <m/>
    <m/>
    <m/>
    <m/>
    <m/>
    <m/>
    <m/>
    <m/>
    <m/>
    <m/>
    <m/>
    <m/>
    <m/>
    <m/>
    <n v="0"/>
    <n v="0"/>
    <n v="0"/>
    <n v="0"/>
    <n v="0"/>
    <m/>
    <n v="0"/>
    <n v="0"/>
    <n v="0"/>
    <n v="0"/>
    <n v="0"/>
    <n v="0"/>
  </r>
  <r>
    <x v="1"/>
    <x v="0"/>
    <x v="14"/>
    <n v="3"/>
    <m/>
    <m/>
    <m/>
    <m/>
    <m/>
    <n v="2"/>
    <n v="1"/>
    <n v="6"/>
    <m/>
    <n v="0"/>
    <n v="4"/>
    <n v="8"/>
    <n v="24"/>
    <n v="0"/>
    <n v="0"/>
    <n v="2"/>
    <n v="0"/>
    <n v="0"/>
    <n v="0"/>
    <n v="0"/>
    <m/>
    <m/>
    <n v="6"/>
    <n v="44"/>
    <m/>
    <m/>
    <n v="1"/>
    <n v="2"/>
    <n v="7"/>
    <m/>
    <m/>
    <m/>
    <m/>
    <m/>
    <m/>
    <m/>
    <m/>
    <m/>
    <m/>
    <n v="10000"/>
    <n v="3"/>
    <n v="1428.5714285714287"/>
    <n v="44"/>
    <n v="7"/>
    <n v="0.15909090909090909"/>
    <n v="28"/>
    <n v="0.2"/>
    <n v="1.1399999999999999"/>
    <n v="1"/>
    <n v="10000"/>
    <n v="10354280"/>
  </r>
  <r>
    <x v="1"/>
    <x v="1"/>
    <x v="15"/>
    <n v="4"/>
    <n v="1"/>
    <m/>
    <m/>
    <m/>
    <m/>
    <m/>
    <n v="1"/>
    <n v="6"/>
    <m/>
    <n v="0"/>
    <n v="11"/>
    <n v="16"/>
    <n v="20"/>
    <n v="0"/>
    <n v="0"/>
    <n v="0"/>
    <n v="0"/>
    <n v="0"/>
    <n v="0"/>
    <n v="0"/>
    <m/>
    <m/>
    <n v="0"/>
    <n v="47"/>
    <m/>
    <m/>
    <n v="23"/>
    <n v="45"/>
    <n v="30"/>
    <m/>
    <m/>
    <m/>
    <m/>
    <m/>
    <m/>
    <m/>
    <m/>
    <m/>
    <m/>
    <n v="98000"/>
    <n v="3"/>
    <n v="0"/>
    <n v="47"/>
    <m/>
    <m/>
    <n v="141"/>
    <n v="0"/>
    <n v="1.38"/>
    <n v="1"/>
    <n v="98000"/>
    <n v="19575187"/>
  </r>
  <r>
    <x v="1"/>
    <x v="1"/>
    <x v="16"/>
    <n v="2"/>
    <n v="1"/>
    <m/>
    <m/>
    <m/>
    <n v="1"/>
    <m/>
    <n v="1"/>
    <n v="5"/>
    <m/>
    <n v="0"/>
    <n v="0"/>
    <n v="52"/>
    <n v="35"/>
    <n v="0"/>
    <n v="25"/>
    <n v="0"/>
    <n v="0"/>
    <n v="0"/>
    <n v="0"/>
    <n v="0"/>
    <m/>
    <m/>
    <n v="52"/>
    <n v="164"/>
    <m/>
    <m/>
    <n v="10"/>
    <n v="48"/>
    <n v="18"/>
    <m/>
    <m/>
    <n v="2"/>
    <m/>
    <n v="264"/>
    <m/>
    <n v="10"/>
    <m/>
    <m/>
    <n v="30"/>
    <n v="106000"/>
    <n v="7"/>
    <n v="35333.333333333336"/>
    <n v="164"/>
    <n v="3"/>
    <n v="1.8292682926829267E-2"/>
    <n v="91"/>
    <n v="3.1914893617021274E-2"/>
    <n v="1.56"/>
    <n v="1"/>
    <n v="382000"/>
    <n v="253533"/>
  </r>
  <r>
    <x v="1"/>
    <x v="2"/>
    <x v="17"/>
    <n v="3"/>
    <n v="1"/>
    <m/>
    <m/>
    <m/>
    <m/>
    <m/>
    <n v="1"/>
    <n v="5"/>
    <m/>
    <n v="86"/>
    <m/>
    <m/>
    <n v="83"/>
    <m/>
    <n v="10"/>
    <m/>
    <m/>
    <m/>
    <m/>
    <m/>
    <m/>
    <m/>
    <m/>
    <n v="179"/>
    <m/>
    <n v="12"/>
    <n v="9"/>
    <m/>
    <n v="22"/>
    <m/>
    <n v="6"/>
    <n v="2"/>
    <m/>
    <n v="3"/>
    <m/>
    <m/>
    <m/>
    <m/>
    <m/>
    <n v="49000"/>
    <n v="6"/>
    <n v="6125"/>
    <n v="179"/>
    <n v="8"/>
    <n v="4.4692737430167599E-2"/>
    <n v="123"/>
    <n v="6.1068702290076333E-2"/>
    <n v="1.1100000000000001"/>
    <n v="1"/>
    <n v="54000"/>
    <n v="12156536"/>
  </r>
  <r>
    <x v="1"/>
    <x v="1"/>
    <x v="16"/>
    <n v="2"/>
    <m/>
    <m/>
    <n v="1"/>
    <m/>
    <n v="1"/>
    <m/>
    <n v="1"/>
    <n v="5"/>
    <m/>
    <n v="2"/>
    <n v="24"/>
    <n v="93"/>
    <n v="36"/>
    <n v="17"/>
    <n v="20"/>
    <n v="23"/>
    <n v="14"/>
    <n v="21"/>
    <n v="15"/>
    <n v="15"/>
    <m/>
    <m/>
    <n v="18"/>
    <m/>
    <m/>
    <n v="10"/>
    <n v="6"/>
    <n v="9"/>
    <n v="8"/>
    <m/>
    <m/>
    <m/>
    <m/>
    <m/>
    <m/>
    <m/>
    <m/>
    <m/>
    <m/>
    <n v="33000"/>
    <n v="4"/>
    <n v="6600"/>
    <n v="0"/>
    <n v="5"/>
    <e v="#DIV/0!"/>
    <n v="58"/>
    <n v="7.9365079365079361E-2"/>
    <n v="1.38"/>
    <n v="1"/>
    <n v="33000"/>
    <n v="45039557"/>
  </r>
  <r>
    <x v="1"/>
    <x v="1"/>
    <x v="16"/>
    <m/>
    <m/>
    <m/>
    <m/>
    <m/>
    <m/>
    <m/>
    <m/>
    <n v="0"/>
    <m/>
    <m/>
    <m/>
    <m/>
    <m/>
    <m/>
    <m/>
    <m/>
    <m/>
    <m/>
    <m/>
    <m/>
    <m/>
    <m/>
    <m/>
    <n v="0"/>
    <m/>
    <m/>
    <m/>
    <m/>
    <m/>
    <m/>
    <m/>
    <m/>
    <m/>
    <m/>
    <m/>
    <m/>
    <m/>
    <m/>
    <m/>
    <n v="0"/>
    <n v="0"/>
    <n v="0"/>
    <n v="0"/>
    <n v="0"/>
    <m/>
    <n v="0"/>
    <n v="0"/>
    <n v="0"/>
    <n v="0"/>
    <n v="0"/>
    <n v="763101"/>
  </r>
  <r>
    <x v="1"/>
    <x v="0"/>
    <x v="18"/>
    <n v="2"/>
    <m/>
    <n v="1"/>
    <n v="1"/>
    <m/>
    <m/>
    <m/>
    <n v="1"/>
    <n v="5"/>
    <m/>
    <n v="0"/>
    <n v="0"/>
    <n v="36"/>
    <n v="40"/>
    <n v="0"/>
    <n v="23"/>
    <n v="0"/>
    <n v="0"/>
    <n v="0"/>
    <n v="0"/>
    <n v="0"/>
    <m/>
    <m/>
    <m/>
    <n v="99"/>
    <m/>
    <m/>
    <m/>
    <n v="9"/>
    <n v="4"/>
    <m/>
    <m/>
    <m/>
    <m/>
    <m/>
    <m/>
    <m/>
    <m/>
    <m/>
    <m/>
    <n v="13000"/>
    <n v="2"/>
    <n v="2600"/>
    <n v="99"/>
    <n v="5"/>
    <n v="5.0505050505050504E-2"/>
    <n v="38"/>
    <n v="0.11627906976744186"/>
    <n v="1.24"/>
    <n v="1"/>
    <n v="13000"/>
    <n v="9078793"/>
  </r>
  <r>
    <x v="1"/>
    <x v="2"/>
    <x v="19"/>
    <n v="3"/>
    <m/>
    <m/>
    <m/>
    <m/>
    <n v="1"/>
    <m/>
    <n v="1"/>
    <n v="5"/>
    <m/>
    <m/>
    <m/>
    <n v="25"/>
    <n v="21"/>
    <m/>
    <m/>
    <m/>
    <m/>
    <m/>
    <m/>
    <m/>
    <m/>
    <m/>
    <m/>
    <n v="46"/>
    <m/>
    <m/>
    <m/>
    <n v="9"/>
    <n v="12"/>
    <m/>
    <m/>
    <n v="2"/>
    <m/>
    <n v="5"/>
    <m/>
    <m/>
    <m/>
    <m/>
    <m/>
    <n v="21000"/>
    <n v="4"/>
    <n v="7000"/>
    <n v="46"/>
    <n v="3"/>
    <n v="6.5217391304347824E-2"/>
    <n v="38"/>
    <n v="7.3170731707317069E-2"/>
    <n v="1.21"/>
    <n v="1"/>
    <n v="28000"/>
    <n v="6284988"/>
  </r>
  <r>
    <x v="1"/>
    <x v="0"/>
    <x v="20"/>
    <n v="1"/>
    <m/>
    <n v="1"/>
    <m/>
    <m/>
    <m/>
    <m/>
    <n v="1"/>
    <n v="3"/>
    <m/>
    <n v="0"/>
    <n v="0"/>
    <n v="12"/>
    <n v="23"/>
    <n v="0"/>
    <n v="2"/>
    <n v="0"/>
    <n v="0"/>
    <n v="0"/>
    <n v="0"/>
    <n v="0"/>
    <m/>
    <m/>
    <n v="0"/>
    <n v="37"/>
    <m/>
    <m/>
    <m/>
    <n v="3"/>
    <n v="7"/>
    <m/>
    <n v="5"/>
    <m/>
    <m/>
    <m/>
    <m/>
    <m/>
    <m/>
    <m/>
    <m/>
    <n v="15000"/>
    <n v="3"/>
    <n v="3000"/>
    <n v="37"/>
    <n v="5"/>
    <n v="0.13513513513513514"/>
    <n v="27"/>
    <n v="0.15625"/>
    <n v="1.1000000000000001"/>
    <n v="1"/>
    <n v="15000"/>
    <n v="5584358"/>
  </r>
  <r>
    <x v="1"/>
    <x v="1"/>
    <x v="21"/>
    <n v="1"/>
    <n v="1"/>
    <n v="1"/>
    <m/>
    <m/>
    <n v="1"/>
    <m/>
    <m/>
    <n v="4"/>
    <m/>
    <n v="23"/>
    <n v="26"/>
    <n v="35"/>
    <n v="38"/>
    <n v="18"/>
    <n v="21"/>
    <m/>
    <n v="15"/>
    <m/>
    <m/>
    <m/>
    <m/>
    <m/>
    <n v="19"/>
    <n v="195"/>
    <m/>
    <m/>
    <m/>
    <n v="19"/>
    <n v="24"/>
    <m/>
    <m/>
    <m/>
    <m/>
    <m/>
    <m/>
    <m/>
    <m/>
    <m/>
    <m/>
    <n v="43000"/>
    <n v="2"/>
    <n v="0"/>
    <n v="195"/>
    <n v="0"/>
    <m/>
    <n v="0"/>
    <n v="0"/>
    <n v="1.1599999999999999"/>
    <n v="1"/>
    <n v="43000"/>
    <n v="35209918"/>
  </r>
  <r>
    <x v="1"/>
    <x v="1"/>
    <x v="22"/>
    <n v="1"/>
    <m/>
    <m/>
    <m/>
    <m/>
    <m/>
    <n v="1"/>
    <n v="1"/>
    <n v="3"/>
    <m/>
    <n v="0"/>
    <n v="0"/>
    <n v="1"/>
    <n v="150"/>
    <n v="0"/>
    <n v="0"/>
    <n v="0"/>
    <n v="0"/>
    <n v="0"/>
    <n v="0"/>
    <n v="0"/>
    <m/>
    <m/>
    <n v="13"/>
    <n v="164"/>
    <m/>
    <m/>
    <n v="2"/>
    <m/>
    <n v="14"/>
    <m/>
    <m/>
    <n v="1"/>
    <m/>
    <m/>
    <m/>
    <n v="2"/>
    <n v="10"/>
    <m/>
    <m/>
    <n v="16000"/>
    <n v="5"/>
    <n v="8000"/>
    <n v="164"/>
    <n v="2"/>
    <n v="1.2195121951219513E-2"/>
    <n v="20"/>
    <n v="9.0909090909090912E-2"/>
    <n v="1"/>
    <n v="1"/>
    <n v="29000"/>
    <n v="4161859"/>
  </r>
  <r>
    <x v="1"/>
    <x v="0"/>
    <x v="23"/>
    <n v="1"/>
    <m/>
    <n v="1"/>
    <m/>
    <m/>
    <m/>
    <m/>
    <n v="1"/>
    <n v="3"/>
    <m/>
    <n v="0"/>
    <n v="0"/>
    <n v="46"/>
    <n v="0"/>
    <n v="0"/>
    <n v="2"/>
    <n v="6"/>
    <n v="0"/>
    <n v="0"/>
    <n v="0"/>
    <n v="0"/>
    <m/>
    <m/>
    <n v="2"/>
    <n v="56"/>
    <m/>
    <m/>
    <m/>
    <n v="4"/>
    <n v="2"/>
    <m/>
    <n v="1"/>
    <n v="2"/>
    <m/>
    <m/>
    <m/>
    <m/>
    <m/>
    <m/>
    <m/>
    <n v="7000"/>
    <n v="4"/>
    <n v="3500"/>
    <n v="56"/>
    <n v="2"/>
    <n v="3.5714285714285712E-2"/>
    <n v="13"/>
    <n v="0.13333333333333333"/>
    <n v="1.17"/>
    <n v="1"/>
    <n v="9000"/>
    <n v="1959469"/>
  </r>
  <r>
    <x v="2"/>
    <x v="0"/>
    <x v="0"/>
    <n v="1"/>
    <m/>
    <m/>
    <n v="1"/>
    <m/>
    <n v="1"/>
    <m/>
    <n v="1"/>
    <n v="4"/>
    <m/>
    <n v="0"/>
    <n v="0"/>
    <n v="18"/>
    <n v="90"/>
    <n v="0"/>
    <n v="0"/>
    <n v="0"/>
    <n v="0"/>
    <n v="0"/>
    <m/>
    <n v="0"/>
    <n v="0"/>
    <m/>
    <n v="25"/>
    <n v="133"/>
    <m/>
    <n v="25"/>
    <n v="12"/>
    <n v="40"/>
    <n v="24"/>
    <m/>
    <m/>
    <n v="2"/>
    <m/>
    <n v="264"/>
    <m/>
    <n v="10"/>
    <m/>
    <m/>
    <n v="20"/>
    <n v="121000"/>
    <n v="8"/>
    <n v="10083.333333333334"/>
    <n v="133"/>
    <n v="12"/>
    <n v="9.0225563909774431E-2"/>
    <n v="40"/>
    <n v="0.23076923076923078"/>
    <n v="1.1100000000000001"/>
    <n v="1"/>
    <n v="15000"/>
    <n v="8384454.9319139998"/>
  </r>
  <r>
    <x v="2"/>
    <x v="1"/>
    <x v="1"/>
    <m/>
    <m/>
    <m/>
    <m/>
    <m/>
    <m/>
    <m/>
    <m/>
    <n v="0"/>
    <m/>
    <m/>
    <m/>
    <m/>
    <m/>
    <m/>
    <m/>
    <m/>
    <m/>
    <m/>
    <m/>
    <m/>
    <m/>
    <m/>
    <m/>
    <n v="0"/>
    <m/>
    <m/>
    <n v="7.27"/>
    <m/>
    <n v="24.38"/>
    <m/>
    <m/>
    <n v="0.57999999999999996"/>
    <m/>
    <m/>
    <m/>
    <n v="1.82"/>
    <n v="0.8"/>
    <m/>
    <m/>
    <n v="31650"/>
    <n v="5"/>
    <n v="0"/>
    <n v="0"/>
    <n v="0"/>
    <m/>
    <n v="0"/>
    <n v="0"/>
    <n v="0"/>
    <n v="0"/>
    <n v="0"/>
    <n v="0"/>
  </r>
  <r>
    <x v="2"/>
    <x v="2"/>
    <x v="2"/>
    <n v="2"/>
    <n v="1"/>
    <m/>
    <m/>
    <m/>
    <m/>
    <n v="1"/>
    <n v="1"/>
    <n v="5"/>
    <m/>
    <n v="0"/>
    <n v="0"/>
    <n v="75"/>
    <n v="119"/>
    <n v="0"/>
    <n v="0"/>
    <n v="0"/>
    <n v="0"/>
    <n v="0"/>
    <m/>
    <n v="0"/>
    <n v="0"/>
    <m/>
    <n v="0"/>
    <n v="194"/>
    <m/>
    <m/>
    <m/>
    <n v="30"/>
    <n v="15"/>
    <m/>
    <m/>
    <m/>
    <m/>
    <m/>
    <m/>
    <m/>
    <m/>
    <m/>
    <m/>
    <n v="45000"/>
    <n v="2"/>
    <n v="2250"/>
    <n v="194"/>
    <n v="20"/>
    <n v="0.10309278350515463"/>
    <n v="101"/>
    <n v="0.16528925619834711"/>
    <n v="1.0900000000000001"/>
    <n v="1"/>
    <n v="78000"/>
    <n v="21932486.519464795"/>
  </r>
  <r>
    <x v="2"/>
    <x v="0"/>
    <x v="3"/>
    <n v="2"/>
    <n v="1"/>
    <m/>
    <m/>
    <m/>
    <n v="1"/>
    <n v="2"/>
    <n v="1"/>
    <n v="7"/>
    <m/>
    <n v="0"/>
    <n v="0"/>
    <n v="42"/>
    <n v="99"/>
    <n v="0"/>
    <n v="6"/>
    <n v="13"/>
    <n v="1"/>
    <n v="1"/>
    <m/>
    <n v="0"/>
    <n v="0"/>
    <m/>
    <n v="0"/>
    <n v="162"/>
    <m/>
    <n v="20"/>
    <m/>
    <n v="9"/>
    <n v="15"/>
    <m/>
    <n v="9"/>
    <n v="3"/>
    <m/>
    <n v="5"/>
    <m/>
    <m/>
    <m/>
    <m/>
    <m/>
    <n v="53000"/>
    <n v="6"/>
    <n v="17666.666666666668"/>
    <n v="162"/>
    <n v="3"/>
    <n v="1.8518518518518517E-2"/>
    <n v="18"/>
    <n v="0.14285714285714285"/>
    <n v="0.84"/>
    <n v="0.5"/>
    <n v="55200"/>
    <n v="1778835.3056351996"/>
  </r>
  <r>
    <x v="2"/>
    <x v="0"/>
    <x v="4"/>
    <n v="3"/>
    <m/>
    <m/>
    <m/>
    <m/>
    <n v="1"/>
    <m/>
    <n v="1"/>
    <n v="5"/>
    <m/>
    <n v="2"/>
    <n v="0"/>
    <n v="1"/>
    <n v="37"/>
    <n v="0"/>
    <n v="1"/>
    <n v="0"/>
    <n v="0"/>
    <n v="0"/>
    <m/>
    <n v="0"/>
    <n v="0"/>
    <m/>
    <n v="61"/>
    <n v="102"/>
    <m/>
    <m/>
    <m/>
    <n v="19"/>
    <n v="24"/>
    <m/>
    <m/>
    <m/>
    <m/>
    <m/>
    <m/>
    <m/>
    <m/>
    <m/>
    <m/>
    <n v="43000"/>
    <n v="2"/>
    <n v="10750"/>
    <n v="102"/>
    <n v="4"/>
    <n v="3.9215686274509803E-2"/>
    <n v="40"/>
    <n v="9.0909090909090912E-2"/>
    <n v="0.93"/>
    <n v="0.75"/>
    <n v="20000"/>
    <n v="4086653.5988487001"/>
  </r>
  <r>
    <x v="2"/>
    <x v="2"/>
    <x v="5"/>
    <n v="1"/>
    <n v="1"/>
    <m/>
    <m/>
    <m/>
    <n v="2"/>
    <n v="1"/>
    <n v="1"/>
    <n v="6"/>
    <m/>
    <n v="68"/>
    <n v="0"/>
    <n v="4"/>
    <n v="39"/>
    <n v="0"/>
    <n v="0"/>
    <n v="0"/>
    <n v="0"/>
    <n v="0"/>
    <m/>
    <n v="0"/>
    <n v="0"/>
    <m/>
    <n v="0"/>
    <n v="111"/>
    <m/>
    <m/>
    <m/>
    <m/>
    <m/>
    <m/>
    <m/>
    <m/>
    <m/>
    <m/>
    <m/>
    <m/>
    <m/>
    <m/>
    <m/>
    <n v="0"/>
    <n v="0"/>
    <n v="0"/>
    <n v="111"/>
    <n v="10"/>
    <n v="9.0090090090090086E-2"/>
    <n v="290"/>
    <n v="3.3333333333333333E-2"/>
    <n v="1"/>
    <n v="1"/>
    <n v="39000"/>
    <n v="15189767.107032599"/>
  </r>
  <r>
    <x v="2"/>
    <x v="2"/>
    <x v="6"/>
    <n v="2"/>
    <n v="1"/>
    <m/>
    <m/>
    <m/>
    <m/>
    <n v="1"/>
    <n v="1"/>
    <n v="5"/>
    <m/>
    <n v="0"/>
    <n v="11"/>
    <n v="43"/>
    <n v="34"/>
    <n v="0"/>
    <n v="0"/>
    <n v="0"/>
    <n v="0"/>
    <n v="0"/>
    <m/>
    <n v="0"/>
    <n v="0"/>
    <m/>
    <n v="0"/>
    <n v="88"/>
    <m/>
    <n v="130"/>
    <n v="10"/>
    <n v="50"/>
    <n v="70"/>
    <m/>
    <m/>
    <n v="2"/>
    <m/>
    <m/>
    <m/>
    <n v="15"/>
    <m/>
    <m/>
    <m/>
    <n v="260000"/>
    <n v="6"/>
    <n v="26000"/>
    <n v="88"/>
    <n v="10"/>
    <n v="0.11363636363636363"/>
    <n v="127"/>
    <n v="7.2992700729927001E-2"/>
    <n v="1.1299999999999999"/>
    <n v="1"/>
    <n v="41200"/>
    <n v="14795061.285383999"/>
  </r>
  <r>
    <x v="2"/>
    <x v="2"/>
    <x v="7"/>
    <n v="1"/>
    <m/>
    <m/>
    <n v="2"/>
    <m/>
    <m/>
    <n v="1"/>
    <n v="1"/>
    <n v="5"/>
    <m/>
    <n v="0"/>
    <n v="0"/>
    <n v="143"/>
    <n v="72"/>
    <n v="0"/>
    <n v="3"/>
    <n v="0"/>
    <n v="0"/>
    <n v="0"/>
    <m/>
    <n v="0"/>
    <n v="0"/>
    <m/>
    <n v="0"/>
    <n v="218"/>
    <m/>
    <m/>
    <n v="5"/>
    <n v="15"/>
    <n v="27"/>
    <m/>
    <m/>
    <n v="1"/>
    <m/>
    <m/>
    <m/>
    <m/>
    <m/>
    <m/>
    <m/>
    <n v="47000"/>
    <n v="4"/>
    <n v="1958.3333333333333"/>
    <n v="218"/>
    <n v="24"/>
    <n v="0.11009174311926606"/>
    <n v="30"/>
    <n v="0.44444444444444442"/>
    <n v="1.21"/>
    <n v="1"/>
    <n v="104750"/>
    <n v="13083407.871650998"/>
  </r>
  <r>
    <x v="2"/>
    <x v="0"/>
    <x v="8"/>
    <m/>
    <m/>
    <n v="1"/>
    <n v="1"/>
    <m/>
    <n v="1"/>
    <m/>
    <n v="1"/>
    <n v="4"/>
    <m/>
    <n v="50"/>
    <n v="2"/>
    <n v="36"/>
    <n v="28"/>
    <n v="8"/>
    <n v="4"/>
    <n v="12"/>
    <n v="0"/>
    <n v="10"/>
    <m/>
    <n v="0"/>
    <n v="0"/>
    <m/>
    <n v="12"/>
    <n v="162"/>
    <m/>
    <n v="20"/>
    <m/>
    <n v="9"/>
    <n v="12"/>
    <m/>
    <n v="9"/>
    <n v="2.2000000000000002"/>
    <m/>
    <n v="5"/>
    <m/>
    <m/>
    <m/>
    <m/>
    <m/>
    <n v="50000"/>
    <n v="6"/>
    <n v="2173.913043478261"/>
    <n v="162"/>
    <n v="23"/>
    <n v="0.1419753086419753"/>
    <n v="10"/>
    <n v="0.69696969696969702"/>
    <n v="1.05"/>
    <n v="1"/>
    <n v="109000"/>
    <n v="5482782.3761369996"/>
  </r>
  <r>
    <x v="2"/>
    <x v="1"/>
    <x v="9"/>
    <n v="2"/>
    <n v="1"/>
    <m/>
    <n v="1"/>
    <m/>
    <m/>
    <m/>
    <n v="1"/>
    <n v="5"/>
    <m/>
    <n v="0"/>
    <n v="14"/>
    <n v="78"/>
    <n v="147"/>
    <n v="0"/>
    <n v="0"/>
    <n v="0"/>
    <n v="0"/>
    <n v="0"/>
    <m/>
    <n v="0"/>
    <n v="0"/>
    <m/>
    <n v="0"/>
    <n v="239"/>
    <m/>
    <n v="23"/>
    <n v="16"/>
    <m/>
    <n v="24"/>
    <m/>
    <n v="6"/>
    <n v="3"/>
    <m/>
    <n v="3"/>
    <m/>
    <m/>
    <m/>
    <m/>
    <m/>
    <n v="69000"/>
    <n v="6"/>
    <n v="3285.7142857142858"/>
    <n v="239"/>
    <n v="21"/>
    <n v="8.7866108786610872E-2"/>
    <n v="99"/>
    <n v="0.17499999999999999"/>
    <n v="1"/>
    <n v="1"/>
    <n v="48000"/>
    <n v="6566777.4324773997"/>
  </r>
  <r>
    <x v="2"/>
    <x v="0"/>
    <x v="10"/>
    <n v="1"/>
    <m/>
    <m/>
    <n v="1"/>
    <m/>
    <m/>
    <m/>
    <n v="1"/>
    <n v="3"/>
    <m/>
    <n v="36"/>
    <n v="0"/>
    <n v="19"/>
    <n v="65"/>
    <n v="0"/>
    <n v="0"/>
    <n v="0"/>
    <n v="0"/>
    <n v="0"/>
    <m/>
    <n v="0"/>
    <n v="0"/>
    <m/>
    <n v="0"/>
    <n v="120"/>
    <m/>
    <m/>
    <n v="7"/>
    <n v="20"/>
    <n v="14"/>
    <m/>
    <m/>
    <n v="0.2"/>
    <m/>
    <m/>
    <m/>
    <m/>
    <m/>
    <m/>
    <m/>
    <n v="41000"/>
    <n v="4"/>
    <n v="4100"/>
    <n v="120"/>
    <n v="10"/>
    <n v="8.3333333333333329E-2"/>
    <n v="28"/>
    <n v="0.26315789473684209"/>
    <n v="1.1599999999999999"/>
    <n v="1"/>
    <n v="52000"/>
    <n v="9618969.0255119987"/>
  </r>
  <r>
    <x v="2"/>
    <x v="1"/>
    <x v="11"/>
    <n v="3"/>
    <n v="1"/>
    <n v="1"/>
    <m/>
    <m/>
    <m/>
    <m/>
    <m/>
    <n v="5"/>
    <m/>
    <n v="0"/>
    <n v="0"/>
    <n v="73"/>
    <n v="99"/>
    <n v="0"/>
    <n v="0"/>
    <n v="0"/>
    <n v="0"/>
    <n v="0"/>
    <m/>
    <n v="0"/>
    <n v="0"/>
    <m/>
    <n v="0"/>
    <n v="172"/>
    <m/>
    <m/>
    <n v="12"/>
    <n v="10"/>
    <n v="9"/>
    <m/>
    <m/>
    <n v="1"/>
    <m/>
    <n v="3"/>
    <m/>
    <n v="4"/>
    <m/>
    <m/>
    <m/>
    <n v="31000"/>
    <n v="6"/>
    <n v="0"/>
    <n v="172"/>
    <n v="3"/>
    <n v="1.7441860465116279E-2"/>
    <n v="0"/>
    <n v="0"/>
    <n v="1.07"/>
    <n v="1"/>
    <n v="45000"/>
    <n v="4864023.4413281986"/>
  </r>
  <r>
    <x v="2"/>
    <x v="0"/>
    <x v="12"/>
    <n v="1"/>
    <n v="1"/>
    <m/>
    <n v="2"/>
    <m/>
    <m/>
    <m/>
    <n v="1"/>
    <n v="5"/>
    <m/>
    <n v="3"/>
    <n v="0"/>
    <n v="4"/>
    <n v="38"/>
    <n v="0"/>
    <n v="0"/>
    <n v="0"/>
    <n v="0"/>
    <n v="0"/>
    <m/>
    <n v="0"/>
    <n v="0"/>
    <m/>
    <n v="0"/>
    <n v="45"/>
    <m/>
    <n v="10"/>
    <n v="8"/>
    <n v="30"/>
    <n v="15"/>
    <n v="5"/>
    <m/>
    <m/>
    <m/>
    <n v="10"/>
    <m/>
    <m/>
    <m/>
    <m/>
    <m/>
    <n v="68000"/>
    <n v="6"/>
    <n v="4533.333333333333"/>
    <n v="45"/>
    <n v="15"/>
    <n v="0.33333333333333331"/>
    <n v="27"/>
    <n v="0.35714285714285715"/>
    <n v="1.36"/>
    <n v="1"/>
    <n v="46800.000000000007"/>
    <n v="8847334.7125751991"/>
  </r>
  <r>
    <x v="2"/>
    <x v="1"/>
    <x v="13"/>
    <n v="2"/>
    <m/>
    <m/>
    <m/>
    <m/>
    <m/>
    <m/>
    <m/>
    <n v="2"/>
    <m/>
    <n v="0"/>
    <n v="0"/>
    <n v="0"/>
    <n v="48"/>
    <n v="0"/>
    <n v="50"/>
    <n v="0"/>
    <n v="0"/>
    <n v="0"/>
    <m/>
    <n v="0"/>
    <n v="0"/>
    <m/>
    <n v="29"/>
    <n v="127"/>
    <m/>
    <m/>
    <n v="20"/>
    <n v="30"/>
    <n v="46"/>
    <n v="5"/>
    <m/>
    <m/>
    <m/>
    <n v="3.75"/>
    <m/>
    <m/>
    <m/>
    <m/>
    <m/>
    <n v="101000"/>
    <n v="5"/>
    <n v="50500"/>
    <n v="127"/>
    <n v="2"/>
    <n v="1.5748031496062992E-2"/>
    <n v="125"/>
    <n v="1.5748031496062992E-2"/>
    <n v="0"/>
    <n v="0"/>
    <n v="61000"/>
    <n v="0"/>
  </r>
  <r>
    <x v="2"/>
    <x v="0"/>
    <x v="14"/>
    <n v="1"/>
    <m/>
    <n v="1"/>
    <n v="1"/>
    <m/>
    <m/>
    <n v="2"/>
    <n v="1"/>
    <n v="6"/>
    <m/>
    <n v="5"/>
    <n v="6"/>
    <n v="6"/>
    <n v="34"/>
    <n v="0"/>
    <n v="0"/>
    <n v="2"/>
    <n v="0"/>
    <n v="0"/>
    <m/>
    <n v="0"/>
    <n v="0"/>
    <m/>
    <n v="6"/>
    <n v="59"/>
    <m/>
    <m/>
    <m/>
    <n v="6"/>
    <n v="7"/>
    <m/>
    <m/>
    <m/>
    <m/>
    <m/>
    <m/>
    <m/>
    <m/>
    <m/>
    <n v="2"/>
    <n v="15000"/>
    <n v="3"/>
    <n v="1875"/>
    <n v="59"/>
    <n v="8"/>
    <n v="0.13559322033898305"/>
    <n v="53"/>
    <n v="0.13114754098360656"/>
    <n v="1.1599999999999999"/>
    <n v="1"/>
    <n v="13209.999999999998"/>
    <n v="8866287.8160960004"/>
  </r>
  <r>
    <x v="2"/>
    <x v="1"/>
    <x v="15"/>
    <n v="3"/>
    <m/>
    <n v="1"/>
    <n v="1"/>
    <m/>
    <n v="2"/>
    <m/>
    <m/>
    <n v="7"/>
    <m/>
    <n v="0"/>
    <n v="0"/>
    <n v="47"/>
    <n v="19"/>
    <n v="0"/>
    <n v="0"/>
    <n v="0"/>
    <n v="0"/>
    <n v="0"/>
    <m/>
    <n v="0"/>
    <n v="0"/>
    <m/>
    <n v="0"/>
    <n v="66"/>
    <m/>
    <n v="20"/>
    <n v="0.7"/>
    <n v="3.6"/>
    <n v="12.8"/>
    <n v="6.7"/>
    <n v="3"/>
    <m/>
    <m/>
    <m/>
    <m/>
    <m/>
    <m/>
    <m/>
    <m/>
    <n v="46800.000000000007"/>
    <n v="6"/>
    <n v="0"/>
    <n v="66"/>
    <n v="3"/>
    <m/>
    <n v="180"/>
    <n v="1.6393442622950821E-2"/>
    <n v="1.27"/>
    <n v="1"/>
    <n v="277000"/>
    <n v="20758855.6938546"/>
  </r>
  <r>
    <x v="2"/>
    <x v="1"/>
    <x v="16"/>
    <n v="1"/>
    <m/>
    <n v="1"/>
    <n v="1"/>
    <m/>
    <n v="1"/>
    <m/>
    <n v="1"/>
    <n v="5"/>
    <m/>
    <n v="21"/>
    <n v="0"/>
    <n v="118"/>
    <n v="29"/>
    <n v="0"/>
    <n v="7"/>
    <n v="0"/>
    <n v="0"/>
    <n v="0"/>
    <m/>
    <n v="0"/>
    <n v="0"/>
    <m/>
    <m/>
    <n v="175"/>
    <m/>
    <n v="32"/>
    <m/>
    <n v="5"/>
    <n v="15"/>
    <m/>
    <m/>
    <m/>
    <m/>
    <m/>
    <m/>
    <m/>
    <m/>
    <m/>
    <m/>
    <n v="52000"/>
    <n v="3"/>
    <n v="6500"/>
    <n v="175"/>
    <n v="8"/>
    <n v="4.5714285714285714E-2"/>
    <n v="306"/>
    <n v="2.5477707006369428E-2"/>
    <n v="1.1299999999999999"/>
    <n v="1"/>
    <n v="397000"/>
    <n v="16128012.828563998"/>
  </r>
  <r>
    <x v="2"/>
    <x v="2"/>
    <x v="17"/>
    <n v="2"/>
    <n v="1"/>
    <n v="1"/>
    <m/>
    <m/>
    <n v="1"/>
    <m/>
    <n v="1"/>
    <n v="6"/>
    <m/>
    <n v="103"/>
    <n v="24"/>
    <n v="0"/>
    <n v="89"/>
    <n v="0"/>
    <n v="9"/>
    <n v="0"/>
    <n v="0"/>
    <n v="0"/>
    <m/>
    <n v="0"/>
    <n v="0"/>
    <m/>
    <n v="0"/>
    <n v="225"/>
    <m/>
    <m/>
    <n v="1"/>
    <n v="6"/>
    <n v="10"/>
    <m/>
    <n v="2"/>
    <n v="1"/>
    <m/>
    <m/>
    <m/>
    <m/>
    <m/>
    <m/>
    <m/>
    <n v="19000"/>
    <n v="5"/>
    <n v="1266.6666666666667"/>
    <n v="225"/>
    <n v="15"/>
    <n v="6.6666666666666666E-2"/>
    <n v="146"/>
    <n v="9.3167701863354033E-2"/>
    <n v="1.08"/>
    <n v="1"/>
    <n v="75000"/>
    <n v="36068162.349743992"/>
  </r>
  <r>
    <x v="2"/>
    <x v="0"/>
    <x v="18"/>
    <n v="2"/>
    <n v="1"/>
    <n v="1"/>
    <n v="1"/>
    <n v="1"/>
    <n v="1"/>
    <m/>
    <m/>
    <n v="7"/>
    <m/>
    <n v="0"/>
    <n v="0"/>
    <n v="39"/>
    <n v="55"/>
    <n v="0"/>
    <n v="23"/>
    <n v="0"/>
    <n v="0"/>
    <n v="0"/>
    <m/>
    <n v="0"/>
    <n v="0"/>
    <m/>
    <m/>
    <n v="117"/>
    <m/>
    <n v="15"/>
    <n v="4"/>
    <n v="15"/>
    <n v="20"/>
    <n v="7"/>
    <n v="5"/>
    <n v="3"/>
    <m/>
    <n v="30"/>
    <m/>
    <m/>
    <m/>
    <m/>
    <n v="10"/>
    <n v="76000"/>
    <n v="9"/>
    <n v="8444.4444444444453"/>
    <n v="117"/>
    <n v="9"/>
    <n v="7.6923076923076927E-2"/>
    <n v="64"/>
    <n v="0.12328767123287671"/>
    <n v="1.21"/>
    <n v="1"/>
    <n v="31790"/>
    <n v="8764769.963663999"/>
  </r>
  <r>
    <x v="2"/>
    <x v="2"/>
    <x v="19"/>
    <n v="1"/>
    <n v="1"/>
    <m/>
    <n v="1"/>
    <m/>
    <n v="1"/>
    <m/>
    <n v="1"/>
    <n v="5"/>
    <m/>
    <n v="30"/>
    <n v="0"/>
    <n v="16"/>
    <n v="34"/>
    <n v="0"/>
    <n v="12"/>
    <n v="0"/>
    <n v="0"/>
    <n v="0"/>
    <m/>
    <n v="0"/>
    <n v="0"/>
    <m/>
    <n v="9"/>
    <n v="101"/>
    <m/>
    <m/>
    <n v="1.2"/>
    <n v="1.8"/>
    <n v="10.199999999999999"/>
    <m/>
    <m/>
    <n v="0.01"/>
    <m/>
    <m/>
    <m/>
    <m/>
    <m/>
    <m/>
    <m/>
    <n v="13200"/>
    <n v="4"/>
    <n v="1015.3846153846154"/>
    <n v="101"/>
    <n v="13"/>
    <n v="0.12871287128712872"/>
    <n v="27"/>
    <n v="0.32500000000000001"/>
    <n v="1"/>
    <n v="1"/>
    <n v="57200"/>
    <n v="9523359.3261695988"/>
  </r>
  <r>
    <x v="2"/>
    <x v="0"/>
    <x v="20"/>
    <n v="2"/>
    <n v="1"/>
    <m/>
    <m/>
    <m/>
    <m/>
    <n v="1"/>
    <n v="1"/>
    <n v="5"/>
    <m/>
    <n v="0"/>
    <n v="0"/>
    <n v="33"/>
    <n v="15"/>
    <n v="0"/>
    <n v="0"/>
    <n v="0"/>
    <n v="0"/>
    <n v="0"/>
    <m/>
    <n v="0"/>
    <n v="0"/>
    <m/>
    <n v="0"/>
    <n v="48"/>
    <m/>
    <m/>
    <n v="1.5"/>
    <n v="15.2"/>
    <n v="12.1"/>
    <n v="2.99"/>
    <m/>
    <m/>
    <m/>
    <m/>
    <m/>
    <m/>
    <m/>
    <m/>
    <m/>
    <n v="31790"/>
    <n v="4"/>
    <n v="6358"/>
    <n v="48"/>
    <n v="5"/>
    <n v="0.10416666666666667"/>
    <n v="22"/>
    <n v="0.18518518518518517"/>
    <n v="1"/>
    <n v="1"/>
    <n v="27000"/>
    <n v="5418756.2646143995"/>
  </r>
  <r>
    <x v="2"/>
    <x v="1"/>
    <x v="21"/>
    <n v="1"/>
    <m/>
    <n v="3"/>
    <n v="1"/>
    <m/>
    <n v="1"/>
    <m/>
    <m/>
    <n v="6"/>
    <m/>
    <n v="0"/>
    <n v="0"/>
    <n v="0"/>
    <n v="176"/>
    <n v="0"/>
    <n v="0"/>
    <n v="0"/>
    <n v="0"/>
    <n v="0"/>
    <m/>
    <n v="0"/>
    <n v="0"/>
    <m/>
    <n v="0"/>
    <n v="176"/>
    <m/>
    <m/>
    <m/>
    <n v="10"/>
    <n v="17"/>
    <m/>
    <m/>
    <m/>
    <m/>
    <m/>
    <m/>
    <m/>
    <m/>
    <m/>
    <m/>
    <n v="27000"/>
    <n v="2"/>
    <n v="0"/>
    <n v="176"/>
    <n v="5"/>
    <m/>
    <n v="476"/>
    <n v="1.0395010395010396E-2"/>
    <n v="1.1200000000000001"/>
    <n v="1"/>
    <n v="43000"/>
    <n v="13014631.688115599"/>
  </r>
  <r>
    <x v="2"/>
    <x v="1"/>
    <x v="22"/>
    <n v="1"/>
    <n v="1"/>
    <n v="1"/>
    <m/>
    <m/>
    <m/>
    <m/>
    <m/>
    <n v="3"/>
    <m/>
    <n v="0"/>
    <n v="0"/>
    <n v="1"/>
    <n v="153"/>
    <n v="0"/>
    <n v="0"/>
    <n v="0"/>
    <n v="0"/>
    <n v="0"/>
    <m/>
    <n v="0"/>
    <n v="0"/>
    <m/>
    <n v="14"/>
    <n v="168"/>
    <m/>
    <m/>
    <m/>
    <n v="5"/>
    <n v="22"/>
    <m/>
    <m/>
    <n v="1.2"/>
    <m/>
    <n v="27"/>
    <m/>
    <m/>
    <m/>
    <m/>
    <m/>
    <n v="27000"/>
    <n v="4"/>
    <n v="27000"/>
    <n v="168"/>
    <n v="1"/>
    <n v="5.9523809523809521E-3"/>
    <n v="49"/>
    <n v="0.02"/>
    <n v="1"/>
    <n v="1"/>
    <n v="34849.999999999993"/>
    <n v="2057563.6594127999"/>
  </r>
  <r>
    <x v="2"/>
    <x v="0"/>
    <x v="23"/>
    <n v="2"/>
    <n v="1"/>
    <m/>
    <m/>
    <m/>
    <m/>
    <m/>
    <n v="1"/>
    <n v="4"/>
    <m/>
    <n v="0"/>
    <n v="0"/>
    <n v="32"/>
    <n v="67"/>
    <n v="0"/>
    <n v="5"/>
    <n v="4"/>
    <n v="0"/>
    <n v="0"/>
    <m/>
    <n v="0"/>
    <n v="0"/>
    <m/>
    <m/>
    <n v="108"/>
    <m/>
    <m/>
    <m/>
    <n v="5"/>
    <n v="4.4000000000000004"/>
    <m/>
    <n v="1.5"/>
    <n v="2"/>
    <m/>
    <m/>
    <m/>
    <m/>
    <m/>
    <m/>
    <m/>
    <n v="10900"/>
    <n v="4"/>
    <n v="5450"/>
    <n v="108"/>
    <n v="2"/>
    <n v="1.8518518518518517E-2"/>
    <n v="13"/>
    <n v="0.13333333333333333"/>
    <n v="1.0900000000000001"/>
    <n v="1"/>
    <n v="12900"/>
    <n v="3318172.6094639995"/>
  </r>
  <r>
    <x v="3"/>
    <x v="0"/>
    <x v="0"/>
    <m/>
    <n v="1"/>
    <n v="2"/>
    <n v="1"/>
    <m/>
    <n v="2"/>
    <m/>
    <m/>
    <n v="6"/>
    <n v="31"/>
    <n v="44"/>
    <n v="1"/>
    <n v="11"/>
    <n v="130"/>
    <n v="0"/>
    <n v="0"/>
    <n v="0"/>
    <n v="0"/>
    <n v="0"/>
    <n v="0"/>
    <n v="0"/>
    <m/>
    <m/>
    <m/>
    <n v="186"/>
    <m/>
    <m/>
    <m/>
    <n v="6"/>
    <n v="7"/>
    <m/>
    <m/>
    <m/>
    <m/>
    <m/>
    <m/>
    <m/>
    <n v="2"/>
    <m/>
    <m/>
    <n v="13000"/>
    <n v="3"/>
    <n v="928.57142857142856"/>
    <n v="186"/>
    <n v="14"/>
    <n v="7.5268817204301078E-2"/>
    <n v="44"/>
    <n v="0.2413793103448276"/>
    <n v="1.08"/>
    <n v="1"/>
    <n v="15000"/>
    <n v="7073795"/>
  </r>
  <r>
    <x v="3"/>
    <x v="1"/>
    <x v="1"/>
    <m/>
    <m/>
    <m/>
    <m/>
    <m/>
    <m/>
    <m/>
    <m/>
    <m/>
    <m/>
    <m/>
    <m/>
    <m/>
    <m/>
    <m/>
    <m/>
    <m/>
    <m/>
    <m/>
    <m/>
    <m/>
    <m/>
    <m/>
    <m/>
    <n v="0"/>
    <m/>
    <m/>
    <m/>
    <m/>
    <m/>
    <m/>
    <m/>
    <m/>
    <m/>
    <m/>
    <m/>
    <m/>
    <m/>
    <m/>
    <m/>
    <n v="0"/>
    <n v="0"/>
    <n v="0"/>
    <n v="0"/>
    <n v="0"/>
    <m/>
    <n v="0"/>
    <n v="0"/>
    <n v="0"/>
    <n v="0"/>
    <n v="0"/>
    <n v="0"/>
  </r>
  <r>
    <x v="3"/>
    <x v="2"/>
    <x v="2"/>
    <n v="1"/>
    <m/>
    <n v="1"/>
    <n v="1"/>
    <m/>
    <m/>
    <n v="1"/>
    <m/>
    <n v="4"/>
    <n v="70"/>
    <n v="43"/>
    <m/>
    <n v="43"/>
    <n v="110"/>
    <m/>
    <m/>
    <m/>
    <m/>
    <m/>
    <m/>
    <m/>
    <m/>
    <m/>
    <m/>
    <n v="196"/>
    <m/>
    <n v="20"/>
    <n v="6"/>
    <n v="25"/>
    <n v="20"/>
    <n v="5"/>
    <m/>
    <m/>
    <m/>
    <n v="10"/>
    <m/>
    <m/>
    <m/>
    <m/>
    <m/>
    <n v="76000"/>
    <n v="6"/>
    <n v="3800"/>
    <n v="196"/>
    <n v="20"/>
    <n v="0.10204081632653061"/>
    <n v="80"/>
    <n v="0.2"/>
    <n v="1.1100000000000001"/>
    <n v="1"/>
    <n v="86000"/>
    <n v="21302382"/>
  </r>
  <r>
    <x v="3"/>
    <x v="0"/>
    <x v="3"/>
    <n v="2"/>
    <n v="1"/>
    <n v="1"/>
    <m/>
    <n v="1"/>
    <m/>
    <m/>
    <m/>
    <n v="5"/>
    <n v="77"/>
    <n v="0"/>
    <n v="0"/>
    <n v="24"/>
    <n v="41"/>
    <n v="0"/>
    <n v="6"/>
    <n v="6"/>
    <n v="0"/>
    <n v="0"/>
    <n v="0"/>
    <n v="0"/>
    <n v="0"/>
    <m/>
    <m/>
    <n v="77"/>
    <m/>
    <m/>
    <m/>
    <n v="8"/>
    <n v="35"/>
    <m/>
    <m/>
    <n v="3"/>
    <m/>
    <m/>
    <m/>
    <m/>
    <m/>
    <m/>
    <m/>
    <n v="43000"/>
    <n v="3"/>
    <n v="10750"/>
    <n v="77"/>
    <n v="4"/>
    <n v="5.1948051948051951E-2"/>
    <n v="11"/>
    <n v="0.26666666666666666"/>
    <n v="1"/>
    <n v="1"/>
    <n v="46000"/>
    <n v="834293"/>
  </r>
  <r>
    <x v="3"/>
    <x v="0"/>
    <x v="4"/>
    <m/>
    <m/>
    <m/>
    <n v="1"/>
    <n v="1"/>
    <n v="1"/>
    <m/>
    <n v="1"/>
    <n v="4"/>
    <n v="53"/>
    <n v="19"/>
    <n v="5"/>
    <n v="17"/>
    <n v="0"/>
    <n v="0"/>
    <n v="0"/>
    <n v="0"/>
    <n v="0"/>
    <n v="0"/>
    <n v="0"/>
    <n v="53"/>
    <m/>
    <m/>
    <m/>
    <n v="94"/>
    <m/>
    <n v="9"/>
    <m/>
    <n v="6"/>
    <n v="8"/>
    <m/>
    <n v="1"/>
    <n v="1"/>
    <m/>
    <m/>
    <m/>
    <m/>
    <m/>
    <m/>
    <m/>
    <n v="24000"/>
    <n v="5"/>
    <n v="12000"/>
    <n v="94"/>
    <n v="2"/>
    <n v="2.1276595744680851E-2"/>
    <n v="42"/>
    <n v="4.5454545454545456E-2"/>
    <n v="0.76"/>
    <n v="0.25"/>
    <n v="25000"/>
    <n v="1376131"/>
  </r>
  <r>
    <x v="3"/>
    <x v="2"/>
    <x v="5"/>
    <n v="1"/>
    <m/>
    <n v="2"/>
    <n v="1"/>
    <m/>
    <m/>
    <n v="1"/>
    <m/>
    <n v="5"/>
    <n v="22"/>
    <n v="5"/>
    <m/>
    <n v="5"/>
    <n v="34"/>
    <m/>
    <m/>
    <m/>
    <m/>
    <m/>
    <m/>
    <m/>
    <m/>
    <m/>
    <m/>
    <n v="44"/>
    <m/>
    <n v="40"/>
    <m/>
    <n v="10"/>
    <n v="9"/>
    <m/>
    <m/>
    <n v="1"/>
    <m/>
    <n v="29"/>
    <n v="4"/>
    <m/>
    <m/>
    <m/>
    <m/>
    <n v="59000"/>
    <n v="6"/>
    <n v="11800"/>
    <n v="44"/>
    <n v="5"/>
    <n v="0.11363636363636363"/>
    <n v="260"/>
    <n v="1.8867924528301886E-2"/>
    <n v="1.03"/>
    <n v="1"/>
    <n v="93000"/>
    <n v="23920357"/>
  </r>
  <r>
    <x v="3"/>
    <x v="2"/>
    <x v="6"/>
    <m/>
    <m/>
    <n v="1"/>
    <n v="2"/>
    <n v="1"/>
    <m/>
    <m/>
    <m/>
    <n v="4"/>
    <m/>
    <n v="2"/>
    <m/>
    <n v="70"/>
    <n v="72"/>
    <m/>
    <m/>
    <m/>
    <m/>
    <m/>
    <m/>
    <m/>
    <m/>
    <m/>
    <m/>
    <n v="144"/>
    <m/>
    <n v="69"/>
    <n v="7"/>
    <n v="20"/>
    <n v="7"/>
    <m/>
    <m/>
    <n v="0.2"/>
    <m/>
    <m/>
    <m/>
    <m/>
    <m/>
    <m/>
    <m/>
    <n v="103000"/>
    <n v="5"/>
    <n v="9363.636363636364"/>
    <n v="144"/>
    <n v="11"/>
    <n v="7.6388888888888895E-2"/>
    <n v="181"/>
    <n v="5.7291666666666664E-2"/>
    <n v="0"/>
    <n v="1"/>
    <n v="103200"/>
    <n v="11992806"/>
  </r>
  <r>
    <x v="3"/>
    <x v="2"/>
    <x v="7"/>
    <n v="2"/>
    <m/>
    <n v="1"/>
    <n v="1"/>
    <m/>
    <m/>
    <n v="1"/>
    <m/>
    <n v="5"/>
    <n v="23"/>
    <n v="20"/>
    <m/>
    <n v="88"/>
    <n v="49"/>
    <m/>
    <n v="1"/>
    <m/>
    <m/>
    <m/>
    <m/>
    <m/>
    <m/>
    <m/>
    <m/>
    <n v="158"/>
    <m/>
    <n v="12"/>
    <n v="17"/>
    <n v="15"/>
    <n v="13"/>
    <m/>
    <m/>
    <n v="1"/>
    <m/>
    <n v="4"/>
    <m/>
    <m/>
    <m/>
    <m/>
    <m/>
    <n v="57000"/>
    <n v="6"/>
    <n v="3166.6666666666665"/>
    <n v="158"/>
    <n v="18"/>
    <n v="0.11392405063291139"/>
    <n v="23"/>
    <n v="0.43902439024390244"/>
    <n v="1.08"/>
    <n v="1"/>
    <n v="62000"/>
    <n v="7524897"/>
  </r>
  <r>
    <x v="3"/>
    <x v="0"/>
    <x v="8"/>
    <m/>
    <m/>
    <n v="2"/>
    <m/>
    <n v="1"/>
    <n v="1"/>
    <m/>
    <m/>
    <n v="4"/>
    <n v="51"/>
    <n v="9"/>
    <n v="3"/>
    <n v="40"/>
    <n v="38"/>
    <n v="16"/>
    <n v="13"/>
    <n v="19"/>
    <n v="0"/>
    <n v="20"/>
    <n v="0"/>
    <n v="0"/>
    <n v="28"/>
    <m/>
    <m/>
    <n v="186"/>
    <m/>
    <n v="15"/>
    <n v="4"/>
    <n v="15"/>
    <n v="20"/>
    <n v="7"/>
    <n v="5"/>
    <n v="3"/>
    <m/>
    <n v="30"/>
    <m/>
    <m/>
    <n v="10"/>
    <m/>
    <m/>
    <n v="66000"/>
    <n v="9"/>
    <n v="4400"/>
    <n v="186"/>
    <n v="15"/>
    <n v="8.0645161290322578E-2"/>
    <n v="27"/>
    <n v="0.35714285714285715"/>
    <n v="0.88"/>
    <n v="0.5"/>
    <n v="109000"/>
    <n v="1989943"/>
  </r>
  <r>
    <x v="3"/>
    <x v="1"/>
    <x v="9"/>
    <n v="1"/>
    <n v="1"/>
    <n v="1"/>
    <n v="1"/>
    <m/>
    <m/>
    <m/>
    <m/>
    <n v="4"/>
    <n v="134"/>
    <n v="12"/>
    <n v="0"/>
    <n v="13"/>
    <n v="87"/>
    <n v="84"/>
    <n v="0"/>
    <m/>
    <n v="0"/>
    <n v="0"/>
    <n v="0"/>
    <n v="0"/>
    <n v="0"/>
    <n v="0"/>
    <m/>
    <n v="196"/>
    <m/>
    <n v="12"/>
    <m/>
    <n v="10"/>
    <n v="20"/>
    <n v="22"/>
    <m/>
    <n v="7"/>
    <n v="1"/>
    <m/>
    <m/>
    <m/>
    <m/>
    <m/>
    <m/>
    <n v="64000"/>
    <n v="6"/>
    <n v="2560"/>
    <n v="196"/>
    <n v="25"/>
    <n v="0.12755102040816327"/>
    <n v="56"/>
    <n v="0.30864197530864196"/>
    <n v="1.25"/>
    <n v="1"/>
    <n v="72000"/>
    <n v="4842811"/>
  </r>
  <r>
    <x v="3"/>
    <x v="0"/>
    <x v="10"/>
    <n v="1"/>
    <m/>
    <n v="1"/>
    <n v="1"/>
    <n v="1"/>
    <m/>
    <m/>
    <m/>
    <n v="4"/>
    <n v="35"/>
    <n v="92"/>
    <n v="0"/>
    <n v="17"/>
    <n v="78"/>
    <n v="0"/>
    <n v="0"/>
    <n v="0"/>
    <n v="0"/>
    <n v="0"/>
    <n v="0"/>
    <n v="0"/>
    <n v="0"/>
    <m/>
    <m/>
    <n v="187"/>
    <m/>
    <n v="50"/>
    <m/>
    <n v="4"/>
    <n v="15"/>
    <m/>
    <m/>
    <m/>
    <m/>
    <m/>
    <m/>
    <m/>
    <m/>
    <m/>
    <m/>
    <n v="69000"/>
    <n v="3"/>
    <n v="5750"/>
    <n v="187"/>
    <n v="12"/>
    <n v="6.4171122994652413E-2"/>
    <n v="35"/>
    <n v="0.25531914893617019"/>
    <n v="1.1599999999999999"/>
    <n v="1"/>
    <n v="69000"/>
    <n v="7200042"/>
  </r>
  <r>
    <x v="3"/>
    <x v="1"/>
    <x v="11"/>
    <n v="2"/>
    <n v="1"/>
    <n v="2"/>
    <m/>
    <n v="1"/>
    <m/>
    <m/>
    <m/>
    <n v="6"/>
    <n v="42"/>
    <n v="0"/>
    <n v="0"/>
    <n v="79"/>
    <n v="3"/>
    <n v="0"/>
    <n v="9"/>
    <n v="0"/>
    <n v="0"/>
    <n v="0"/>
    <n v="0"/>
    <n v="0"/>
    <n v="0"/>
    <n v="0"/>
    <n v="0"/>
    <n v="91"/>
    <m/>
    <n v="26.7"/>
    <m/>
    <n v="27"/>
    <n v="3"/>
    <m/>
    <n v="3"/>
    <m/>
    <m/>
    <m/>
    <m/>
    <m/>
    <m/>
    <m/>
    <m/>
    <n v="59700"/>
    <n v="4"/>
    <n v="11940"/>
    <n v="91"/>
    <n v="5"/>
    <n v="5.4945054945054944E-2"/>
    <n v="50"/>
    <n v="9.0909090909090912E-2"/>
    <n v="1.04"/>
    <n v="1"/>
    <n v="59700"/>
    <n v="1506426"/>
  </r>
  <r>
    <x v="3"/>
    <x v="0"/>
    <x v="12"/>
    <n v="1"/>
    <m/>
    <n v="1"/>
    <n v="2"/>
    <n v="1"/>
    <m/>
    <m/>
    <m/>
    <n v="5"/>
    <m/>
    <n v="9"/>
    <n v="0"/>
    <n v="29"/>
    <n v="40"/>
    <n v="0"/>
    <n v="6"/>
    <n v="0"/>
    <n v="0"/>
    <n v="0"/>
    <n v="0"/>
    <n v="0"/>
    <n v="0"/>
    <m/>
    <m/>
    <n v="84"/>
    <m/>
    <n v="20"/>
    <s v="    "/>
    <n v="14"/>
    <n v="24"/>
    <n v="2"/>
    <n v="3"/>
    <m/>
    <m/>
    <m/>
    <m/>
    <m/>
    <m/>
    <m/>
    <m/>
    <n v="63000"/>
    <n v="5"/>
    <n v="2100"/>
    <n v="84"/>
    <n v="30"/>
    <n v="0.35714285714285715"/>
    <n v="44"/>
    <n v="0.40540540540540543"/>
    <n v="0.96"/>
    <n v="0.75"/>
    <n v="63000"/>
    <n v="6121941"/>
  </r>
  <r>
    <x v="3"/>
    <x v="1"/>
    <x v="13"/>
    <n v="1"/>
    <m/>
    <m/>
    <n v="1"/>
    <m/>
    <m/>
    <m/>
    <m/>
    <n v="2"/>
    <n v="94"/>
    <n v="16"/>
    <n v="0"/>
    <n v="15"/>
    <n v="22"/>
    <n v="0"/>
    <n v="0"/>
    <n v="0"/>
    <m/>
    <m/>
    <m/>
    <m/>
    <m/>
    <m/>
    <m/>
    <n v="53"/>
    <m/>
    <n v="10"/>
    <n v="5"/>
    <n v="15"/>
    <n v="7"/>
    <m/>
    <m/>
    <n v="1"/>
    <m/>
    <m/>
    <m/>
    <m/>
    <m/>
    <m/>
    <m/>
    <n v="37000"/>
    <n v="5"/>
    <n v="4625"/>
    <n v="53"/>
    <n v="8"/>
    <n v="0.15094339622641509"/>
    <n v="84"/>
    <n v="8.6956521739130432E-2"/>
    <n v="0.61"/>
    <n v="0"/>
    <n v="38000"/>
    <n v="0"/>
  </r>
  <r>
    <x v="3"/>
    <x v="0"/>
    <x v="14"/>
    <n v="1"/>
    <m/>
    <n v="1"/>
    <m/>
    <n v="1"/>
    <m/>
    <n v="1"/>
    <m/>
    <n v="4"/>
    <n v="36"/>
    <n v="0"/>
    <n v="10"/>
    <n v="14"/>
    <n v="38"/>
    <n v="0"/>
    <n v="0"/>
    <n v="0"/>
    <n v="0"/>
    <n v="0"/>
    <n v="0"/>
    <n v="0"/>
    <n v="20"/>
    <m/>
    <m/>
    <n v="82"/>
    <m/>
    <m/>
    <n v="2"/>
    <n v="4"/>
    <n v="11"/>
    <m/>
    <m/>
    <m/>
    <m/>
    <m/>
    <m/>
    <m/>
    <m/>
    <m/>
    <m/>
    <n v="17000"/>
    <n v="3"/>
    <n v="2833.3333333333335"/>
    <n v="82"/>
    <n v="6"/>
    <n v="7.3170731707317069E-2"/>
    <n v="60"/>
    <n v="9.0909090909090912E-2"/>
    <n v="1.36"/>
    <n v="1"/>
    <n v="17000"/>
    <n v="9063119"/>
  </r>
  <r>
    <x v="3"/>
    <x v="1"/>
    <x v="15"/>
    <n v="4"/>
    <n v="2"/>
    <m/>
    <m/>
    <m/>
    <m/>
    <m/>
    <n v="1"/>
    <n v="7"/>
    <n v="74"/>
    <m/>
    <n v="0"/>
    <n v="0"/>
    <n v="81"/>
    <n v="8"/>
    <n v="0"/>
    <n v="0"/>
    <n v="0"/>
    <n v="0"/>
    <n v="0"/>
    <n v="0"/>
    <n v="0"/>
    <n v="0"/>
    <m/>
    <n v="89"/>
    <m/>
    <m/>
    <m/>
    <n v="23"/>
    <n v="40"/>
    <n v="50"/>
    <m/>
    <m/>
    <n v="5"/>
    <m/>
    <m/>
    <m/>
    <m/>
    <m/>
    <m/>
    <n v="113000"/>
    <n v="4"/>
    <n v="56500"/>
    <n v="89"/>
    <n v="2"/>
    <n v="2.247191011235955E-2"/>
    <n v="225"/>
    <n v="8.8105726872246704E-3"/>
    <n v="0.96"/>
    <n v="0.75"/>
    <n v="118000"/>
    <n v="10348650"/>
  </r>
  <r>
    <x v="3"/>
    <x v="1"/>
    <x v="16"/>
    <n v="1"/>
    <n v="1"/>
    <n v="1"/>
    <n v="1"/>
    <n v="1"/>
    <m/>
    <m/>
    <m/>
    <n v="5"/>
    <n v="88"/>
    <n v="0"/>
    <n v="0"/>
    <n v="59"/>
    <n v="32"/>
    <n v="1"/>
    <n v="11"/>
    <n v="0"/>
    <n v="0"/>
    <n v="0"/>
    <n v="0"/>
    <n v="0"/>
    <n v="0"/>
    <n v="0"/>
    <n v="59"/>
    <n v="162"/>
    <m/>
    <n v="52"/>
    <n v="24"/>
    <n v="50"/>
    <n v="24"/>
    <n v="10"/>
    <m/>
    <n v="3"/>
    <n v="3"/>
    <m/>
    <m/>
    <n v="5"/>
    <m/>
    <m/>
    <n v="32"/>
    <n v="192000"/>
    <n v="9"/>
    <n v="12000"/>
    <n v="162"/>
    <n v="16"/>
    <n v="9.8765432098765427E-2"/>
    <n v="169"/>
    <n v="8.6486486486486491E-2"/>
    <n v="1.32"/>
    <n v="1"/>
    <n v="203000"/>
    <n v="10219185"/>
  </r>
  <r>
    <x v="3"/>
    <x v="2"/>
    <x v="17"/>
    <n v="1"/>
    <n v="1"/>
    <n v="2"/>
    <m/>
    <n v="2"/>
    <m/>
    <n v="1"/>
    <m/>
    <n v="7"/>
    <m/>
    <m/>
    <m/>
    <n v="40"/>
    <n v="83"/>
    <m/>
    <n v="15"/>
    <m/>
    <m/>
    <m/>
    <m/>
    <m/>
    <m/>
    <m/>
    <m/>
    <n v="138"/>
    <m/>
    <n v="42"/>
    <m/>
    <n v="12"/>
    <n v="16"/>
    <m/>
    <n v="9"/>
    <n v="3"/>
    <m/>
    <n v="3"/>
    <m/>
    <m/>
    <m/>
    <m/>
    <m/>
    <n v="79000"/>
    <n v="6"/>
    <n v="4388.8888888888887"/>
    <n v="138"/>
    <n v="18"/>
    <n v="0.13043478260869565"/>
    <n v="183"/>
    <n v="8.9552238805970144E-2"/>
    <n v="1.06"/>
    <n v="1"/>
    <n v="85000"/>
    <n v="32805716"/>
  </r>
  <r>
    <x v="3"/>
    <x v="0"/>
    <x v="18"/>
    <n v="1"/>
    <n v="1"/>
    <n v="2"/>
    <m/>
    <n v="1"/>
    <n v="1"/>
    <m/>
    <m/>
    <n v="6"/>
    <n v="74"/>
    <n v="0"/>
    <n v="0"/>
    <n v="19"/>
    <n v="84"/>
    <n v="0"/>
    <n v="27"/>
    <n v="0"/>
    <n v="0"/>
    <n v="0"/>
    <n v="0"/>
    <n v="0"/>
    <m/>
    <m/>
    <m/>
    <n v="130"/>
    <m/>
    <m/>
    <n v="2"/>
    <n v="15"/>
    <n v="11"/>
    <n v="3"/>
    <m/>
    <m/>
    <m/>
    <m/>
    <m/>
    <m/>
    <m/>
    <m/>
    <m/>
    <n v="31000"/>
    <n v="4"/>
    <n v="3444.4444444444443"/>
    <n v="130"/>
    <n v="9"/>
    <n v="6.9230769230769235E-2"/>
    <n v="87"/>
    <n v="9.375E-2"/>
    <n v="1.44"/>
    <n v="1"/>
    <n v="31000"/>
    <n v="8411181"/>
  </r>
  <r>
    <x v="3"/>
    <x v="2"/>
    <x v="19"/>
    <n v="1"/>
    <m/>
    <n v="1"/>
    <n v="1"/>
    <m/>
    <m/>
    <n v="1"/>
    <m/>
    <n v="4"/>
    <n v="22"/>
    <n v="30"/>
    <m/>
    <n v="16"/>
    <n v="20"/>
    <m/>
    <n v="18"/>
    <m/>
    <m/>
    <m/>
    <m/>
    <m/>
    <m/>
    <m/>
    <m/>
    <n v="84"/>
    <m/>
    <n v="20"/>
    <m/>
    <n v="9"/>
    <n v="8"/>
    <m/>
    <n v="9"/>
    <n v="2"/>
    <m/>
    <n v="5"/>
    <m/>
    <m/>
    <m/>
    <m/>
    <m/>
    <n v="46000"/>
    <n v="6"/>
    <n v="1586.2068965517242"/>
    <n v="84"/>
    <n v="29"/>
    <n v="0.34523809523809523"/>
    <n v="56"/>
    <n v="0.3411764705882353"/>
    <n v="1.04"/>
    <n v="1"/>
    <n v="53000"/>
    <n v="10323796"/>
  </r>
  <r>
    <x v="3"/>
    <x v="0"/>
    <x v="20"/>
    <n v="1"/>
    <m/>
    <n v="3"/>
    <n v="1"/>
    <n v="1"/>
    <m/>
    <n v="2"/>
    <m/>
    <n v="8"/>
    <n v="20"/>
    <n v="0"/>
    <n v="0"/>
    <n v="35"/>
    <n v="32"/>
    <n v="0"/>
    <n v="5"/>
    <n v="0"/>
    <n v="0"/>
    <n v="0"/>
    <n v="0"/>
    <n v="0"/>
    <n v="0"/>
    <m/>
    <m/>
    <n v="72"/>
    <m/>
    <m/>
    <n v="5"/>
    <n v="10"/>
    <n v="17"/>
    <m/>
    <n v="3"/>
    <n v="2"/>
    <m/>
    <m/>
    <m/>
    <m/>
    <m/>
    <m/>
    <m/>
    <n v="35000"/>
    <n v="5"/>
    <n v="7000"/>
    <n v="72"/>
    <n v="5"/>
    <n v="6.9444444444444448E-2"/>
    <n v="42"/>
    <n v="0.10638297872340426"/>
    <n v="1.04"/>
    <n v="1"/>
    <n v="37000"/>
    <n v="6450246"/>
  </r>
  <r>
    <x v="3"/>
    <x v="1"/>
    <x v="21"/>
    <m/>
    <n v="1"/>
    <n v="1"/>
    <n v="1"/>
    <n v="1"/>
    <n v="1"/>
    <m/>
    <m/>
    <n v="5"/>
    <n v="67"/>
    <m/>
    <n v="0"/>
    <n v="0"/>
    <n v="176"/>
    <n v="0"/>
    <n v="0"/>
    <n v="0"/>
    <n v="0"/>
    <n v="0"/>
    <n v="0"/>
    <n v="0"/>
    <n v="0"/>
    <n v="0"/>
    <m/>
    <n v="176"/>
    <m/>
    <m/>
    <m/>
    <m/>
    <n v="19"/>
    <n v="24"/>
    <m/>
    <m/>
    <m/>
    <m/>
    <m/>
    <m/>
    <m/>
    <m/>
    <m/>
    <n v="43000"/>
    <n v="2"/>
    <n v="21500"/>
    <n v="176"/>
    <n v="2"/>
    <m/>
    <n v="117"/>
    <n v="1.680672268907563E-2"/>
    <n v="1.25"/>
    <n v="1"/>
    <n v="43000"/>
    <n v="6224500"/>
  </r>
  <r>
    <x v="3"/>
    <x v="1"/>
    <x v="22"/>
    <n v="1"/>
    <n v="1"/>
    <n v="2"/>
    <m/>
    <m/>
    <m/>
    <m/>
    <m/>
    <n v="4"/>
    <n v="16"/>
    <m/>
    <n v="0"/>
    <n v="0"/>
    <n v="0"/>
    <n v="159"/>
    <n v="0"/>
    <n v="0"/>
    <n v="0"/>
    <n v="0"/>
    <n v="0"/>
    <n v="0"/>
    <n v="0"/>
    <n v="9"/>
    <m/>
    <n v="168"/>
    <m/>
    <m/>
    <n v="8.3689999999999998"/>
    <n v="7.06"/>
    <m/>
    <n v="25"/>
    <m/>
    <m/>
    <n v="0.93700000000000006"/>
    <m/>
    <m/>
    <n v="4"/>
    <m/>
    <m/>
    <m/>
    <n v="40429"/>
    <n v="5"/>
    <n v="13476.333333333334"/>
    <n v="168"/>
    <n v="3"/>
    <n v="1.7857142857142856E-2"/>
    <n v="70"/>
    <n v="4.1095890410958902E-2"/>
    <n v="1.04"/>
    <n v="1"/>
    <n v="45366"/>
    <n v="1856445"/>
  </r>
  <r>
    <x v="3"/>
    <x v="0"/>
    <x v="23"/>
    <n v="1"/>
    <n v="1"/>
    <m/>
    <m/>
    <n v="2"/>
    <m/>
    <m/>
    <n v="1"/>
    <n v="5"/>
    <n v="9"/>
    <n v="45"/>
    <n v="0"/>
    <n v="36"/>
    <n v="50"/>
    <n v="0"/>
    <n v="10"/>
    <n v="0"/>
    <n v="0"/>
    <n v="0"/>
    <n v="0"/>
    <n v="0"/>
    <m/>
    <m/>
    <m/>
    <n v="141"/>
    <m/>
    <n v="100"/>
    <n v="2"/>
    <n v="7"/>
    <n v="4"/>
    <n v="1"/>
    <n v="1"/>
    <m/>
    <m/>
    <m/>
    <m/>
    <m/>
    <m/>
    <m/>
    <m/>
    <n v="115000"/>
    <n v="6"/>
    <n v="38333.333333333336"/>
    <n v="141"/>
    <n v="3"/>
    <n v="2.1276595744680851E-2"/>
    <n v="35"/>
    <n v="7.8947368421052627E-2"/>
    <n v="0.95"/>
    <n v="0.75"/>
    <n v="115000"/>
    <n v="3024553"/>
  </r>
  <r>
    <x v="4"/>
    <x v="0"/>
    <x v="0"/>
    <n v="1"/>
    <m/>
    <n v="1"/>
    <m/>
    <n v="1"/>
    <n v="1"/>
    <m/>
    <m/>
    <n v="4"/>
    <n v="20"/>
    <n v="17"/>
    <m/>
    <n v="61"/>
    <n v="75"/>
    <m/>
    <m/>
    <m/>
    <m/>
    <m/>
    <m/>
    <m/>
    <m/>
    <m/>
    <m/>
    <n v="153"/>
    <m/>
    <n v="7"/>
    <m/>
    <n v="3"/>
    <n v="5"/>
    <m/>
    <m/>
    <n v="2"/>
    <m/>
    <n v="3"/>
    <m/>
    <m/>
    <m/>
    <m/>
    <n v="2"/>
    <n v="17000"/>
    <n v="6"/>
    <n v="4250"/>
    <n v="153"/>
    <n v="4"/>
    <n v="2.6143790849673203E-2"/>
    <n v="21"/>
    <n v="0.16"/>
    <n v="1.05"/>
    <n v="1"/>
    <n v="22000"/>
    <n v="3750342"/>
  </r>
  <r>
    <x v="4"/>
    <x v="1"/>
    <x v="1"/>
    <m/>
    <m/>
    <m/>
    <m/>
    <m/>
    <m/>
    <m/>
    <m/>
    <m/>
    <m/>
    <m/>
    <m/>
    <m/>
    <m/>
    <m/>
    <m/>
    <m/>
    <m/>
    <m/>
    <m/>
    <m/>
    <m/>
    <m/>
    <m/>
    <n v="79"/>
    <m/>
    <m/>
    <m/>
    <m/>
    <m/>
    <m/>
    <m/>
    <m/>
    <m/>
    <m/>
    <m/>
    <m/>
    <m/>
    <m/>
    <m/>
    <n v="0"/>
    <n v="0"/>
    <n v="0"/>
    <n v="79"/>
    <n v="0"/>
    <m/>
    <n v="0"/>
    <n v="0"/>
    <n v="0"/>
    <n v="0"/>
    <n v="0"/>
    <n v="0"/>
  </r>
  <r>
    <x v="4"/>
    <x v="2"/>
    <x v="2"/>
    <m/>
    <n v="1"/>
    <m/>
    <m/>
    <m/>
    <n v="1"/>
    <n v="2"/>
    <n v="1"/>
    <n v="5"/>
    <n v="86"/>
    <n v="0"/>
    <n v="0"/>
    <n v="60"/>
    <n v="112"/>
    <n v="0"/>
    <n v="2"/>
    <n v="0"/>
    <n v="0"/>
    <n v="0"/>
    <n v="0"/>
    <n v="0"/>
    <n v="0"/>
    <n v="0"/>
    <n v="0"/>
    <n v="174"/>
    <m/>
    <n v="5"/>
    <n v="6"/>
    <n v="25"/>
    <n v="25"/>
    <n v="6"/>
    <m/>
    <n v="6"/>
    <m/>
    <n v="20"/>
    <m/>
    <m/>
    <n v="22"/>
    <m/>
    <n v="6"/>
    <n v="73000"/>
    <n v="9"/>
    <n v="2807.6923076923076"/>
    <n v="174"/>
    <n v="26"/>
    <n v="0.14942528735632185"/>
    <n v="73"/>
    <n v="0.26262626262626265"/>
    <n v="1.08"/>
    <n v="1"/>
    <n v="121000"/>
    <n v="29744749"/>
  </r>
  <r>
    <x v="4"/>
    <x v="0"/>
    <x v="3"/>
    <n v="1"/>
    <m/>
    <m/>
    <m/>
    <n v="2"/>
    <m/>
    <n v="2"/>
    <n v="1"/>
    <n v="6"/>
    <n v="48"/>
    <n v="40"/>
    <m/>
    <n v="24"/>
    <n v="62"/>
    <n v="18"/>
    <n v="14"/>
    <n v="5"/>
    <m/>
    <m/>
    <m/>
    <m/>
    <m/>
    <m/>
    <m/>
    <n v="163"/>
    <m/>
    <n v="23"/>
    <m/>
    <n v="6"/>
    <n v="34"/>
    <m/>
    <n v="10"/>
    <n v="7"/>
    <m/>
    <m/>
    <m/>
    <m/>
    <m/>
    <m/>
    <m/>
    <n v="73000"/>
    <n v="5"/>
    <n v="3650"/>
    <n v="163"/>
    <n v="20"/>
    <n v="0.12269938650306748"/>
    <n v="45"/>
    <n v="0.30769230769230771"/>
    <n v="1.05"/>
    <n v="1"/>
    <n v="80000"/>
    <n v="2443715"/>
  </r>
  <r>
    <x v="4"/>
    <x v="0"/>
    <x v="4"/>
    <n v="1"/>
    <n v="1"/>
    <n v="1"/>
    <m/>
    <m/>
    <m/>
    <n v="1"/>
    <m/>
    <n v="4"/>
    <n v="22"/>
    <m/>
    <m/>
    <n v="53"/>
    <n v="12"/>
    <m/>
    <m/>
    <m/>
    <m/>
    <m/>
    <m/>
    <m/>
    <m/>
    <m/>
    <m/>
    <n v="65"/>
    <m/>
    <m/>
    <n v="5"/>
    <n v="6"/>
    <n v="3"/>
    <m/>
    <m/>
    <m/>
    <m/>
    <m/>
    <m/>
    <m/>
    <m/>
    <m/>
    <m/>
    <n v="14000"/>
    <n v="3"/>
    <n v="4666.666666666667"/>
    <n v="65"/>
    <n v="3"/>
    <n v="4.6153846153846156E-2"/>
    <n v="24"/>
    <n v="0.1111111111111111"/>
    <n v="1"/>
    <n v="1"/>
    <n v="14000"/>
    <n v="2035143"/>
  </r>
  <r>
    <x v="4"/>
    <x v="2"/>
    <x v="5"/>
    <m/>
    <m/>
    <m/>
    <m/>
    <n v="1"/>
    <n v="1"/>
    <m/>
    <m/>
    <n v="2"/>
    <n v="23"/>
    <n v="5"/>
    <n v="0"/>
    <n v="17"/>
    <n v="59"/>
    <n v="0"/>
    <n v="0"/>
    <n v="0"/>
    <n v="0"/>
    <n v="9"/>
    <n v="0"/>
    <n v="0"/>
    <n v="0"/>
    <n v="0"/>
    <n v="0"/>
    <n v="90"/>
    <m/>
    <n v="30"/>
    <n v="5"/>
    <n v="10"/>
    <n v="9"/>
    <m/>
    <m/>
    <n v="1"/>
    <m/>
    <n v="29"/>
    <m/>
    <n v="4"/>
    <m/>
    <m/>
    <m/>
    <n v="54000"/>
    <n v="7"/>
    <n v="5400"/>
    <n v="90"/>
    <n v="10"/>
    <n v="0.1111111111111111"/>
    <n v="284"/>
    <n v="3.4013605442176874E-2"/>
    <n v="0.93"/>
    <n v="0.75"/>
    <n v="88000"/>
    <n v="15011325"/>
  </r>
  <r>
    <x v="4"/>
    <x v="2"/>
    <x v="6"/>
    <m/>
    <m/>
    <n v="1"/>
    <m/>
    <m/>
    <m/>
    <n v="2"/>
    <n v="1"/>
    <n v="4"/>
    <n v="41"/>
    <n v="41"/>
    <n v="0"/>
    <n v="8"/>
    <n v="2"/>
    <n v="0"/>
    <n v="0"/>
    <n v="0"/>
    <n v="0"/>
    <n v="0"/>
    <n v="0"/>
    <n v="0"/>
    <n v="0"/>
    <n v="0"/>
    <n v="0"/>
    <n v="51"/>
    <m/>
    <m/>
    <m/>
    <n v="15"/>
    <n v="5"/>
    <m/>
    <m/>
    <n v="0.15"/>
    <m/>
    <m/>
    <m/>
    <n v="10"/>
    <n v="24"/>
    <m/>
    <m/>
    <n v="20000"/>
    <n v="5"/>
    <n v="2000"/>
    <n v="51"/>
    <n v="10"/>
    <n v="0.19607843137254902"/>
    <n v="59"/>
    <n v="0.14492753623188406"/>
    <n v="1"/>
    <n v="1"/>
    <n v="54150"/>
    <n v="12465500"/>
  </r>
  <r>
    <x v="4"/>
    <x v="2"/>
    <x v="7"/>
    <m/>
    <m/>
    <n v="1"/>
    <m/>
    <n v="1"/>
    <n v="1"/>
    <m/>
    <n v="1"/>
    <n v="4"/>
    <n v="28"/>
    <n v="25"/>
    <n v="43"/>
    <n v="86"/>
    <n v="66"/>
    <n v="0"/>
    <n v="0"/>
    <n v="0"/>
    <n v="0"/>
    <n v="0"/>
    <n v="0"/>
    <n v="0"/>
    <n v="0"/>
    <n v="0"/>
    <n v="0"/>
    <n v="220"/>
    <m/>
    <m/>
    <n v="17"/>
    <n v="15"/>
    <n v="13"/>
    <m/>
    <m/>
    <n v="1"/>
    <m/>
    <n v="3.6"/>
    <m/>
    <m/>
    <m/>
    <m/>
    <m/>
    <n v="45000"/>
    <n v="5"/>
    <n v="1607.1428571428571"/>
    <n v="220"/>
    <n v="28"/>
    <n v="0.12727272727272726"/>
    <n v="25"/>
    <n v="0.52830188679245282"/>
    <n v="1.2"/>
    <n v="1"/>
    <n v="49600"/>
    <n v="13676809"/>
  </r>
  <r>
    <x v="4"/>
    <x v="0"/>
    <x v="8"/>
    <n v="2"/>
    <m/>
    <m/>
    <m/>
    <n v="1"/>
    <m/>
    <n v="1"/>
    <n v="2"/>
    <n v="6"/>
    <n v="6"/>
    <n v="16"/>
    <m/>
    <m/>
    <n v="5"/>
    <n v="1"/>
    <n v="112"/>
    <m/>
    <m/>
    <m/>
    <m/>
    <m/>
    <m/>
    <m/>
    <m/>
    <n v="134"/>
    <m/>
    <n v="6"/>
    <n v="5"/>
    <m/>
    <n v="15"/>
    <n v="5"/>
    <n v="20"/>
    <n v="1"/>
    <m/>
    <m/>
    <m/>
    <m/>
    <m/>
    <m/>
    <m/>
    <n v="51000"/>
    <n v="6"/>
    <n v="2684.2105263157896"/>
    <n v="134"/>
    <n v="19"/>
    <n v="0.1417910447761194"/>
    <n v="29"/>
    <n v="0.39583333333333331"/>
    <n v="1.25"/>
    <n v="1"/>
    <n v="52000"/>
    <n v="5785932"/>
  </r>
  <r>
    <x v="4"/>
    <x v="1"/>
    <x v="9"/>
    <n v="1"/>
    <m/>
    <m/>
    <n v="1"/>
    <m/>
    <m/>
    <m/>
    <n v="1"/>
    <n v="3"/>
    <n v="76"/>
    <n v="73"/>
    <n v="21"/>
    <n v="49"/>
    <n v="48"/>
    <n v="0"/>
    <n v="0"/>
    <n v="0"/>
    <n v="0"/>
    <n v="0"/>
    <n v="0"/>
    <n v="0"/>
    <n v="0"/>
    <n v="0"/>
    <n v="0"/>
    <n v="191"/>
    <m/>
    <m/>
    <n v="10"/>
    <n v="12"/>
    <n v="35"/>
    <m/>
    <m/>
    <n v="1"/>
    <m/>
    <m/>
    <m/>
    <n v="3"/>
    <m/>
    <m/>
    <m/>
    <n v="57000"/>
    <n v="5"/>
    <n v="3562.5"/>
    <n v="191"/>
    <n v="16"/>
    <n v="8.3769633507853408E-2"/>
    <n v="30"/>
    <n v="0.34782608695652173"/>
    <n v="0.96"/>
    <n v="0.75"/>
    <n v="61000"/>
    <n v="3877023"/>
  </r>
  <r>
    <x v="4"/>
    <x v="0"/>
    <x v="10"/>
    <n v="1"/>
    <m/>
    <m/>
    <m/>
    <n v="1"/>
    <m/>
    <n v="2"/>
    <n v="1"/>
    <n v="5"/>
    <n v="27"/>
    <n v="50"/>
    <m/>
    <n v="16"/>
    <n v="66"/>
    <m/>
    <n v="47"/>
    <m/>
    <m/>
    <m/>
    <m/>
    <m/>
    <m/>
    <m/>
    <m/>
    <n v="179"/>
    <m/>
    <n v="14"/>
    <m/>
    <n v="6"/>
    <n v="14"/>
    <m/>
    <n v="12"/>
    <m/>
    <m/>
    <n v="8"/>
    <m/>
    <m/>
    <n v="4"/>
    <m/>
    <m/>
    <n v="46000"/>
    <n v="6"/>
    <n v="4600"/>
    <n v="179"/>
    <n v="10"/>
    <n v="5.5865921787709494E-2"/>
    <n v="39"/>
    <n v="0.20408163265306123"/>
    <n v="1.45"/>
    <n v="1"/>
    <n v="58000"/>
    <n v="6716157"/>
  </r>
  <r>
    <x v="4"/>
    <x v="1"/>
    <x v="11"/>
    <n v="4"/>
    <m/>
    <n v="1"/>
    <n v="1"/>
    <m/>
    <m/>
    <m/>
    <m/>
    <n v="6"/>
    <n v="28"/>
    <m/>
    <n v="0"/>
    <n v="52"/>
    <n v="0"/>
    <n v="0"/>
    <n v="0"/>
    <n v="0"/>
    <n v="0"/>
    <n v="0"/>
    <n v="0"/>
    <n v="0"/>
    <n v="0"/>
    <n v="0"/>
    <n v="0"/>
    <n v="52"/>
    <m/>
    <n v="20"/>
    <m/>
    <n v="11"/>
    <n v="12"/>
    <m/>
    <m/>
    <n v="0.2"/>
    <m/>
    <m/>
    <m/>
    <m/>
    <m/>
    <m/>
    <m/>
    <n v="43000"/>
    <n v="4"/>
    <n v="0"/>
    <n v="52"/>
    <n v="5"/>
    <n v="9.6153846153846159E-2"/>
    <n v="0"/>
    <n v="0"/>
    <n v="0.94"/>
    <n v="0.75"/>
    <n v="43200"/>
    <n v="2371645"/>
  </r>
  <r>
    <x v="4"/>
    <x v="0"/>
    <x v="12"/>
    <m/>
    <m/>
    <m/>
    <m/>
    <n v="2"/>
    <m/>
    <m/>
    <n v="1"/>
    <n v="3"/>
    <m/>
    <n v="9"/>
    <m/>
    <n v="21"/>
    <n v="14"/>
    <m/>
    <n v="6"/>
    <m/>
    <m/>
    <m/>
    <m/>
    <m/>
    <m/>
    <m/>
    <m/>
    <n v="50"/>
    <m/>
    <n v="9"/>
    <n v="2"/>
    <n v="8"/>
    <n v="11"/>
    <m/>
    <n v="3"/>
    <n v="2"/>
    <m/>
    <m/>
    <m/>
    <m/>
    <m/>
    <m/>
    <m/>
    <n v="33000"/>
    <n v="6"/>
    <n v="1941.1764705882354"/>
    <n v="50"/>
    <n v="17"/>
    <n v="0.34"/>
    <n v="39"/>
    <n v="0.30357142857142855"/>
    <n v="1.1000000000000001"/>
    <n v="1"/>
    <n v="35000"/>
    <n v="11152384"/>
  </r>
  <r>
    <x v="4"/>
    <x v="1"/>
    <x v="13"/>
    <n v="1"/>
    <m/>
    <n v="1"/>
    <m/>
    <n v="1"/>
    <m/>
    <m/>
    <n v="1"/>
    <n v="4"/>
    <n v="134"/>
    <n v="3"/>
    <m/>
    <n v="20"/>
    <n v="30"/>
    <n v="0"/>
    <n v="0"/>
    <n v="0"/>
    <n v="0"/>
    <n v="0"/>
    <n v="0"/>
    <n v="0"/>
    <n v="0"/>
    <n v="0"/>
    <n v="0"/>
    <n v="53"/>
    <m/>
    <n v="16"/>
    <n v="3"/>
    <n v="19"/>
    <n v="5"/>
    <m/>
    <m/>
    <n v="2"/>
    <m/>
    <m/>
    <m/>
    <m/>
    <m/>
    <m/>
    <m/>
    <n v="43000"/>
    <n v="5"/>
    <n v="7166.666666666667"/>
    <n v="53"/>
    <n v="6"/>
    <n v="0.11320754716981132"/>
    <n v="73"/>
    <n v="7.5949367088607597E-2"/>
    <n v="0.79"/>
    <n v="0.25"/>
    <n v="45000"/>
    <n v="1841092"/>
  </r>
  <r>
    <x v="4"/>
    <x v="0"/>
    <x v="14"/>
    <n v="1"/>
    <m/>
    <m/>
    <m/>
    <n v="1"/>
    <m/>
    <n v="2"/>
    <n v="1"/>
    <n v="5"/>
    <n v="39"/>
    <n v="0"/>
    <n v="5"/>
    <n v="11"/>
    <n v="38"/>
    <n v="0"/>
    <n v="0"/>
    <n v="2"/>
    <n v="0"/>
    <n v="0"/>
    <n v="0"/>
    <n v="0"/>
    <n v="0"/>
    <n v="0"/>
    <n v="13"/>
    <n v="69"/>
    <m/>
    <m/>
    <n v="1.5"/>
    <n v="3.3"/>
    <n v="11.4"/>
    <m/>
    <m/>
    <n v="0.01"/>
    <m/>
    <m/>
    <m/>
    <m/>
    <m/>
    <m/>
    <m/>
    <n v="16200"/>
    <n v="4"/>
    <n v="1080"/>
    <n v="69"/>
    <n v="15"/>
    <n v="0.21739130434782608"/>
    <n v="66"/>
    <n v="0.18518518518518517"/>
    <n v="1.25"/>
    <n v="1"/>
    <n v="16210"/>
    <n v="4858460"/>
  </r>
  <r>
    <x v="4"/>
    <x v="1"/>
    <x v="15"/>
    <m/>
    <n v="1"/>
    <n v="4"/>
    <m/>
    <m/>
    <m/>
    <m/>
    <n v="1"/>
    <n v="6"/>
    <n v="89"/>
    <m/>
    <n v="0"/>
    <n v="39"/>
    <n v="4"/>
    <n v="0"/>
    <n v="0"/>
    <n v="0"/>
    <n v="0"/>
    <n v="0"/>
    <n v="0"/>
    <n v="0"/>
    <n v="0"/>
    <n v="0"/>
    <n v="0"/>
    <n v="43"/>
    <m/>
    <m/>
    <n v="69"/>
    <n v="40"/>
    <n v="108"/>
    <m/>
    <m/>
    <n v="5"/>
    <m/>
    <m/>
    <m/>
    <m/>
    <m/>
    <m/>
    <m/>
    <n v="217000"/>
    <n v="4"/>
    <n v="36166.666666666664"/>
    <n v="43"/>
    <n v="6"/>
    <n v="0.13953488372093023"/>
    <n v="179"/>
    <n v="3.2432432432432434E-2"/>
    <n v="1"/>
    <n v="1"/>
    <n v="222000"/>
    <n v="7184529"/>
  </r>
  <r>
    <x v="4"/>
    <x v="1"/>
    <x v="16"/>
    <n v="1"/>
    <m/>
    <m/>
    <n v="1"/>
    <n v="1"/>
    <n v="1"/>
    <m/>
    <n v="1"/>
    <n v="5"/>
    <n v="115"/>
    <n v="113"/>
    <n v="0"/>
    <n v="110"/>
    <n v="14"/>
    <n v="0"/>
    <n v="0"/>
    <n v="0"/>
    <n v="0"/>
    <n v="0"/>
    <n v="0"/>
    <n v="0"/>
    <n v="0"/>
    <n v="0"/>
    <m/>
    <n v="237"/>
    <m/>
    <n v="166.3"/>
    <n v="12"/>
    <n v="40"/>
    <n v="24"/>
    <m/>
    <m/>
    <n v="0.375"/>
    <m/>
    <m/>
    <m/>
    <n v="5"/>
    <m/>
    <n v="28.9"/>
    <m/>
    <n v="242300"/>
    <n v="7"/>
    <n v="30287.5"/>
    <n v="237"/>
    <n v="8"/>
    <n v="3.3755274261603373E-2"/>
    <n v="146"/>
    <n v="5.1948051948051951E-2"/>
    <n v="1.21"/>
    <n v="1"/>
    <n v="276575"/>
    <n v="5836244"/>
  </r>
  <r>
    <x v="4"/>
    <x v="2"/>
    <x v="17"/>
    <n v="1"/>
    <n v="1"/>
    <m/>
    <m/>
    <n v="1"/>
    <n v="2"/>
    <m/>
    <n v="1"/>
    <n v="6"/>
    <m/>
    <n v="88"/>
    <n v="17"/>
    <n v="0"/>
    <n v="73"/>
    <n v="0"/>
    <n v="12"/>
    <n v="0"/>
    <n v="0"/>
    <n v="0"/>
    <n v="0"/>
    <n v="0"/>
    <n v="0"/>
    <n v="0"/>
    <n v="2"/>
    <n v="192"/>
    <m/>
    <n v="62"/>
    <n v="8"/>
    <m/>
    <n v="20"/>
    <m/>
    <n v="4"/>
    <n v="3"/>
    <m/>
    <n v="6"/>
    <m/>
    <m/>
    <m/>
    <m/>
    <m/>
    <n v="94000"/>
    <n v="6"/>
    <n v="1323.943661971831"/>
    <n v="192"/>
    <n v="71"/>
    <n v="0.36979166666666669"/>
    <n v="86"/>
    <n v="0.45222929936305734"/>
    <n v="1.03"/>
    <n v="1"/>
    <n v="103000"/>
    <n v="24150658"/>
  </r>
  <r>
    <x v="4"/>
    <x v="0"/>
    <x v="18"/>
    <m/>
    <n v="2"/>
    <m/>
    <m/>
    <m/>
    <m/>
    <n v="2"/>
    <n v="1"/>
    <n v="5"/>
    <n v="46"/>
    <m/>
    <m/>
    <n v="76"/>
    <n v="34"/>
    <m/>
    <n v="15"/>
    <m/>
    <m/>
    <m/>
    <m/>
    <m/>
    <m/>
    <m/>
    <m/>
    <n v="125"/>
    <m/>
    <m/>
    <n v="2"/>
    <n v="6"/>
    <n v="3"/>
    <n v="3"/>
    <n v="2"/>
    <n v="2"/>
    <m/>
    <m/>
    <m/>
    <m/>
    <m/>
    <m/>
    <m/>
    <n v="16000"/>
    <n v="6"/>
    <n v="3200"/>
    <n v="125"/>
    <n v="5"/>
    <n v="0.04"/>
    <n v="64"/>
    <n v="7.2463768115942032E-2"/>
    <n v="1.1499999999999999"/>
    <n v="1"/>
    <n v="18000"/>
    <n v="5210767"/>
  </r>
  <r>
    <x v="4"/>
    <x v="2"/>
    <x v="19"/>
    <n v="1"/>
    <n v="1"/>
    <m/>
    <m/>
    <n v="1"/>
    <n v="2"/>
    <m/>
    <n v="1"/>
    <n v="6"/>
    <n v="76"/>
    <n v="30"/>
    <n v="0"/>
    <n v="12"/>
    <n v="36"/>
    <n v="0"/>
    <n v="30"/>
    <n v="0"/>
    <n v="0"/>
    <n v="0"/>
    <n v="0"/>
    <n v="0"/>
    <n v="0"/>
    <n v="0"/>
    <n v="0"/>
    <n v="108"/>
    <m/>
    <n v="20"/>
    <m/>
    <n v="9"/>
    <n v="8"/>
    <m/>
    <n v="9"/>
    <n v="3"/>
    <m/>
    <n v="5"/>
    <m/>
    <m/>
    <m/>
    <m/>
    <m/>
    <n v="46000"/>
    <n v="6"/>
    <n v="7666.666666666667"/>
    <n v="108"/>
    <n v="6"/>
    <n v="5.5555555555555552E-2"/>
    <n v="37"/>
    <n v="0.13953488372093023"/>
    <n v="1.1000000000000001"/>
    <n v="1"/>
    <n v="54000"/>
    <n v="7860633"/>
  </r>
  <r>
    <x v="4"/>
    <x v="0"/>
    <x v="20"/>
    <n v="1"/>
    <n v="1"/>
    <n v="3"/>
    <m/>
    <n v="1"/>
    <n v="1"/>
    <m/>
    <n v="1"/>
    <n v="8"/>
    <n v="8"/>
    <n v="0"/>
    <n v="0"/>
    <n v="12"/>
    <n v="33"/>
    <n v="0"/>
    <n v="42"/>
    <n v="0"/>
    <n v="0"/>
    <n v="0"/>
    <n v="0"/>
    <n v="0"/>
    <n v="0"/>
    <n v="0"/>
    <n v="0"/>
    <n v="87"/>
    <m/>
    <n v="10"/>
    <n v="7"/>
    <n v="10"/>
    <n v="8"/>
    <m/>
    <n v="8"/>
    <m/>
    <m/>
    <n v="10"/>
    <m/>
    <m/>
    <m/>
    <m/>
    <m/>
    <n v="43000"/>
    <n v="6"/>
    <n v="10750"/>
    <n v="87"/>
    <n v="4"/>
    <n v="4.5977011494252873E-2"/>
    <n v="55"/>
    <n v="6.7796610169491525E-2"/>
    <n v="1.2"/>
    <n v="1"/>
    <n v="53000"/>
    <n v="4986237"/>
  </r>
  <r>
    <x v="4"/>
    <x v="1"/>
    <x v="21"/>
    <m/>
    <n v="1"/>
    <n v="1"/>
    <n v="1"/>
    <m/>
    <n v="1"/>
    <m/>
    <m/>
    <n v="4"/>
    <n v="66"/>
    <n v="68"/>
    <m/>
    <m/>
    <m/>
    <m/>
    <m/>
    <m/>
    <m/>
    <m/>
    <m/>
    <m/>
    <m/>
    <m/>
    <m/>
    <n v="68"/>
    <m/>
    <n v="80"/>
    <m/>
    <n v="19"/>
    <n v="24"/>
    <m/>
    <m/>
    <m/>
    <m/>
    <m/>
    <m/>
    <m/>
    <m/>
    <m/>
    <m/>
    <n v="123000"/>
    <n v="3"/>
    <n v="24600"/>
    <n v="68"/>
    <n v="5"/>
    <n v="7.3529411764705885E-2"/>
    <n v="191"/>
    <n v="2.5510204081632654E-2"/>
    <n v="1.04"/>
    <n v="1"/>
    <n v="123000"/>
    <n v="20568490"/>
  </r>
  <r>
    <x v="4"/>
    <x v="1"/>
    <x v="22"/>
    <n v="1"/>
    <m/>
    <m/>
    <m/>
    <m/>
    <m/>
    <m/>
    <n v="1"/>
    <n v="2"/>
    <n v="11"/>
    <m/>
    <n v="0"/>
    <n v="0"/>
    <n v="107"/>
    <n v="0"/>
    <n v="8"/>
    <n v="0"/>
    <n v="0"/>
    <n v="0"/>
    <n v="0"/>
    <n v="0"/>
    <n v="0"/>
    <n v="0"/>
    <n v="0"/>
    <n v="115"/>
    <m/>
    <m/>
    <m/>
    <m/>
    <n v="11.5"/>
    <m/>
    <n v="0.32700000000000001"/>
    <n v="0.32600000000000001"/>
    <m/>
    <m/>
    <m/>
    <m/>
    <m/>
    <m/>
    <m/>
    <n v="11827"/>
    <n v="3"/>
    <n v="3942.3333333333335"/>
    <n v="115"/>
    <n v="3"/>
    <n v="2.6086956521739129E-2"/>
    <n v="84"/>
    <n v="3.4482758620689655E-2"/>
    <n v="0.38"/>
    <n v="0"/>
    <n v="12153"/>
    <n v="0"/>
  </r>
  <r>
    <x v="4"/>
    <x v="0"/>
    <x v="23"/>
    <n v="1"/>
    <n v="1"/>
    <n v="1"/>
    <m/>
    <n v="1"/>
    <m/>
    <m/>
    <n v="1"/>
    <n v="5"/>
    <n v="20"/>
    <n v="10"/>
    <m/>
    <n v="44"/>
    <n v="18"/>
    <m/>
    <m/>
    <m/>
    <m/>
    <m/>
    <m/>
    <m/>
    <m/>
    <m/>
    <m/>
    <n v="72"/>
    <m/>
    <n v="15"/>
    <n v="2"/>
    <n v="5"/>
    <n v="4"/>
    <n v="1"/>
    <n v="2"/>
    <n v="2"/>
    <m/>
    <m/>
    <m/>
    <m/>
    <m/>
    <m/>
    <m/>
    <n v="29000"/>
    <n v="7"/>
    <n v="14500"/>
    <n v="72"/>
    <n v="2"/>
    <n v="2.7777777777777776E-2"/>
    <n v="21"/>
    <n v="8.6956521739130432E-2"/>
    <n v="1.05"/>
    <n v="1"/>
    <n v="31000"/>
    <n v="4044253"/>
  </r>
  <r>
    <x v="5"/>
    <x v="0"/>
    <x v="0"/>
    <n v="1"/>
    <n v="2"/>
    <n v="1"/>
    <m/>
    <n v="1"/>
    <m/>
    <n v="2"/>
    <m/>
    <n v="7"/>
    <n v="30"/>
    <n v="34"/>
    <m/>
    <n v="82"/>
    <n v="81"/>
    <m/>
    <m/>
    <m/>
    <m/>
    <m/>
    <m/>
    <m/>
    <m/>
    <m/>
    <m/>
    <n v="197"/>
    <m/>
    <n v="6"/>
    <m/>
    <n v="4"/>
    <n v="4"/>
    <m/>
    <m/>
    <n v="2"/>
    <m/>
    <n v="7"/>
    <m/>
    <m/>
    <m/>
    <m/>
    <n v="1"/>
    <n v="15000"/>
    <n v="6"/>
    <n v="3750"/>
    <n v="197"/>
    <n v="4"/>
    <n v="2.030456852791878E-2"/>
    <n v="17"/>
    <n v="0.19047619047619047"/>
    <n v="1"/>
    <n v="1"/>
    <n v="24000"/>
    <n v="3600026"/>
  </r>
  <r>
    <x v="5"/>
    <x v="1"/>
    <x v="1"/>
    <m/>
    <m/>
    <m/>
    <m/>
    <m/>
    <m/>
    <m/>
    <m/>
    <m/>
    <m/>
    <m/>
    <m/>
    <m/>
    <m/>
    <m/>
    <m/>
    <m/>
    <m/>
    <m/>
    <m/>
    <m/>
    <m/>
    <m/>
    <m/>
    <n v="0"/>
    <m/>
    <m/>
    <m/>
    <m/>
    <m/>
    <m/>
    <m/>
    <m/>
    <m/>
    <m/>
    <m/>
    <m/>
    <m/>
    <m/>
    <m/>
    <n v="0"/>
    <n v="0"/>
    <n v="0"/>
    <n v="0"/>
    <n v="0"/>
    <m/>
    <n v="0"/>
    <n v="0"/>
    <n v="0"/>
    <n v="0"/>
    <n v="0"/>
    <n v="0"/>
  </r>
  <r>
    <x v="5"/>
    <x v="2"/>
    <x v="2"/>
    <m/>
    <n v="1"/>
    <n v="1"/>
    <m/>
    <n v="1"/>
    <n v="1"/>
    <m/>
    <n v="1"/>
    <n v="5"/>
    <n v="64"/>
    <n v="64"/>
    <n v="0"/>
    <n v="64"/>
    <n v="81"/>
    <n v="0"/>
    <n v="53"/>
    <n v="0"/>
    <m/>
    <n v="0"/>
    <m/>
    <m/>
    <m/>
    <m/>
    <n v="0"/>
    <n v="262"/>
    <m/>
    <n v="50"/>
    <n v="6"/>
    <n v="30"/>
    <n v="15"/>
    <n v="6"/>
    <n v="15"/>
    <n v="5"/>
    <m/>
    <n v="30"/>
    <m/>
    <m/>
    <m/>
    <m/>
    <n v="6"/>
    <n v="128000"/>
    <n v="9"/>
    <n v="8000"/>
    <n v="262"/>
    <n v="16"/>
    <n v="6.1068702290076333E-2"/>
    <n v="53"/>
    <n v="0.2318840579710145"/>
    <n v="1"/>
    <n v="1"/>
    <n v="163000"/>
    <n v="18641632"/>
  </r>
  <r>
    <x v="5"/>
    <x v="0"/>
    <x v="3"/>
    <m/>
    <n v="1"/>
    <n v="2"/>
    <m/>
    <n v="1"/>
    <m/>
    <n v="2"/>
    <m/>
    <n v="6"/>
    <n v="18"/>
    <n v="42"/>
    <m/>
    <n v="26"/>
    <n v="82"/>
    <n v="7"/>
    <n v="2"/>
    <n v="3"/>
    <m/>
    <n v="3"/>
    <m/>
    <m/>
    <m/>
    <m/>
    <m/>
    <n v="165"/>
    <m/>
    <n v="27"/>
    <m/>
    <n v="8"/>
    <n v="21"/>
    <m/>
    <m/>
    <n v="1"/>
    <m/>
    <n v="54"/>
    <m/>
    <m/>
    <m/>
    <m/>
    <m/>
    <n v="56000"/>
    <n v="5"/>
    <n v="9333.3333333333339"/>
    <n v="165"/>
    <n v="6"/>
    <n v="3.6363636363636362E-2"/>
    <n v="14"/>
    <n v="0.3"/>
    <n v="1"/>
    <n v="1"/>
    <n v="111000"/>
    <n v="267604"/>
  </r>
  <r>
    <x v="5"/>
    <x v="0"/>
    <x v="4"/>
    <m/>
    <n v="2"/>
    <n v="1"/>
    <m/>
    <n v="3"/>
    <m/>
    <m/>
    <m/>
    <n v="6"/>
    <n v="17"/>
    <n v="60"/>
    <m/>
    <n v="8"/>
    <n v="14"/>
    <m/>
    <n v="10"/>
    <m/>
    <m/>
    <m/>
    <m/>
    <m/>
    <m/>
    <m/>
    <n v="48"/>
    <n v="140"/>
    <m/>
    <n v="15"/>
    <n v="3"/>
    <n v="6"/>
    <n v="8"/>
    <m/>
    <n v="6"/>
    <n v="1"/>
    <m/>
    <n v="5"/>
    <m/>
    <m/>
    <m/>
    <m/>
    <m/>
    <n v="38000"/>
    <n v="7"/>
    <n v="12666.666666666666"/>
    <n v="140"/>
    <n v="3"/>
    <n v="2.1428571428571429E-2"/>
    <n v="19"/>
    <n v="0.13636363636363635"/>
    <n v="0.95"/>
    <n v="0.75"/>
    <n v="44000"/>
    <n v="410077"/>
  </r>
  <r>
    <x v="5"/>
    <x v="2"/>
    <x v="5"/>
    <m/>
    <n v="1"/>
    <m/>
    <m/>
    <n v="1"/>
    <m/>
    <n v="1"/>
    <n v="1"/>
    <n v="4"/>
    <n v="156"/>
    <n v="346"/>
    <n v="12"/>
    <n v="19"/>
    <n v="39"/>
    <m/>
    <n v="75"/>
    <n v="0"/>
    <m/>
    <n v="0"/>
    <m/>
    <n v="0"/>
    <n v="0"/>
    <m/>
    <m/>
    <n v="491"/>
    <m/>
    <n v="37"/>
    <n v="6"/>
    <n v="23"/>
    <n v="8"/>
    <m/>
    <n v="10"/>
    <n v="1"/>
    <m/>
    <n v="13"/>
    <m/>
    <n v="8"/>
    <n v="23"/>
    <m/>
    <m/>
    <n v="84000"/>
    <n v="9"/>
    <n v="9333.3333333333339"/>
    <n v="491"/>
    <n v="9"/>
    <n v="1.8329938900203666E-2"/>
    <n v="266"/>
    <n v="3.272727272727273E-2"/>
    <n v="0.9"/>
    <n v="0.75"/>
    <n v="129000"/>
    <n v="34771429"/>
  </r>
  <r>
    <x v="5"/>
    <x v="2"/>
    <x v="6"/>
    <m/>
    <n v="1"/>
    <n v="1"/>
    <m/>
    <n v="1"/>
    <n v="1"/>
    <m/>
    <m/>
    <n v="4"/>
    <n v="77"/>
    <n v="40"/>
    <m/>
    <n v="56"/>
    <n v="14"/>
    <m/>
    <m/>
    <m/>
    <m/>
    <m/>
    <m/>
    <m/>
    <m/>
    <m/>
    <m/>
    <n v="110"/>
    <m/>
    <n v="82"/>
    <m/>
    <n v="15"/>
    <m/>
    <m/>
    <m/>
    <m/>
    <m/>
    <m/>
    <m/>
    <m/>
    <m/>
    <m/>
    <m/>
    <n v="97000"/>
    <n v="2"/>
    <n v="24250"/>
    <n v="110"/>
    <n v="4"/>
    <n v="3.6363636363636362E-2"/>
    <n v="43"/>
    <n v="8.5106382978723402E-2"/>
    <n v="1"/>
    <n v="1"/>
    <n v="97000"/>
    <n v="7073110"/>
  </r>
  <r>
    <x v="5"/>
    <x v="2"/>
    <x v="7"/>
    <n v="1"/>
    <n v="1"/>
    <n v="2"/>
    <m/>
    <n v="1"/>
    <n v="1"/>
    <n v="1"/>
    <m/>
    <n v="7"/>
    <n v="18"/>
    <n v="19"/>
    <n v="25"/>
    <n v="31"/>
    <n v="52"/>
    <n v="0"/>
    <n v="43"/>
    <n v="0"/>
    <m/>
    <n v="0"/>
    <m/>
    <m/>
    <m/>
    <m/>
    <m/>
    <n v="170"/>
    <m/>
    <m/>
    <n v="17"/>
    <n v="15"/>
    <n v="13"/>
    <m/>
    <n v="10"/>
    <n v="1"/>
    <m/>
    <n v="3.6"/>
    <m/>
    <m/>
    <m/>
    <m/>
    <m/>
    <n v="55000"/>
    <n v="6"/>
    <n v="1964.2857142857142"/>
    <n v="170"/>
    <n v="28"/>
    <n v="0.16470588235294117"/>
    <n v="17"/>
    <n v="0.62222222222222223"/>
    <n v="1"/>
    <n v="1"/>
    <n v="59600"/>
    <n v="5807834"/>
  </r>
  <r>
    <x v="5"/>
    <x v="0"/>
    <x v="8"/>
    <m/>
    <n v="1"/>
    <n v="2"/>
    <m/>
    <n v="1"/>
    <m/>
    <n v="1"/>
    <m/>
    <n v="5"/>
    <n v="22"/>
    <n v="55"/>
    <m/>
    <n v="21"/>
    <n v="22"/>
    <m/>
    <m/>
    <n v="1"/>
    <m/>
    <m/>
    <m/>
    <m/>
    <m/>
    <m/>
    <m/>
    <n v="99"/>
    <m/>
    <n v="6"/>
    <m/>
    <n v="4"/>
    <n v="12"/>
    <m/>
    <m/>
    <n v="2"/>
    <m/>
    <m/>
    <m/>
    <m/>
    <m/>
    <m/>
    <m/>
    <n v="22000"/>
    <n v="4"/>
    <n v="2750"/>
    <n v="99"/>
    <n v="8"/>
    <n v="8.0808080808080815E-2"/>
    <n v="13"/>
    <n v="0.38095238095238093"/>
    <n v="1"/>
    <n v="1"/>
    <n v="24000"/>
    <n v="3236462"/>
  </r>
  <r>
    <x v="5"/>
    <x v="1"/>
    <x v="9"/>
    <n v="1"/>
    <n v="1"/>
    <m/>
    <n v="1"/>
    <m/>
    <m/>
    <m/>
    <n v="1"/>
    <n v="4"/>
    <n v="35"/>
    <n v="37"/>
    <n v="21"/>
    <n v="49"/>
    <n v="48"/>
    <m/>
    <m/>
    <m/>
    <m/>
    <m/>
    <m/>
    <m/>
    <m/>
    <m/>
    <m/>
    <n v="155"/>
    <m/>
    <n v="10"/>
    <n v="10"/>
    <n v="12"/>
    <n v="25"/>
    <m/>
    <m/>
    <n v="1"/>
    <m/>
    <m/>
    <m/>
    <n v="3"/>
    <m/>
    <m/>
    <m/>
    <n v="57000"/>
    <n v="6"/>
    <n v="57000"/>
    <n v="155"/>
    <n v="1"/>
    <n v="6.4516129032258064E-3"/>
    <n v="35"/>
    <n v="2.7777777777777776E-2"/>
    <n v="1.04"/>
    <n v="1"/>
    <n v="61000"/>
    <n v="2601911"/>
  </r>
  <r>
    <x v="5"/>
    <x v="0"/>
    <x v="10"/>
    <n v="1"/>
    <n v="1"/>
    <n v="1"/>
    <m/>
    <n v="3"/>
    <m/>
    <m/>
    <m/>
    <n v="6"/>
    <n v="33"/>
    <n v="82"/>
    <m/>
    <n v="15"/>
    <n v="66"/>
    <m/>
    <m/>
    <m/>
    <m/>
    <m/>
    <m/>
    <m/>
    <m/>
    <m/>
    <n v="1"/>
    <n v="164"/>
    <m/>
    <n v="20"/>
    <m/>
    <n v="6"/>
    <n v="16"/>
    <m/>
    <m/>
    <m/>
    <m/>
    <m/>
    <m/>
    <m/>
    <m/>
    <m/>
    <m/>
    <n v="42000"/>
    <n v="3"/>
    <n v="3000"/>
    <n v="164"/>
    <n v="14"/>
    <n v="8.5365853658536592E-2"/>
    <n v="19"/>
    <n v="0.42424242424242425"/>
    <n v="1"/>
    <n v="1"/>
    <n v="42000"/>
    <n v="4689812"/>
  </r>
  <r>
    <x v="5"/>
    <x v="1"/>
    <x v="11"/>
    <m/>
    <m/>
    <n v="2"/>
    <m/>
    <m/>
    <m/>
    <m/>
    <m/>
    <n v="3"/>
    <n v="24"/>
    <m/>
    <m/>
    <n v="13"/>
    <n v="4"/>
    <m/>
    <m/>
    <n v="2"/>
    <m/>
    <n v="2"/>
    <m/>
    <m/>
    <m/>
    <m/>
    <m/>
    <n v="21"/>
    <m/>
    <m/>
    <m/>
    <n v="20"/>
    <n v="16.8"/>
    <m/>
    <m/>
    <n v="0.3"/>
    <m/>
    <n v="50"/>
    <m/>
    <m/>
    <m/>
    <m/>
    <m/>
    <n v="36800"/>
    <n v="4"/>
    <n v="6133.333333333333"/>
    <n v="21"/>
    <n v="6"/>
    <n v="0.2857142857142857"/>
    <n v="63"/>
    <n v="8.6956521739130432E-2"/>
    <n v="0.98"/>
    <n v="0.75"/>
    <n v="87100"/>
    <n v="2217768"/>
  </r>
  <r>
    <x v="5"/>
    <x v="0"/>
    <x v="12"/>
    <n v="1"/>
    <n v="1"/>
    <n v="1"/>
    <m/>
    <n v="2"/>
    <m/>
    <m/>
    <m/>
    <n v="5"/>
    <n v="47"/>
    <n v="56"/>
    <m/>
    <n v="13"/>
    <n v="3"/>
    <m/>
    <n v="21"/>
    <m/>
    <m/>
    <m/>
    <m/>
    <m/>
    <m/>
    <m/>
    <n v="5"/>
    <n v="98"/>
    <n v="3"/>
    <n v="56"/>
    <m/>
    <n v="6"/>
    <n v="10"/>
    <m/>
    <n v="6"/>
    <n v="2"/>
    <m/>
    <m/>
    <m/>
    <m/>
    <m/>
    <m/>
    <m/>
    <n v="78000"/>
    <n v="5"/>
    <n v="11142.857142857143"/>
    <n v="98"/>
    <n v="7"/>
    <n v="7.1428571428571425E-2"/>
    <n v="26"/>
    <n v="0.21212121212121213"/>
    <n v="1"/>
    <n v="1"/>
    <n v="83000"/>
    <n v="5050460"/>
  </r>
  <r>
    <x v="5"/>
    <x v="1"/>
    <x v="13"/>
    <n v="1"/>
    <n v="1"/>
    <n v="1"/>
    <m/>
    <n v="2"/>
    <m/>
    <m/>
    <m/>
    <n v="5"/>
    <n v="111"/>
    <n v="3"/>
    <n v="0"/>
    <n v="9"/>
    <n v="19"/>
    <m/>
    <m/>
    <m/>
    <m/>
    <m/>
    <m/>
    <m/>
    <m/>
    <m/>
    <m/>
    <n v="31"/>
    <m/>
    <n v="40"/>
    <n v="8"/>
    <n v="19"/>
    <n v="28"/>
    <m/>
    <m/>
    <m/>
    <m/>
    <m/>
    <m/>
    <m/>
    <m/>
    <m/>
    <m/>
    <n v="95000"/>
    <n v="4"/>
    <n v="19000"/>
    <n v="31"/>
    <n v="5"/>
    <n v="0.16129032258064516"/>
    <n v="64"/>
    <n v="7.2463768115942032E-2"/>
    <n v="0.88"/>
    <n v="0.5"/>
    <n v="95000"/>
    <n v="2736392"/>
  </r>
  <r>
    <x v="5"/>
    <x v="0"/>
    <x v="14"/>
    <m/>
    <n v="1"/>
    <n v="2"/>
    <m/>
    <n v="1"/>
    <n v="1"/>
    <m/>
    <m/>
    <n v="5"/>
    <n v="41"/>
    <n v="0"/>
    <m/>
    <n v="6"/>
    <n v="29"/>
    <n v="0"/>
    <n v="0"/>
    <n v="0"/>
    <n v="0"/>
    <n v="0"/>
    <n v="0"/>
    <n v="0"/>
    <n v="0"/>
    <n v="0"/>
    <n v="6"/>
    <n v="41"/>
    <m/>
    <m/>
    <m/>
    <n v="1.8"/>
    <n v="8.6999999999999993"/>
    <m/>
    <m/>
    <m/>
    <m/>
    <m/>
    <m/>
    <m/>
    <m/>
    <m/>
    <m/>
    <n v="10500"/>
    <n v="2"/>
    <n v="2100"/>
    <n v="41"/>
    <n v="5"/>
    <n v="0.12195121951219512"/>
    <n v="24"/>
    <n v="0.17241379310344829"/>
    <n v="1"/>
    <n v="1"/>
    <n v="10500"/>
    <n v="1927018"/>
  </r>
  <r>
    <x v="5"/>
    <x v="1"/>
    <x v="15"/>
    <m/>
    <n v="1"/>
    <n v="1"/>
    <m/>
    <m/>
    <m/>
    <m/>
    <m/>
    <n v="2"/>
    <n v="36"/>
    <m/>
    <n v="0"/>
    <n v="44"/>
    <n v="6"/>
    <n v="0"/>
    <n v="0"/>
    <n v="0"/>
    <m/>
    <m/>
    <m/>
    <m/>
    <m/>
    <m/>
    <m/>
    <n v="50"/>
    <m/>
    <m/>
    <n v="23"/>
    <n v="23"/>
    <n v="90"/>
    <n v="23"/>
    <n v="3"/>
    <n v="1"/>
    <m/>
    <m/>
    <m/>
    <m/>
    <m/>
    <m/>
    <m/>
    <n v="162000"/>
    <n v="6"/>
    <n v="81000"/>
    <n v="50"/>
    <n v="2"/>
    <n v="0.04"/>
    <n v="127"/>
    <n v="1.5503875968992248E-2"/>
    <n v="0.83"/>
    <n v="0.5"/>
    <n v="163000"/>
    <n v="2442371"/>
  </r>
  <r>
    <x v="5"/>
    <x v="1"/>
    <x v="16"/>
    <n v="1"/>
    <n v="1"/>
    <n v="1"/>
    <m/>
    <m/>
    <m/>
    <m/>
    <m/>
    <n v="3"/>
    <n v="105"/>
    <n v="7"/>
    <n v="0"/>
    <n v="69"/>
    <n v="42"/>
    <n v="3"/>
    <n v="8"/>
    <n v="4"/>
    <m/>
    <m/>
    <m/>
    <n v="0"/>
    <n v="0"/>
    <m/>
    <n v="69"/>
    <n v="202"/>
    <m/>
    <n v="246.9"/>
    <n v="12"/>
    <n v="40"/>
    <n v="16"/>
    <m/>
    <n v="6"/>
    <n v="1.1339999999999999"/>
    <m/>
    <m/>
    <m/>
    <n v="10"/>
    <n v="57.5"/>
    <m/>
    <m/>
    <n v="320900"/>
    <n v="8"/>
    <n v="17827.777777777777"/>
    <n v="202"/>
    <n v="18"/>
    <n v="8.9108910891089105E-2"/>
    <n v="155"/>
    <n v="0.10404624277456648"/>
    <n v="1.18"/>
    <n v="1"/>
    <n v="389534"/>
    <n v="5896880"/>
  </r>
  <r>
    <x v="5"/>
    <x v="2"/>
    <x v="17"/>
    <n v="1"/>
    <n v="1"/>
    <n v="2"/>
    <n v="1"/>
    <m/>
    <m/>
    <n v="1"/>
    <m/>
    <n v="6"/>
    <n v="89"/>
    <n v="82"/>
    <n v="10"/>
    <n v="12"/>
    <n v="55"/>
    <n v="0"/>
    <n v="27"/>
    <n v="0"/>
    <m/>
    <m/>
    <m/>
    <n v="0"/>
    <m/>
    <m/>
    <n v="11"/>
    <n v="197"/>
    <m/>
    <n v="68"/>
    <n v="9"/>
    <m/>
    <n v="18"/>
    <m/>
    <n v="10"/>
    <n v="1"/>
    <m/>
    <n v="8"/>
    <m/>
    <n v="3"/>
    <m/>
    <m/>
    <m/>
    <n v="105000"/>
    <n v="7"/>
    <n v="8750"/>
    <n v="197"/>
    <n v="12"/>
    <n v="6.0913705583756347E-2"/>
    <n v="124"/>
    <n v="8.8235294117647065E-2"/>
    <n v="1"/>
    <n v="1"/>
    <n v="117000"/>
    <n v="33173424"/>
  </r>
  <r>
    <x v="5"/>
    <x v="0"/>
    <x v="18"/>
    <n v="2"/>
    <n v="3"/>
    <n v="2"/>
    <m/>
    <m/>
    <m/>
    <m/>
    <m/>
    <n v="7"/>
    <n v="47"/>
    <m/>
    <m/>
    <n v="52"/>
    <n v="46"/>
    <m/>
    <n v="21"/>
    <m/>
    <m/>
    <m/>
    <m/>
    <m/>
    <m/>
    <m/>
    <m/>
    <n v="119"/>
    <m/>
    <m/>
    <n v="2"/>
    <n v="10"/>
    <n v="9"/>
    <m/>
    <n v="7"/>
    <m/>
    <m/>
    <n v="8"/>
    <m/>
    <m/>
    <m/>
    <m/>
    <m/>
    <n v="28000"/>
    <n v="5"/>
    <n v="9333.3333333333339"/>
    <n v="119"/>
    <n v="3"/>
    <n v="2.5210084033613446E-2"/>
    <n v="73"/>
    <n v="3.9473684210526314E-2"/>
    <n v="1.1499999999999999"/>
    <n v="1"/>
    <n v="36000"/>
    <n v="2094176"/>
  </r>
  <r>
    <x v="5"/>
    <x v="2"/>
    <x v="19"/>
    <m/>
    <n v="1"/>
    <n v="1"/>
    <m/>
    <n v="2"/>
    <n v="1"/>
    <m/>
    <m/>
    <n v="5"/>
    <n v="99"/>
    <n v="62"/>
    <n v="0"/>
    <n v="29"/>
    <n v="17"/>
    <m/>
    <n v="22"/>
    <n v="0"/>
    <m/>
    <n v="0"/>
    <m/>
    <m/>
    <m/>
    <m/>
    <m/>
    <n v="130"/>
    <m/>
    <n v="78.3"/>
    <n v="5"/>
    <n v="9"/>
    <n v="8"/>
    <m/>
    <n v="9"/>
    <n v="3"/>
    <m/>
    <n v="5"/>
    <m/>
    <m/>
    <m/>
    <m/>
    <m/>
    <n v="109300"/>
    <n v="7"/>
    <n v="18216.666666666668"/>
    <n v="130"/>
    <n v="6"/>
    <n v="4.6153846153846156E-2"/>
    <n v="26"/>
    <n v="0.1875"/>
    <n v="0.9"/>
    <n v="0.75"/>
    <n v="117300"/>
    <n v="6466669"/>
  </r>
  <r>
    <x v="5"/>
    <x v="0"/>
    <x v="20"/>
    <n v="1"/>
    <n v="1"/>
    <n v="2"/>
    <m/>
    <n v="2"/>
    <n v="1"/>
    <m/>
    <m/>
    <n v="7"/>
    <n v="16"/>
    <n v="0"/>
    <n v="0"/>
    <n v="33"/>
    <n v="44"/>
    <m/>
    <n v="0"/>
    <m/>
    <m/>
    <n v="0"/>
    <m/>
    <m/>
    <m/>
    <m/>
    <m/>
    <n v="77"/>
    <m/>
    <n v="10"/>
    <n v="4"/>
    <n v="10"/>
    <n v="14"/>
    <m/>
    <n v="3"/>
    <m/>
    <m/>
    <n v="5"/>
    <m/>
    <m/>
    <m/>
    <m/>
    <m/>
    <n v="41000"/>
    <n v="6"/>
    <n v="4100"/>
    <n v="77"/>
    <n v="10"/>
    <n v="0.12987012987012986"/>
    <n v="50"/>
    <n v="0.16666666666666666"/>
    <n v="1"/>
    <n v="1"/>
    <n v="46000"/>
    <n v="841778"/>
  </r>
  <r>
    <x v="5"/>
    <x v="1"/>
    <x v="21"/>
    <m/>
    <n v="1"/>
    <m/>
    <n v="1"/>
    <m/>
    <n v="1"/>
    <m/>
    <n v="1"/>
    <n v="4"/>
    <n v="26"/>
    <m/>
    <m/>
    <n v="79"/>
    <n v="99"/>
    <m/>
    <m/>
    <m/>
    <m/>
    <m/>
    <m/>
    <m/>
    <m/>
    <m/>
    <n v="13"/>
    <n v="191"/>
    <m/>
    <m/>
    <m/>
    <n v="19"/>
    <n v="24"/>
    <m/>
    <m/>
    <m/>
    <m/>
    <m/>
    <m/>
    <m/>
    <m/>
    <m/>
    <m/>
    <n v="43000"/>
    <n v="2"/>
    <n v="3909.090909090909"/>
    <n v="191"/>
    <n v="11"/>
    <n v="5.7591623036649213E-2"/>
    <n v="180"/>
    <n v="5.7591623036649213E-2"/>
    <n v="0.8"/>
    <n v="0.5"/>
    <n v="43000"/>
    <n v="4463380"/>
  </r>
  <r>
    <x v="5"/>
    <x v="1"/>
    <x v="22"/>
    <n v="2"/>
    <m/>
    <n v="1"/>
    <m/>
    <n v="1"/>
    <m/>
    <m/>
    <m/>
    <n v="4"/>
    <n v="9"/>
    <n v="49"/>
    <m/>
    <m/>
    <n v="83"/>
    <m/>
    <n v="19"/>
    <n v="0"/>
    <m/>
    <m/>
    <m/>
    <m/>
    <m/>
    <m/>
    <n v="1"/>
    <n v="152"/>
    <m/>
    <n v="21.8"/>
    <m/>
    <m/>
    <n v="18.899999999999999"/>
    <m/>
    <n v="1.5349999999999999"/>
    <n v="0.52800000000000002"/>
    <m/>
    <m/>
    <m/>
    <m/>
    <m/>
    <m/>
    <m/>
    <n v="42235"/>
    <n v="4"/>
    <n v="14078.333333333334"/>
    <n v="152"/>
    <n v="3"/>
    <n v="1.9736842105263157E-2"/>
    <n v="84"/>
    <n v="3.4482758620689655E-2"/>
    <n v="0.5"/>
    <n v="0"/>
    <n v="42763"/>
    <n v="0"/>
  </r>
  <r>
    <x v="5"/>
    <x v="0"/>
    <x v="23"/>
    <n v="2"/>
    <n v="2"/>
    <n v="2"/>
    <m/>
    <n v="1"/>
    <m/>
    <m/>
    <m/>
    <n v="7"/>
    <n v="15"/>
    <n v="31"/>
    <m/>
    <n v="42"/>
    <m/>
    <m/>
    <n v="54"/>
    <m/>
    <m/>
    <m/>
    <m/>
    <m/>
    <m/>
    <m/>
    <m/>
    <n v="127"/>
    <m/>
    <n v="32"/>
    <n v="2"/>
    <n v="4"/>
    <n v="4"/>
    <n v="1"/>
    <n v="6"/>
    <n v="4"/>
    <m/>
    <m/>
    <m/>
    <m/>
    <m/>
    <m/>
    <m/>
    <n v="49000"/>
    <n v="7"/>
    <n v="16333.333333333334"/>
    <n v="127"/>
    <n v="3"/>
    <n v="2.3622047244094488E-2"/>
    <n v="25"/>
    <n v="0.10714285714285714"/>
    <n v="1"/>
    <n v="1"/>
    <n v="53000"/>
    <n v="2233160"/>
  </r>
  <r>
    <x v="6"/>
    <x v="0"/>
    <x v="0"/>
    <n v="1"/>
    <n v="1"/>
    <n v="1"/>
    <n v="1"/>
    <m/>
    <n v="1"/>
    <n v="1"/>
    <m/>
    <n v="6"/>
    <n v="27"/>
    <n v="58"/>
    <m/>
    <n v="23"/>
    <n v="55"/>
    <m/>
    <m/>
    <m/>
    <m/>
    <m/>
    <m/>
    <m/>
    <m/>
    <m/>
    <m/>
    <n v="136"/>
    <m/>
    <n v="22"/>
    <m/>
    <n v="4"/>
    <n v="4"/>
    <m/>
    <m/>
    <n v="2"/>
    <m/>
    <n v="7"/>
    <m/>
    <n v="2"/>
    <n v="24"/>
    <m/>
    <n v="1"/>
    <n v="31000"/>
    <n v="8"/>
    <n v="3100"/>
    <n v="136"/>
    <n v="10"/>
    <n v="7.3529411764705885E-2"/>
    <n v="27"/>
    <n v="0.27027027027027029"/>
    <n v="1.1599999999999999"/>
    <n v="1"/>
    <n v="66000"/>
    <n v="7466601"/>
  </r>
  <r>
    <x v="6"/>
    <x v="1"/>
    <x v="1"/>
    <m/>
    <m/>
    <m/>
    <m/>
    <m/>
    <m/>
    <m/>
    <m/>
    <m/>
    <m/>
    <m/>
    <m/>
    <m/>
    <m/>
    <m/>
    <m/>
    <m/>
    <m/>
    <m/>
    <m/>
    <m/>
    <m/>
    <m/>
    <m/>
    <n v="0"/>
    <m/>
    <m/>
    <m/>
    <m/>
    <m/>
    <m/>
    <m/>
    <m/>
    <m/>
    <m/>
    <m/>
    <m/>
    <m/>
    <m/>
    <m/>
    <n v="0"/>
    <n v="0"/>
    <n v="0"/>
    <n v="0"/>
    <n v="0"/>
    <m/>
    <n v="0"/>
    <n v="0"/>
    <n v="0"/>
    <n v="0"/>
    <n v="0"/>
    <m/>
  </r>
  <r>
    <x v="6"/>
    <x v="2"/>
    <x v="2"/>
    <n v="1"/>
    <m/>
    <m/>
    <m/>
    <m/>
    <n v="2"/>
    <m/>
    <n v="1"/>
    <n v="4"/>
    <n v="55"/>
    <n v="20"/>
    <n v="0"/>
    <n v="57"/>
    <n v="65"/>
    <n v="0"/>
    <n v="2"/>
    <n v="0"/>
    <n v="0"/>
    <n v="0"/>
    <n v="0"/>
    <n v="0"/>
    <n v="0"/>
    <n v="0"/>
    <n v="0"/>
    <n v="144"/>
    <m/>
    <n v="5"/>
    <n v="6"/>
    <n v="25"/>
    <n v="15"/>
    <n v="5"/>
    <m/>
    <n v="3"/>
    <m/>
    <n v="40"/>
    <m/>
    <m/>
    <m/>
    <m/>
    <m/>
    <n v="56000"/>
    <n v="7"/>
    <n v="3111.1111111111113"/>
    <n v="144"/>
    <n v="18"/>
    <n v="0.125"/>
    <n v="71"/>
    <n v="0.20224719101123595"/>
    <n v="1.19"/>
    <n v="1"/>
    <n v="99000"/>
    <n v="22781283"/>
  </r>
  <r>
    <x v="6"/>
    <x v="0"/>
    <x v="3"/>
    <m/>
    <n v="1"/>
    <n v="2"/>
    <n v="1"/>
    <m/>
    <n v="1"/>
    <n v="1"/>
    <m/>
    <n v="6"/>
    <n v="13"/>
    <n v="60"/>
    <n v="2"/>
    <n v="20"/>
    <n v="91"/>
    <n v="2"/>
    <n v="21"/>
    <n v="1"/>
    <m/>
    <n v="4"/>
    <m/>
    <m/>
    <m/>
    <m/>
    <m/>
    <n v="201"/>
    <m/>
    <n v="35"/>
    <m/>
    <n v="8"/>
    <n v="23"/>
    <m/>
    <m/>
    <n v="2"/>
    <m/>
    <n v="15"/>
    <m/>
    <m/>
    <m/>
    <m/>
    <m/>
    <n v="66000"/>
    <n v="5"/>
    <n v="16500"/>
    <n v="201"/>
    <n v="4"/>
    <n v="1.9900497512437811E-2"/>
    <n v="8"/>
    <n v="0.33333333333333331"/>
    <n v="1.1599999999999999"/>
    <n v="1"/>
    <n v="83000"/>
    <n v="1020098"/>
  </r>
  <r>
    <x v="6"/>
    <x v="0"/>
    <x v="4"/>
    <n v="2"/>
    <m/>
    <n v="1"/>
    <m/>
    <m/>
    <n v="1"/>
    <m/>
    <n v="1"/>
    <n v="5"/>
    <n v="21"/>
    <m/>
    <m/>
    <n v="46"/>
    <n v="82"/>
    <m/>
    <n v="2"/>
    <m/>
    <m/>
    <m/>
    <m/>
    <m/>
    <m/>
    <m/>
    <m/>
    <n v="130"/>
    <m/>
    <m/>
    <n v="6"/>
    <n v="6"/>
    <n v="13"/>
    <m/>
    <n v="2"/>
    <m/>
    <m/>
    <m/>
    <m/>
    <m/>
    <m/>
    <m/>
    <m/>
    <n v="27000"/>
    <n v="4"/>
    <n v="6750"/>
    <n v="130"/>
    <n v="4"/>
    <n v="3.0769230769230771E-2"/>
    <n v="37"/>
    <n v="9.7560975609756101E-2"/>
    <n v="0.87"/>
    <n v="0.5"/>
    <n v="27000"/>
    <n v="1316062"/>
  </r>
  <r>
    <x v="6"/>
    <x v="2"/>
    <x v="5"/>
    <n v="1"/>
    <m/>
    <m/>
    <m/>
    <n v="1"/>
    <m/>
    <m/>
    <n v="1"/>
    <n v="3"/>
    <n v="114"/>
    <n v="65"/>
    <n v="4"/>
    <n v="70"/>
    <n v="93"/>
    <n v="5"/>
    <n v="10"/>
    <n v="2"/>
    <n v="0"/>
    <n v="5"/>
    <n v="0"/>
    <n v="2"/>
    <n v="0"/>
    <n v="0"/>
    <n v="19"/>
    <n v="275"/>
    <m/>
    <n v="25"/>
    <m/>
    <n v="10"/>
    <n v="10"/>
    <m/>
    <m/>
    <n v="1"/>
    <m/>
    <n v="13"/>
    <m/>
    <n v="10"/>
    <m/>
    <m/>
    <m/>
    <n v="45000"/>
    <n v="6"/>
    <n v="1500"/>
    <n v="275"/>
    <n v="30"/>
    <n v="0.10909090909090909"/>
    <n v="181"/>
    <n v="0.14218009478672985"/>
    <n v="1"/>
    <n v="1"/>
    <n v="69000"/>
    <n v="42258227"/>
  </r>
  <r>
    <x v="6"/>
    <x v="2"/>
    <x v="6"/>
    <m/>
    <n v="1"/>
    <m/>
    <m/>
    <n v="1"/>
    <n v="1"/>
    <m/>
    <n v="1"/>
    <n v="4"/>
    <n v="52"/>
    <n v="0"/>
    <n v="0"/>
    <n v="56"/>
    <n v="7"/>
    <n v="0"/>
    <n v="12"/>
    <n v="0"/>
    <n v="0"/>
    <n v="1"/>
    <n v="0"/>
    <n v="0"/>
    <n v="0"/>
    <n v="0"/>
    <n v="0"/>
    <n v="76"/>
    <m/>
    <n v="57"/>
    <m/>
    <n v="15"/>
    <n v="7"/>
    <m/>
    <n v="7"/>
    <n v="0.3"/>
    <m/>
    <m/>
    <m/>
    <m/>
    <m/>
    <n v="20"/>
    <m/>
    <n v="86000"/>
    <n v="6"/>
    <n v="7818.181818181818"/>
    <n v="76"/>
    <n v="11"/>
    <n v="0.14473684210526316"/>
    <n v="190"/>
    <n v="5.4726368159203981E-2"/>
    <n v="1.24"/>
    <n v="1"/>
    <n v="106300"/>
    <n v="16881227"/>
  </r>
  <r>
    <x v="6"/>
    <x v="2"/>
    <x v="7"/>
    <n v="2"/>
    <m/>
    <m/>
    <m/>
    <n v="1"/>
    <n v="1"/>
    <m/>
    <n v="1"/>
    <n v="5"/>
    <n v="17"/>
    <n v="17"/>
    <n v="27"/>
    <n v="23"/>
    <n v="40"/>
    <n v="0"/>
    <n v="0"/>
    <n v="0"/>
    <n v="0"/>
    <n v="0"/>
    <n v="0"/>
    <n v="0"/>
    <n v="0"/>
    <n v="0"/>
    <n v="0"/>
    <n v="107"/>
    <m/>
    <m/>
    <n v="17"/>
    <n v="15"/>
    <n v="13"/>
    <m/>
    <m/>
    <n v="1"/>
    <m/>
    <n v="3.6"/>
    <m/>
    <m/>
    <m/>
    <m/>
    <m/>
    <n v="45000"/>
    <n v="5"/>
    <n v="4090.909090909091"/>
    <n v="107"/>
    <n v="11"/>
    <n v="0.10280373831775701"/>
    <n v="27"/>
    <n v="0.28947368421052633"/>
    <n v="1.05"/>
    <n v="1"/>
    <n v="49600"/>
    <n v="10640636"/>
  </r>
  <r>
    <x v="6"/>
    <x v="0"/>
    <x v="8"/>
    <n v="3"/>
    <m/>
    <n v="1"/>
    <n v="1"/>
    <n v="1"/>
    <m/>
    <m/>
    <m/>
    <n v="6"/>
    <n v="17"/>
    <n v="30"/>
    <n v="1"/>
    <n v="3"/>
    <n v="76"/>
    <m/>
    <m/>
    <m/>
    <m/>
    <m/>
    <m/>
    <m/>
    <m/>
    <m/>
    <m/>
    <n v="110"/>
    <m/>
    <n v="14"/>
    <n v="3"/>
    <n v="4"/>
    <n v="6"/>
    <m/>
    <m/>
    <n v="2"/>
    <n v="6"/>
    <m/>
    <m/>
    <m/>
    <m/>
    <m/>
    <m/>
    <n v="27000"/>
    <n v="6"/>
    <n v="3857.1428571428573"/>
    <n v="110"/>
    <n v="7"/>
    <n v="6.363636363636363E-2"/>
    <n v="20"/>
    <n v="0.25925925925925924"/>
    <n v="1.26"/>
    <n v="1"/>
    <n v="35000"/>
    <n v="3375888"/>
  </r>
  <r>
    <x v="6"/>
    <x v="1"/>
    <x v="9"/>
    <n v="1"/>
    <m/>
    <n v="1"/>
    <m/>
    <m/>
    <m/>
    <m/>
    <m/>
    <n v="2"/>
    <n v="68"/>
    <m/>
    <n v="8"/>
    <n v="71"/>
    <n v="104"/>
    <n v="7"/>
    <m/>
    <m/>
    <m/>
    <m/>
    <m/>
    <m/>
    <m/>
    <m/>
    <m/>
    <n v="190"/>
    <m/>
    <m/>
    <n v="10"/>
    <n v="12"/>
    <n v="25"/>
    <n v="5"/>
    <m/>
    <m/>
    <m/>
    <m/>
    <m/>
    <m/>
    <m/>
    <m/>
    <m/>
    <n v="52000"/>
    <n v="4"/>
    <n v="2888.8888888888887"/>
    <n v="190"/>
    <n v="18"/>
    <n v="9.4736842105263161E-2"/>
    <n v="81"/>
    <n v="0.18181818181818182"/>
    <n v="1"/>
    <n v="1"/>
    <n v="52000"/>
    <n v="6845286"/>
  </r>
  <r>
    <x v="6"/>
    <x v="0"/>
    <x v="10"/>
    <n v="1"/>
    <m/>
    <n v="2"/>
    <m/>
    <n v="3"/>
    <m/>
    <m/>
    <m/>
    <n v="6"/>
    <n v="40"/>
    <n v="105"/>
    <m/>
    <n v="18"/>
    <n v="59"/>
    <m/>
    <m/>
    <m/>
    <m/>
    <m/>
    <m/>
    <m/>
    <m/>
    <m/>
    <m/>
    <n v="182"/>
    <m/>
    <n v="43"/>
    <m/>
    <n v="7"/>
    <n v="12"/>
    <n v="6"/>
    <m/>
    <m/>
    <m/>
    <m/>
    <m/>
    <m/>
    <m/>
    <m/>
    <m/>
    <n v="68000"/>
    <n v="4"/>
    <n v="5666.666666666667"/>
    <n v="182"/>
    <n v="12"/>
    <n v="6.5934065934065936E-2"/>
    <n v="23"/>
    <n v="0.34285714285714286"/>
    <n v="1.26"/>
    <n v="1"/>
    <n v="68000"/>
    <n v="4993160"/>
  </r>
  <r>
    <x v="6"/>
    <x v="1"/>
    <x v="11"/>
    <m/>
    <m/>
    <n v="2"/>
    <m/>
    <m/>
    <m/>
    <m/>
    <m/>
    <n v="2"/>
    <n v="20"/>
    <n v="15"/>
    <m/>
    <n v="48"/>
    <n v="20"/>
    <m/>
    <n v="3"/>
    <m/>
    <m/>
    <m/>
    <m/>
    <m/>
    <m/>
    <m/>
    <m/>
    <n v="86"/>
    <m/>
    <m/>
    <m/>
    <n v="50"/>
    <n v="20"/>
    <m/>
    <n v="1.7"/>
    <n v="0.5"/>
    <m/>
    <m/>
    <m/>
    <m/>
    <m/>
    <m/>
    <m/>
    <n v="71700"/>
    <n v="4"/>
    <n v="10242.857142857143"/>
    <n v="86"/>
    <n v="7"/>
    <n v="8.1395348837209308E-2"/>
    <n v="64"/>
    <n v="9.8591549295774641E-2"/>
    <n v="0.89"/>
    <n v="0.5"/>
    <n v="72200"/>
    <n v="2382198"/>
  </r>
  <r>
    <x v="6"/>
    <x v="0"/>
    <x v="12"/>
    <n v="1"/>
    <m/>
    <n v="2"/>
    <m/>
    <n v="1"/>
    <n v="1"/>
    <m/>
    <m/>
    <n v="5"/>
    <n v="27"/>
    <n v="55"/>
    <n v="2"/>
    <n v="13"/>
    <n v="16"/>
    <m/>
    <n v="2"/>
    <m/>
    <m/>
    <m/>
    <m/>
    <m/>
    <m/>
    <m/>
    <n v="6"/>
    <n v="94"/>
    <m/>
    <m/>
    <n v="4"/>
    <n v="5"/>
    <n v="9"/>
    <m/>
    <n v="3"/>
    <n v="1"/>
    <m/>
    <n v="1"/>
    <m/>
    <m/>
    <m/>
    <m/>
    <m/>
    <n v="21000"/>
    <n v="6"/>
    <n v="1615.3846153846155"/>
    <n v="94"/>
    <n v="13"/>
    <n v="0.13829787234042554"/>
    <n v="26"/>
    <n v="0.33333333333333331"/>
    <n v="1.1599999999999999"/>
    <n v="1"/>
    <n v="23000"/>
    <n v="8021104"/>
  </r>
  <r>
    <x v="6"/>
    <x v="1"/>
    <x v="13"/>
    <n v="3"/>
    <m/>
    <n v="2"/>
    <m/>
    <m/>
    <m/>
    <m/>
    <m/>
    <n v="5"/>
    <n v="105"/>
    <m/>
    <m/>
    <n v="11"/>
    <n v="34"/>
    <m/>
    <n v="14"/>
    <m/>
    <m/>
    <m/>
    <m/>
    <m/>
    <m/>
    <m/>
    <m/>
    <n v="59"/>
    <m/>
    <m/>
    <n v="5"/>
    <n v="19"/>
    <n v="23"/>
    <m/>
    <n v="8"/>
    <m/>
    <m/>
    <m/>
    <m/>
    <m/>
    <m/>
    <m/>
    <m/>
    <n v="55000"/>
    <n v="4"/>
    <n v="5500"/>
    <n v="59"/>
    <n v="10"/>
    <n v="0.16949152542372881"/>
    <n v="61"/>
    <n v="0.14084507042253522"/>
    <n v="0.82"/>
    <n v="0.5"/>
    <n v="55000"/>
    <n v="4256565"/>
  </r>
  <r>
    <x v="6"/>
    <x v="0"/>
    <x v="14"/>
    <m/>
    <m/>
    <n v="2"/>
    <m/>
    <n v="1"/>
    <n v="1"/>
    <n v="1"/>
    <m/>
    <n v="5"/>
    <n v="40"/>
    <n v="71"/>
    <n v="0"/>
    <n v="16"/>
    <n v="95"/>
    <n v="0"/>
    <n v="0"/>
    <n v="16"/>
    <n v="0"/>
    <n v="0"/>
    <n v="0"/>
    <n v="0"/>
    <n v="0"/>
    <n v="0"/>
    <n v="14"/>
    <n v="212"/>
    <m/>
    <n v="21.3"/>
    <m/>
    <n v="4.8"/>
    <n v="28.5"/>
    <m/>
    <m/>
    <n v="0.08"/>
    <m/>
    <m/>
    <m/>
    <m/>
    <m/>
    <m/>
    <m/>
    <n v="54600"/>
    <n v="4"/>
    <n v="3640"/>
    <n v="212"/>
    <n v="15"/>
    <n v="7.0754716981132074E-2"/>
    <n v="44"/>
    <n v="0.25423728813559321"/>
    <n v="1.1599999999999999"/>
    <n v="1"/>
    <n v="54680"/>
    <n v="9226146"/>
  </r>
  <r>
    <x v="6"/>
    <x v="1"/>
    <x v="15"/>
    <n v="1"/>
    <n v="1"/>
    <n v="1"/>
    <m/>
    <n v="1"/>
    <m/>
    <m/>
    <m/>
    <n v="4"/>
    <n v="47"/>
    <m/>
    <m/>
    <m/>
    <m/>
    <m/>
    <m/>
    <m/>
    <m/>
    <m/>
    <m/>
    <m/>
    <m/>
    <m/>
    <m/>
    <n v="0"/>
    <m/>
    <m/>
    <m/>
    <m/>
    <m/>
    <m/>
    <m/>
    <m/>
    <m/>
    <m/>
    <m/>
    <m/>
    <m/>
    <m/>
    <m/>
    <n v="0"/>
    <n v="0"/>
    <n v="0"/>
    <n v="0"/>
    <n v="2"/>
    <m/>
    <n v="127"/>
    <n v="1.5503875968992248E-2"/>
    <n v="1.0900000000000001"/>
    <n v="1"/>
    <n v="0"/>
    <n v="14135482"/>
  </r>
  <r>
    <x v="6"/>
    <x v="1"/>
    <x v="16"/>
    <n v="1"/>
    <m/>
    <n v="2"/>
    <m/>
    <n v="1"/>
    <m/>
    <m/>
    <m/>
    <n v="4"/>
    <n v="97"/>
    <n v="35"/>
    <m/>
    <n v="20"/>
    <n v="32"/>
    <m/>
    <n v="3"/>
    <m/>
    <m/>
    <m/>
    <m/>
    <m/>
    <m/>
    <m/>
    <n v="20"/>
    <n v="110"/>
    <m/>
    <n v="53.61"/>
    <n v="12"/>
    <n v="51.5"/>
    <n v="32"/>
    <n v="10"/>
    <n v="6"/>
    <n v="0.96299999999999997"/>
    <m/>
    <m/>
    <m/>
    <n v="10"/>
    <n v="3"/>
    <m/>
    <m/>
    <n v="165110"/>
    <n v="9"/>
    <n v="5693.4482758620688"/>
    <n v="110"/>
    <n v="29"/>
    <n v="0.26363636363636361"/>
    <n v="328"/>
    <n v="8.1232492997198882E-2"/>
    <n v="1.59"/>
    <n v="1"/>
    <n v="179073"/>
    <n v="18427479"/>
  </r>
  <r>
    <x v="6"/>
    <x v="2"/>
    <x v="17"/>
    <n v="1"/>
    <m/>
    <m/>
    <m/>
    <n v="1"/>
    <n v="2"/>
    <m/>
    <n v="1"/>
    <n v="5"/>
    <n v="79"/>
    <n v="69"/>
    <n v="3"/>
    <n v="0"/>
    <n v="82"/>
    <n v="0"/>
    <n v="11"/>
    <n v="0"/>
    <n v="0"/>
    <m/>
    <n v="0"/>
    <n v="0"/>
    <n v="0"/>
    <n v="0"/>
    <n v="0"/>
    <n v="165"/>
    <m/>
    <n v="62"/>
    <n v="4"/>
    <m/>
    <n v="20"/>
    <m/>
    <n v="9"/>
    <n v="1"/>
    <m/>
    <n v="6"/>
    <m/>
    <m/>
    <m/>
    <m/>
    <m/>
    <n v="95000"/>
    <n v="6"/>
    <n v="5000"/>
    <n v="165"/>
    <n v="19"/>
    <n v="0.11515151515151516"/>
    <n v="126"/>
    <n v="0.1310344827586207"/>
    <n v="1.19"/>
    <n v="1"/>
    <n v="102000"/>
    <n v="41256800"/>
  </r>
  <r>
    <x v="6"/>
    <x v="0"/>
    <x v="18"/>
    <n v="1"/>
    <n v="2"/>
    <m/>
    <n v="1"/>
    <m/>
    <n v="3"/>
    <m/>
    <n v="1"/>
    <n v="8"/>
    <n v="47"/>
    <n v="62"/>
    <m/>
    <n v="9"/>
    <n v="23"/>
    <m/>
    <n v="11"/>
    <m/>
    <m/>
    <m/>
    <m/>
    <m/>
    <m/>
    <m/>
    <m/>
    <n v="105"/>
    <m/>
    <n v="45"/>
    <m/>
    <n v="15"/>
    <n v="9"/>
    <n v="3"/>
    <m/>
    <n v="3"/>
    <m/>
    <n v="15"/>
    <m/>
    <m/>
    <n v="7"/>
    <m/>
    <m/>
    <n v="72000"/>
    <n v="7"/>
    <n v="12000"/>
    <n v="105"/>
    <n v="6"/>
    <n v="5.7142857142857141E-2"/>
    <n v="64"/>
    <n v="8.5714285714285715E-2"/>
    <n v="1.26"/>
    <n v="1"/>
    <n v="97000"/>
    <n v="4339859"/>
  </r>
  <r>
    <x v="6"/>
    <x v="2"/>
    <x v="19"/>
    <n v="1"/>
    <n v="1"/>
    <m/>
    <m/>
    <n v="1"/>
    <n v="1"/>
    <m/>
    <n v="1"/>
    <n v="5"/>
    <n v="92"/>
    <n v="89"/>
    <n v="0"/>
    <n v="17"/>
    <n v="23"/>
    <n v="0"/>
    <n v="23"/>
    <n v="0"/>
    <n v="0"/>
    <n v="0"/>
    <n v="0"/>
    <n v="0"/>
    <n v="0"/>
    <n v="0"/>
    <n v="0"/>
    <n v="152"/>
    <m/>
    <n v="16.3"/>
    <m/>
    <n v="9"/>
    <n v="8"/>
    <m/>
    <n v="9"/>
    <n v="3"/>
    <m/>
    <n v="5"/>
    <m/>
    <m/>
    <m/>
    <m/>
    <m/>
    <n v="42300"/>
    <n v="6"/>
    <n v="6042.8571428571431"/>
    <n v="152"/>
    <n v="7"/>
    <n v="4.6052631578947366E-2"/>
    <n v="69"/>
    <n v="9.2105263157894732E-2"/>
    <n v="1.1100000000000001"/>
    <n v="1"/>
    <n v="50300"/>
    <n v="11947387"/>
  </r>
  <r>
    <x v="6"/>
    <x v="0"/>
    <x v="20"/>
    <n v="1"/>
    <m/>
    <n v="1"/>
    <n v="1"/>
    <n v="1"/>
    <n v="2"/>
    <m/>
    <m/>
    <n v="6"/>
    <n v="26"/>
    <n v="0"/>
    <n v="0"/>
    <n v="35"/>
    <n v="10"/>
    <n v="0"/>
    <n v="40"/>
    <n v="0"/>
    <n v="0"/>
    <n v="0"/>
    <n v="0"/>
    <n v="0"/>
    <n v="0"/>
    <n v="0"/>
    <n v="0"/>
    <n v="85"/>
    <m/>
    <m/>
    <n v="5"/>
    <n v="10"/>
    <n v="17"/>
    <m/>
    <n v="3"/>
    <n v="2"/>
    <m/>
    <m/>
    <m/>
    <m/>
    <m/>
    <m/>
    <m/>
    <n v="35000"/>
    <n v="5"/>
    <n v="2500"/>
    <n v="85"/>
    <n v="14"/>
    <n v="0.16470588235294117"/>
    <n v="40"/>
    <n v="0.25925925925925924"/>
    <n v="1.53"/>
    <n v="1"/>
    <n v="37000"/>
    <n v="2068120"/>
  </r>
  <r>
    <x v="6"/>
    <x v="1"/>
    <x v="21"/>
    <n v="1"/>
    <m/>
    <n v="1"/>
    <m/>
    <n v="1"/>
    <m/>
    <m/>
    <m/>
    <n v="3"/>
    <n v="35"/>
    <m/>
    <m/>
    <m/>
    <n v="211"/>
    <m/>
    <m/>
    <m/>
    <m/>
    <m/>
    <m/>
    <m/>
    <m/>
    <m/>
    <m/>
    <n v="211"/>
    <m/>
    <m/>
    <m/>
    <n v="19"/>
    <n v="24"/>
    <m/>
    <m/>
    <m/>
    <m/>
    <m/>
    <m/>
    <m/>
    <m/>
    <m/>
    <m/>
    <n v="43000"/>
    <n v="2"/>
    <n v="1264.7058823529412"/>
    <n v="211"/>
    <n v="34"/>
    <n v="0.16113744075829384"/>
    <n v="179"/>
    <n v="0.15962441314553991"/>
    <n v="1.04"/>
    <n v="1"/>
    <n v="43000"/>
    <n v="16999977"/>
  </r>
  <r>
    <x v="6"/>
    <x v="1"/>
    <x v="22"/>
    <n v="1"/>
    <m/>
    <m/>
    <m/>
    <m/>
    <m/>
    <m/>
    <n v="1"/>
    <n v="2"/>
    <n v="11"/>
    <m/>
    <m/>
    <n v="1"/>
    <n v="81"/>
    <m/>
    <n v="3"/>
    <m/>
    <m/>
    <m/>
    <m/>
    <m/>
    <m/>
    <m/>
    <n v="4"/>
    <n v="89"/>
    <m/>
    <m/>
    <m/>
    <m/>
    <n v="15.135"/>
    <m/>
    <m/>
    <n v="0.51200000000000001"/>
    <m/>
    <m/>
    <m/>
    <n v="4"/>
    <m/>
    <m/>
    <n v="5"/>
    <n v="20134.999999999996"/>
    <n v="4"/>
    <n v="5033.7499999999991"/>
    <n v="89"/>
    <n v="4"/>
    <n v="4.49438202247191E-2"/>
    <n v="98"/>
    <n v="3.9215686274509803E-2"/>
    <n v="1.1399999999999999"/>
    <n v="1"/>
    <n v="24647"/>
    <n v="4123225"/>
  </r>
  <r>
    <x v="6"/>
    <x v="0"/>
    <x v="23"/>
    <n v="1"/>
    <n v="1"/>
    <n v="2"/>
    <n v="2"/>
    <m/>
    <m/>
    <m/>
    <m/>
    <n v="6"/>
    <n v="12"/>
    <n v="35"/>
    <m/>
    <n v="35"/>
    <n v="14"/>
    <m/>
    <n v="2"/>
    <m/>
    <m/>
    <m/>
    <m/>
    <m/>
    <m/>
    <m/>
    <m/>
    <n v="86"/>
    <m/>
    <n v="42"/>
    <m/>
    <n v="3"/>
    <n v="4"/>
    <n v="2"/>
    <n v="2"/>
    <n v="2"/>
    <m/>
    <m/>
    <m/>
    <m/>
    <m/>
    <m/>
    <m/>
    <n v="53000"/>
    <n v="6"/>
    <n v="17666.666666666668"/>
    <n v="86"/>
    <n v="3"/>
    <n v="3.4883720930232558E-2"/>
    <n v="9"/>
    <n v="0.25"/>
    <n v="1.21"/>
    <n v="1"/>
    <n v="55000"/>
    <n v="2751809"/>
  </r>
  <r>
    <x v="7"/>
    <x v="0"/>
    <x v="0"/>
    <n v="2"/>
    <m/>
    <n v="1"/>
    <m/>
    <n v="2"/>
    <n v="1"/>
    <n v="1"/>
    <m/>
    <n v="7"/>
    <n v="67"/>
    <n v="68"/>
    <m/>
    <n v="78"/>
    <n v="14"/>
    <m/>
    <m/>
    <n v="0"/>
    <m/>
    <m/>
    <m/>
    <n v="0"/>
    <n v="0"/>
    <m/>
    <m/>
    <n v="160"/>
    <m/>
    <n v="10"/>
    <m/>
    <n v="3"/>
    <n v="5"/>
    <m/>
    <m/>
    <n v="2"/>
    <m/>
    <n v="5"/>
    <m/>
    <m/>
    <m/>
    <m/>
    <n v="1"/>
    <n v="19000"/>
    <n v="6"/>
    <n v="1900"/>
    <n v="160"/>
    <n v="10"/>
    <n v="6.25E-2"/>
    <n v="20"/>
    <n v="0.33333333333333331"/>
    <n v="1.1000000000000001"/>
    <n v="1"/>
    <n v="26000"/>
    <n v="2634770"/>
  </r>
  <r>
    <x v="7"/>
    <x v="1"/>
    <x v="1"/>
    <n v="2"/>
    <m/>
    <n v="1"/>
    <m/>
    <m/>
    <m/>
    <m/>
    <m/>
    <n v="3"/>
    <n v="3"/>
    <n v="30"/>
    <m/>
    <n v="5"/>
    <n v="113"/>
    <m/>
    <m/>
    <n v="0"/>
    <m/>
    <m/>
    <m/>
    <n v="0"/>
    <m/>
    <m/>
    <n v="5"/>
    <n v="153"/>
    <m/>
    <m/>
    <m/>
    <n v="18"/>
    <n v="48"/>
    <m/>
    <m/>
    <m/>
    <m/>
    <m/>
    <m/>
    <m/>
    <m/>
    <m/>
    <m/>
    <n v="66000"/>
    <n v="2"/>
    <n v="22000"/>
    <n v="153"/>
    <n v="3"/>
    <n v="1.9607843137254902E-2"/>
    <n v="25"/>
    <n v="0.10714285714285714"/>
    <n v="0.14000000000000001"/>
    <n v="0"/>
    <n v="66000"/>
    <n v="0"/>
  </r>
  <r>
    <x v="7"/>
    <x v="2"/>
    <x v="2"/>
    <n v="1"/>
    <m/>
    <m/>
    <m/>
    <n v="1"/>
    <n v="1"/>
    <n v="2"/>
    <m/>
    <n v="5"/>
    <n v="26"/>
    <n v="67"/>
    <m/>
    <n v="53"/>
    <n v="22"/>
    <m/>
    <n v="3"/>
    <m/>
    <m/>
    <m/>
    <m/>
    <m/>
    <m/>
    <m/>
    <m/>
    <n v="145"/>
    <m/>
    <n v="20"/>
    <n v="6"/>
    <n v="25"/>
    <n v="25"/>
    <n v="5"/>
    <m/>
    <n v="3"/>
    <m/>
    <n v="20"/>
    <m/>
    <m/>
    <m/>
    <m/>
    <m/>
    <n v="81000"/>
    <n v="7"/>
    <n v="3000"/>
    <n v="145"/>
    <n v="27"/>
    <n v="0.18620689655172415"/>
    <n v="72"/>
    <n v="0.27272727272727271"/>
    <n v="1"/>
    <n v="1"/>
    <n v="104000"/>
    <n v="26127665"/>
  </r>
  <r>
    <x v="7"/>
    <x v="0"/>
    <x v="3"/>
    <n v="1"/>
    <n v="1"/>
    <n v="1"/>
    <m/>
    <n v="1"/>
    <n v="1"/>
    <n v="1"/>
    <m/>
    <n v="6"/>
    <n v="85"/>
    <n v="50"/>
    <n v="10"/>
    <n v="15"/>
    <n v="23"/>
    <m/>
    <m/>
    <n v="8"/>
    <m/>
    <m/>
    <m/>
    <m/>
    <m/>
    <m/>
    <m/>
    <n v="106"/>
    <m/>
    <n v="12"/>
    <m/>
    <n v="8"/>
    <n v="48"/>
    <m/>
    <m/>
    <n v="3"/>
    <m/>
    <n v="1"/>
    <m/>
    <m/>
    <m/>
    <m/>
    <m/>
    <n v="68000"/>
    <n v="5"/>
    <n v="17000"/>
    <n v="106"/>
    <n v="4"/>
    <n v="3.7735849056603772E-2"/>
    <n v="12"/>
    <n v="0.25"/>
    <n v="1"/>
    <n v="1"/>
    <n v="73000"/>
    <n v="870380"/>
  </r>
  <r>
    <x v="7"/>
    <x v="0"/>
    <x v="4"/>
    <n v="1"/>
    <m/>
    <n v="1"/>
    <m/>
    <n v="2"/>
    <n v="1"/>
    <m/>
    <m/>
    <n v="5"/>
    <n v="27"/>
    <m/>
    <m/>
    <n v="35"/>
    <n v="170"/>
    <m/>
    <m/>
    <m/>
    <m/>
    <m/>
    <m/>
    <m/>
    <m/>
    <m/>
    <m/>
    <n v="205"/>
    <m/>
    <n v="30"/>
    <n v="5"/>
    <n v="6"/>
    <n v="10"/>
    <m/>
    <m/>
    <m/>
    <m/>
    <m/>
    <m/>
    <m/>
    <m/>
    <m/>
    <m/>
    <n v="51000"/>
    <n v="4"/>
    <n v="4250"/>
    <n v="205"/>
    <n v="12"/>
    <n v="5.8536585365853662E-2"/>
    <n v="52"/>
    <n v="0.1875"/>
    <n v="1"/>
    <n v="1"/>
    <n v="51000"/>
    <n v="2462685"/>
  </r>
  <r>
    <x v="7"/>
    <x v="2"/>
    <x v="5"/>
    <n v="1"/>
    <m/>
    <n v="1"/>
    <m/>
    <n v="1"/>
    <m/>
    <m/>
    <m/>
    <n v="3"/>
    <m/>
    <n v="44"/>
    <m/>
    <n v="13"/>
    <n v="39"/>
    <m/>
    <m/>
    <m/>
    <m/>
    <m/>
    <m/>
    <m/>
    <m/>
    <m/>
    <m/>
    <n v="96"/>
    <m/>
    <n v="38"/>
    <n v="12"/>
    <n v="10"/>
    <n v="20"/>
    <m/>
    <m/>
    <n v="1"/>
    <m/>
    <n v="13"/>
    <m/>
    <m/>
    <m/>
    <m/>
    <n v="25"/>
    <n v="105000"/>
    <n v="7"/>
    <n v="3387.0967741935483"/>
    <n v="96"/>
    <n v="31"/>
    <n v="0.32291666666666669"/>
    <n v="127"/>
    <n v="0.19620253164556961"/>
    <n v="1"/>
    <n v="1"/>
    <n v="119000"/>
    <n v="38926988"/>
  </r>
  <r>
    <x v="7"/>
    <x v="2"/>
    <x v="6"/>
    <n v="1"/>
    <m/>
    <n v="1"/>
    <n v="1"/>
    <n v="1"/>
    <m/>
    <m/>
    <m/>
    <n v="4"/>
    <n v="51"/>
    <n v="31"/>
    <m/>
    <n v="46"/>
    <n v="51"/>
    <m/>
    <m/>
    <m/>
    <m/>
    <m/>
    <m/>
    <m/>
    <m/>
    <m/>
    <m/>
    <n v="128"/>
    <m/>
    <n v="17"/>
    <m/>
    <n v="13"/>
    <n v="7"/>
    <m/>
    <n v="7"/>
    <n v="0.3"/>
    <m/>
    <m/>
    <m/>
    <m/>
    <m/>
    <m/>
    <n v="14"/>
    <n v="58000"/>
    <n v="6"/>
    <n v="11600"/>
    <n v="128"/>
    <n v="5"/>
    <n v="3.90625E-2"/>
    <n v="135"/>
    <n v="3.5714285714285712E-2"/>
    <n v="1"/>
    <n v="1"/>
    <n v="58000"/>
    <n v="11416707"/>
  </r>
  <r>
    <x v="7"/>
    <x v="2"/>
    <x v="7"/>
    <n v="2"/>
    <m/>
    <n v="1"/>
    <m/>
    <n v="1"/>
    <n v="1"/>
    <m/>
    <m/>
    <n v="5"/>
    <n v="53"/>
    <n v="49"/>
    <n v="6"/>
    <n v="67"/>
    <n v="84"/>
    <m/>
    <m/>
    <m/>
    <m/>
    <m/>
    <m/>
    <m/>
    <m/>
    <m/>
    <m/>
    <n v="206"/>
    <m/>
    <m/>
    <n v="17"/>
    <n v="15"/>
    <n v="13"/>
    <m/>
    <m/>
    <n v="1"/>
    <m/>
    <n v="3.6"/>
    <m/>
    <m/>
    <m/>
    <m/>
    <m/>
    <n v="45000"/>
    <n v="5"/>
    <n v="3000"/>
    <n v="206"/>
    <n v="15"/>
    <n v="7.281553398058252E-2"/>
    <n v="28"/>
    <n v="0.34883720930232559"/>
    <n v="1"/>
    <n v="1"/>
    <n v="50000"/>
    <n v="12248761"/>
  </r>
  <r>
    <x v="7"/>
    <x v="0"/>
    <x v="8"/>
    <n v="1"/>
    <n v="1"/>
    <n v="1"/>
    <m/>
    <n v="2"/>
    <n v="1"/>
    <m/>
    <m/>
    <n v="6"/>
    <n v="61"/>
    <n v="61"/>
    <n v="0"/>
    <n v="13"/>
    <n v="34"/>
    <m/>
    <m/>
    <n v="0"/>
    <m/>
    <n v="0"/>
    <m/>
    <m/>
    <m/>
    <m/>
    <m/>
    <n v="108"/>
    <m/>
    <n v="14"/>
    <m/>
    <n v="4"/>
    <n v="12"/>
    <m/>
    <m/>
    <n v="2"/>
    <m/>
    <n v="6"/>
    <m/>
    <m/>
    <m/>
    <m/>
    <m/>
    <n v="30000"/>
    <n v="5"/>
    <n v="3000"/>
    <n v="108"/>
    <n v="10"/>
    <n v="9.2592592592592587E-2"/>
    <n v="25"/>
    <n v="0.2857142857142857"/>
    <n v="1.2"/>
    <n v="1"/>
    <n v="38000"/>
    <n v="1913666"/>
  </r>
  <r>
    <x v="7"/>
    <x v="1"/>
    <x v="9"/>
    <n v="1"/>
    <n v="1"/>
    <n v="1"/>
    <m/>
    <n v="1"/>
    <m/>
    <m/>
    <m/>
    <n v="4"/>
    <n v="77"/>
    <n v="86"/>
    <n v="16"/>
    <m/>
    <n v="112"/>
    <m/>
    <n v="26"/>
    <n v="0"/>
    <m/>
    <n v="3"/>
    <m/>
    <n v="0"/>
    <n v="0"/>
    <n v="0"/>
    <m/>
    <n v="243"/>
    <m/>
    <n v="4"/>
    <n v="5"/>
    <n v="20"/>
    <n v="30"/>
    <m/>
    <m/>
    <n v="1"/>
    <m/>
    <m/>
    <m/>
    <m/>
    <m/>
    <m/>
    <m/>
    <n v="59000"/>
    <n v="5"/>
    <n v="3470.5882352941176"/>
    <n v="243"/>
    <n v="17"/>
    <n v="6.9958847736625515E-2"/>
    <n v="112"/>
    <n v="0.13178294573643412"/>
    <n v="0.86"/>
    <n v="0.5"/>
    <n v="60000"/>
    <n v="3765817"/>
  </r>
  <r>
    <x v="7"/>
    <x v="0"/>
    <x v="10"/>
    <n v="1"/>
    <m/>
    <n v="1"/>
    <m/>
    <n v="4"/>
    <n v="2"/>
    <m/>
    <m/>
    <n v="8"/>
    <m/>
    <n v="0"/>
    <m/>
    <n v="13"/>
    <n v="27"/>
    <m/>
    <n v="7"/>
    <n v="0"/>
    <m/>
    <m/>
    <m/>
    <m/>
    <m/>
    <m/>
    <n v="0"/>
    <n v="47"/>
    <m/>
    <n v="28"/>
    <m/>
    <n v="10"/>
    <n v="17"/>
    <m/>
    <m/>
    <m/>
    <m/>
    <m/>
    <m/>
    <m/>
    <m/>
    <m/>
    <m/>
    <n v="55000"/>
    <n v="3"/>
    <n v="3437.5"/>
    <n v="47"/>
    <n v="16"/>
    <n v="0.34042553191489361"/>
    <n v="16"/>
    <n v="0.5"/>
    <n v="1.25"/>
    <n v="1"/>
    <n v="55000"/>
    <n v="4734955"/>
  </r>
  <r>
    <x v="7"/>
    <x v="1"/>
    <x v="11"/>
    <m/>
    <m/>
    <n v="2"/>
    <m/>
    <n v="1"/>
    <m/>
    <m/>
    <m/>
    <n v="3"/>
    <n v="105"/>
    <n v="179"/>
    <n v="5"/>
    <n v="24"/>
    <n v="31"/>
    <m/>
    <m/>
    <n v="3"/>
    <m/>
    <n v="4"/>
    <m/>
    <m/>
    <m/>
    <m/>
    <n v="1"/>
    <n v="247"/>
    <m/>
    <n v="20"/>
    <m/>
    <n v="25"/>
    <n v="15"/>
    <m/>
    <n v="1.7"/>
    <n v="0.5"/>
    <m/>
    <m/>
    <m/>
    <m/>
    <m/>
    <m/>
    <m/>
    <n v="61700"/>
    <n v="5"/>
    <n v="4113.333333333333"/>
    <n v="247"/>
    <n v="15"/>
    <n v="6.0728744939271252E-2"/>
    <n v="133"/>
    <n v="0.10135135135135136"/>
    <n v="0.63"/>
    <n v="0"/>
    <n v="62000"/>
    <n v="0"/>
  </r>
  <r>
    <x v="7"/>
    <x v="0"/>
    <x v="12"/>
    <n v="1"/>
    <n v="1"/>
    <n v="1"/>
    <n v="1"/>
    <n v="1"/>
    <n v="1"/>
    <m/>
    <m/>
    <n v="6"/>
    <n v="66"/>
    <n v="60"/>
    <n v="0"/>
    <n v="122"/>
    <n v="126"/>
    <n v="0"/>
    <n v="2"/>
    <n v="0"/>
    <m/>
    <n v="0"/>
    <m/>
    <m/>
    <m/>
    <m/>
    <m/>
    <n v="310"/>
    <m/>
    <n v="17"/>
    <n v="4"/>
    <n v="6"/>
    <n v="10"/>
    <m/>
    <m/>
    <m/>
    <m/>
    <m/>
    <m/>
    <m/>
    <m/>
    <m/>
    <m/>
    <n v="37000"/>
    <n v="4"/>
    <n v="2312.5"/>
    <n v="310"/>
    <n v="16"/>
    <n v="5.1612903225806452E-2"/>
    <n v="35"/>
    <n v="0.31372549019607843"/>
    <n v="1.1499999999999999"/>
    <n v="1"/>
    <n v="37000"/>
    <n v="5988767"/>
  </r>
  <r>
    <x v="7"/>
    <x v="1"/>
    <x v="13"/>
    <n v="2"/>
    <m/>
    <n v="1"/>
    <m/>
    <n v="1"/>
    <m/>
    <m/>
    <m/>
    <n v="4"/>
    <n v="18"/>
    <n v="25"/>
    <n v="17"/>
    <n v="23"/>
    <n v="40"/>
    <m/>
    <m/>
    <n v="0"/>
    <m/>
    <n v="0"/>
    <m/>
    <m/>
    <m/>
    <m/>
    <m/>
    <n v="105"/>
    <m/>
    <n v="9.1"/>
    <n v="15"/>
    <n v="19"/>
    <n v="23"/>
    <m/>
    <m/>
    <n v="0.4"/>
    <m/>
    <m/>
    <m/>
    <m/>
    <m/>
    <m/>
    <m/>
    <n v="66100"/>
    <n v="5"/>
    <n v="4721.4285714285716"/>
    <n v="105"/>
    <n v="14"/>
    <n v="0.13333333333333333"/>
    <n v="69"/>
    <n v="0.16867469879518071"/>
    <n v="1"/>
    <n v="1"/>
    <n v="67000"/>
    <n v="8898578"/>
  </r>
  <r>
    <x v="7"/>
    <x v="0"/>
    <x v="14"/>
    <n v="1"/>
    <m/>
    <n v="2"/>
    <m/>
    <n v="1"/>
    <n v="1"/>
    <m/>
    <m/>
    <n v="5"/>
    <n v="30"/>
    <n v="49"/>
    <m/>
    <n v="6"/>
    <n v="84"/>
    <m/>
    <m/>
    <m/>
    <m/>
    <m/>
    <m/>
    <m/>
    <m/>
    <m/>
    <m/>
    <n v="139"/>
    <m/>
    <m/>
    <m/>
    <n v="9"/>
    <n v="15.9"/>
    <m/>
    <m/>
    <m/>
    <m/>
    <m/>
    <m/>
    <m/>
    <m/>
    <m/>
    <m/>
    <n v="24900"/>
    <n v="2"/>
    <n v="1660"/>
    <n v="139"/>
    <n v="15"/>
    <n v="0.1079136690647482"/>
    <n v="65"/>
    <n v="0.1875"/>
    <n v="1"/>
    <n v="1"/>
    <n v="25000"/>
    <n v="7055284"/>
  </r>
  <r>
    <x v="7"/>
    <x v="1"/>
    <x v="15"/>
    <n v="1"/>
    <n v="1"/>
    <n v="2"/>
    <m/>
    <m/>
    <m/>
    <m/>
    <m/>
    <n v="4"/>
    <n v="20"/>
    <n v="29"/>
    <m/>
    <n v="10"/>
    <n v="20"/>
    <m/>
    <m/>
    <m/>
    <m/>
    <m/>
    <m/>
    <m/>
    <m/>
    <m/>
    <m/>
    <n v="59"/>
    <m/>
    <n v="10"/>
    <m/>
    <n v="20"/>
    <n v="50"/>
    <m/>
    <m/>
    <n v="5"/>
    <m/>
    <m/>
    <m/>
    <m/>
    <m/>
    <m/>
    <m/>
    <n v="80000"/>
    <n v="4"/>
    <n v="26666.666666666668"/>
    <n v="59"/>
    <n v="3"/>
    <n v="5.0847457627118647E-2"/>
    <n v="176"/>
    <n v="1.6759776536312849E-2"/>
    <n v="0.86"/>
    <n v="0.5"/>
    <n v="85000"/>
    <n v="2724105"/>
  </r>
  <r>
    <x v="7"/>
    <x v="1"/>
    <x v="16"/>
    <n v="1"/>
    <n v="1"/>
    <n v="1"/>
    <m/>
    <n v="1"/>
    <n v="1"/>
    <m/>
    <m/>
    <n v="5"/>
    <n v="38"/>
    <n v="57"/>
    <m/>
    <n v="26"/>
    <n v="75"/>
    <m/>
    <m/>
    <m/>
    <m/>
    <m/>
    <m/>
    <m/>
    <m/>
    <m/>
    <m/>
    <n v="158"/>
    <m/>
    <n v="166.3"/>
    <n v="12"/>
    <n v="40"/>
    <n v="24"/>
    <m/>
    <m/>
    <n v="0.375"/>
    <m/>
    <m/>
    <m/>
    <n v="5"/>
    <n v="28.9"/>
    <m/>
    <m/>
    <n v="242300"/>
    <n v="7"/>
    <n v="8076.666666666667"/>
    <n v="158"/>
    <n v="30"/>
    <n v="0.189873417721519"/>
    <n v="243"/>
    <n v="0.10989010989010989"/>
    <n v="1.42"/>
    <n v="1"/>
    <n v="277000"/>
    <n v="16515545"/>
  </r>
  <r>
    <x v="7"/>
    <x v="2"/>
    <x v="17"/>
    <n v="1"/>
    <n v="1"/>
    <n v="2"/>
    <m/>
    <m/>
    <n v="1"/>
    <m/>
    <m/>
    <n v="5"/>
    <n v="24"/>
    <n v="54"/>
    <m/>
    <n v="10"/>
    <n v="78"/>
    <m/>
    <m/>
    <m/>
    <m/>
    <m/>
    <m/>
    <m/>
    <m/>
    <m/>
    <m/>
    <n v="142"/>
    <m/>
    <n v="59"/>
    <n v="8"/>
    <m/>
    <n v="24"/>
    <m/>
    <n v="11"/>
    <n v="1"/>
    <m/>
    <n v="6"/>
    <m/>
    <m/>
    <m/>
    <m/>
    <m/>
    <n v="102000"/>
    <n v="6"/>
    <n v="4636.363636363636"/>
    <n v="142"/>
    <n v="22"/>
    <n v="0.15492957746478872"/>
    <n v="154"/>
    <n v="0.125"/>
    <n v="1"/>
    <n v="1"/>
    <n v="109000"/>
    <n v="29016020"/>
  </r>
  <r>
    <x v="7"/>
    <x v="0"/>
    <x v="18"/>
    <n v="1"/>
    <m/>
    <n v="2"/>
    <m/>
    <m/>
    <n v="2"/>
    <n v="1"/>
    <m/>
    <n v="6"/>
    <n v="25"/>
    <n v="69"/>
    <m/>
    <n v="6"/>
    <n v="64"/>
    <m/>
    <m/>
    <m/>
    <m/>
    <m/>
    <m/>
    <m/>
    <m/>
    <m/>
    <m/>
    <n v="139"/>
    <m/>
    <n v="7"/>
    <m/>
    <n v="15"/>
    <n v="5"/>
    <n v="2"/>
    <n v="2"/>
    <n v="6"/>
    <m/>
    <n v="5"/>
    <m/>
    <m/>
    <m/>
    <m/>
    <m/>
    <n v="31000"/>
    <n v="7"/>
    <n v="5166.666666666667"/>
    <n v="139"/>
    <n v="6"/>
    <n v="4.3165467625899283E-2"/>
    <n v="77"/>
    <n v="7.2289156626506021E-2"/>
    <n v="1.3"/>
    <n v="1"/>
    <n v="42000"/>
    <n v="6698894"/>
  </r>
  <r>
    <x v="7"/>
    <x v="2"/>
    <x v="19"/>
    <n v="1"/>
    <n v="1"/>
    <n v="1"/>
    <m/>
    <n v="1"/>
    <n v="1"/>
    <m/>
    <m/>
    <n v="5"/>
    <n v="33"/>
    <n v="0"/>
    <m/>
    <n v="30"/>
    <n v="53"/>
    <m/>
    <m/>
    <n v="0"/>
    <m/>
    <m/>
    <m/>
    <m/>
    <m/>
    <m/>
    <m/>
    <n v="83"/>
    <m/>
    <n v="22.8"/>
    <n v="5"/>
    <n v="38"/>
    <n v="9.6"/>
    <m/>
    <m/>
    <n v="3.3"/>
    <m/>
    <n v="5"/>
    <m/>
    <m/>
    <m/>
    <m/>
    <m/>
    <n v="75399.999999999985"/>
    <n v="6"/>
    <n v="12566.666666666664"/>
    <n v="83"/>
    <n v="6"/>
    <n v="7.2289156626506021E-2"/>
    <n v="62"/>
    <n v="8.8235294117647065E-2"/>
    <n v="1"/>
    <n v="1"/>
    <n v="84000"/>
    <n v="6713674"/>
  </r>
  <r>
    <x v="7"/>
    <x v="0"/>
    <x v="20"/>
    <m/>
    <m/>
    <n v="2"/>
    <m/>
    <m/>
    <n v="1"/>
    <m/>
    <m/>
    <n v="3"/>
    <n v="49"/>
    <n v="27"/>
    <m/>
    <n v="12"/>
    <n v="47"/>
    <m/>
    <n v="8"/>
    <m/>
    <m/>
    <m/>
    <m/>
    <m/>
    <m/>
    <m/>
    <m/>
    <n v="94"/>
    <m/>
    <n v="10"/>
    <n v="6"/>
    <n v="20"/>
    <n v="15"/>
    <m/>
    <n v="3"/>
    <n v="1"/>
    <m/>
    <n v="15"/>
    <m/>
    <m/>
    <n v="10"/>
    <m/>
    <m/>
    <n v="54000"/>
    <n v="8"/>
    <n v="3857.1428571428573"/>
    <n v="94"/>
    <n v="14"/>
    <n v="0.14893617021276595"/>
    <n v="60"/>
    <n v="0.1891891891891892"/>
    <n v="1"/>
    <n v="1"/>
    <n v="80000"/>
    <n v="5240640"/>
  </r>
  <r>
    <x v="7"/>
    <x v="1"/>
    <x v="21"/>
    <n v="1"/>
    <m/>
    <m/>
    <m/>
    <n v="1"/>
    <m/>
    <m/>
    <m/>
    <n v="2"/>
    <n v="23"/>
    <n v="32"/>
    <n v="0"/>
    <n v="32"/>
    <n v="36"/>
    <m/>
    <n v="0"/>
    <n v="0"/>
    <m/>
    <n v="0"/>
    <m/>
    <m/>
    <n v="0"/>
    <m/>
    <m/>
    <n v="100"/>
    <m/>
    <m/>
    <m/>
    <n v="19"/>
    <n v="24"/>
    <m/>
    <m/>
    <m/>
    <m/>
    <m/>
    <m/>
    <m/>
    <m/>
    <m/>
    <m/>
    <n v="43000"/>
    <n v="2"/>
    <n v="3071.4285714285716"/>
    <n v="100"/>
    <n v="14"/>
    <n v="0.14000000000000001"/>
    <n v="196"/>
    <n v="6.6666666666666666E-2"/>
    <n v="1.1299999999999999"/>
    <n v="1"/>
    <n v="43000"/>
    <n v="13623201"/>
  </r>
  <r>
    <x v="7"/>
    <x v="1"/>
    <x v="22"/>
    <n v="2"/>
    <m/>
    <n v="1"/>
    <m/>
    <n v="1"/>
    <m/>
    <m/>
    <m/>
    <n v="4"/>
    <n v="16"/>
    <n v="28"/>
    <n v="2"/>
    <n v="33"/>
    <n v="48"/>
    <n v="6"/>
    <n v="36"/>
    <n v="2"/>
    <m/>
    <n v="7"/>
    <m/>
    <m/>
    <m/>
    <m/>
    <m/>
    <n v="162"/>
    <m/>
    <n v="7.71"/>
    <m/>
    <m/>
    <n v="34.299999999999997"/>
    <m/>
    <m/>
    <n v="1.2709999999999999"/>
    <m/>
    <m/>
    <m/>
    <n v="3.68"/>
    <m/>
    <m/>
    <m/>
    <n v="42010"/>
    <n v="4"/>
    <n v="5251.25"/>
    <n v="162"/>
    <n v="8"/>
    <n v="4.9382716049382713E-2"/>
    <n v="83"/>
    <n v="8.7912087912087919E-2"/>
    <n v="1"/>
    <n v="1"/>
    <n v="47000"/>
    <n v="1775915"/>
  </r>
  <r>
    <x v="7"/>
    <x v="0"/>
    <x v="23"/>
    <n v="2"/>
    <m/>
    <n v="1"/>
    <m/>
    <n v="2"/>
    <m/>
    <m/>
    <m/>
    <n v="5"/>
    <n v="30"/>
    <n v="54"/>
    <m/>
    <n v="24"/>
    <n v="44"/>
    <m/>
    <n v="39"/>
    <m/>
    <m/>
    <m/>
    <m/>
    <m/>
    <m/>
    <m/>
    <m/>
    <n v="161"/>
    <m/>
    <n v="46"/>
    <m/>
    <n v="5"/>
    <n v="4"/>
    <n v="1"/>
    <n v="5"/>
    <n v="2"/>
    <m/>
    <m/>
    <m/>
    <m/>
    <m/>
    <m/>
    <m/>
    <n v="61000"/>
    <n v="6"/>
    <n v="20333.333333333332"/>
    <n v="161"/>
    <n v="3"/>
    <n v="1.8633540372670808E-2"/>
    <n v="24"/>
    <n v="0.1111111111111111"/>
    <n v="1.2"/>
    <n v="1"/>
    <n v="62000"/>
    <n v="1302667"/>
  </r>
  <r>
    <x v="8"/>
    <x v="0"/>
    <x v="0"/>
    <n v="1"/>
    <m/>
    <m/>
    <m/>
    <n v="2"/>
    <n v="1"/>
    <m/>
    <n v="1"/>
    <n v="5"/>
    <n v="13"/>
    <n v="28"/>
    <n v="0"/>
    <n v="48"/>
    <n v="49"/>
    <m/>
    <m/>
    <m/>
    <m/>
    <m/>
    <m/>
    <m/>
    <m/>
    <m/>
    <m/>
    <n v="125"/>
    <m/>
    <n v="10"/>
    <m/>
    <n v="7"/>
    <n v="10"/>
    <m/>
    <m/>
    <n v="4"/>
    <m/>
    <n v="5"/>
    <m/>
    <m/>
    <m/>
    <m/>
    <n v="1"/>
    <n v="28000"/>
    <n v="6"/>
    <n v="4666.666666666667"/>
    <n v="125"/>
    <n v="6"/>
    <n v="4.8000000000000001E-2"/>
    <n v="33"/>
    <n v="0.15384615384615385"/>
    <n v="1.1499999999999999"/>
    <n v="1"/>
    <n v="26000"/>
    <n v="4397"/>
  </r>
  <r>
    <x v="8"/>
    <x v="1"/>
    <x v="1"/>
    <n v="1"/>
    <m/>
    <n v="1"/>
    <m/>
    <n v="1"/>
    <m/>
    <m/>
    <n v="1"/>
    <n v="4"/>
    <n v="53"/>
    <m/>
    <m/>
    <n v="6"/>
    <n v="5"/>
    <m/>
    <m/>
    <m/>
    <m/>
    <m/>
    <m/>
    <m/>
    <m/>
    <m/>
    <n v="56"/>
    <n v="67"/>
    <m/>
    <n v="11.33"/>
    <m/>
    <n v="18"/>
    <n v="48"/>
    <m/>
    <m/>
    <m/>
    <m/>
    <m/>
    <m/>
    <m/>
    <m/>
    <m/>
    <m/>
    <n v="77330"/>
    <n v="3"/>
    <n v="25776.666666666668"/>
    <n v="67"/>
    <n v="3"/>
    <n v="4.4776119402985072E-2"/>
    <n v="45"/>
    <n v="6.25E-2"/>
    <n v="0.4"/>
    <n v="0"/>
    <n v="66000"/>
    <n v="0"/>
  </r>
  <r>
    <x v="8"/>
    <x v="2"/>
    <x v="2"/>
    <n v="1"/>
    <n v="1"/>
    <m/>
    <m/>
    <n v="1"/>
    <n v="1"/>
    <m/>
    <n v="1"/>
    <n v="5"/>
    <n v="63"/>
    <n v="30"/>
    <n v="0"/>
    <n v="44"/>
    <n v="126"/>
    <n v="0"/>
    <m/>
    <n v="0"/>
    <m/>
    <n v="0"/>
    <m/>
    <m/>
    <m/>
    <m/>
    <m/>
    <n v="200"/>
    <m/>
    <n v="20"/>
    <n v="15"/>
    <n v="30"/>
    <n v="30"/>
    <n v="10"/>
    <m/>
    <n v="5"/>
    <m/>
    <n v="20"/>
    <m/>
    <m/>
    <m/>
    <m/>
    <m/>
    <n v="105000"/>
    <n v="7"/>
    <n v="4772.727272727273"/>
    <n v="200"/>
    <n v="22"/>
    <n v="0.11"/>
    <n v="83"/>
    <n v="0.20952380952380953"/>
    <n v="1.1000000000000001"/>
    <n v="1"/>
    <n v="104000"/>
    <n v="34321"/>
  </r>
  <r>
    <x v="8"/>
    <x v="0"/>
    <x v="3"/>
    <n v="1"/>
    <n v="1"/>
    <m/>
    <m/>
    <n v="1"/>
    <n v="1"/>
    <m/>
    <n v="1"/>
    <n v="5"/>
    <m/>
    <n v="69"/>
    <m/>
    <n v="16"/>
    <n v="86"/>
    <n v="2"/>
    <m/>
    <n v="1"/>
    <m/>
    <n v="3"/>
    <m/>
    <m/>
    <m/>
    <m/>
    <m/>
    <n v="177"/>
    <m/>
    <n v="30"/>
    <m/>
    <n v="8"/>
    <n v="48"/>
    <m/>
    <m/>
    <n v="3"/>
    <m/>
    <n v="2"/>
    <m/>
    <m/>
    <m/>
    <m/>
    <m/>
    <n v="86000"/>
    <n v="5"/>
    <n v="17200"/>
    <n v="177"/>
    <n v="5"/>
    <n v="2.8248587570621469E-2"/>
    <n v="26"/>
    <n v="0.16129032258064516"/>
    <n v="1.08"/>
    <n v="1"/>
    <n v="73000"/>
    <n v="2035"/>
  </r>
  <r>
    <x v="8"/>
    <x v="0"/>
    <x v="4"/>
    <n v="1"/>
    <m/>
    <m/>
    <m/>
    <n v="2"/>
    <n v="1"/>
    <m/>
    <n v="1"/>
    <n v="5"/>
    <n v="24"/>
    <n v="47"/>
    <m/>
    <m/>
    <n v="35"/>
    <m/>
    <m/>
    <m/>
    <m/>
    <m/>
    <m/>
    <m/>
    <m/>
    <m/>
    <m/>
    <n v="82"/>
    <m/>
    <n v="14"/>
    <n v="5"/>
    <n v="6"/>
    <n v="15"/>
    <m/>
    <m/>
    <n v="1"/>
    <m/>
    <n v="3"/>
    <m/>
    <m/>
    <m/>
    <m/>
    <m/>
    <n v="40000"/>
    <n v="6"/>
    <n v="6666.666666666667"/>
    <n v="82"/>
    <n v="6"/>
    <n v="7.3170731707317069E-2"/>
    <n v="35"/>
    <n v="0.14634146341463414"/>
    <n v="0.77"/>
    <n v="0.25"/>
    <n v="51000"/>
    <n v="1767"/>
  </r>
  <r>
    <x v="8"/>
    <x v="2"/>
    <x v="5"/>
    <n v="1"/>
    <m/>
    <m/>
    <m/>
    <m/>
    <n v="1"/>
    <m/>
    <m/>
    <n v="2"/>
    <n v="38"/>
    <m/>
    <n v="12"/>
    <n v="26"/>
    <n v="38"/>
    <m/>
    <n v="37"/>
    <n v="0"/>
    <m/>
    <n v="0"/>
    <m/>
    <n v="0"/>
    <m/>
    <m/>
    <m/>
    <n v="113"/>
    <m/>
    <m/>
    <n v="10"/>
    <n v="10"/>
    <n v="25"/>
    <m/>
    <n v="15"/>
    <n v="1"/>
    <m/>
    <n v="13"/>
    <m/>
    <n v="10"/>
    <m/>
    <m/>
    <m/>
    <n v="60000"/>
    <n v="7"/>
    <n v="1818.1818181818182"/>
    <n v="113"/>
    <n v="33"/>
    <n v="0.29203539823008851"/>
    <n v="193"/>
    <n v="0.14601769911504425"/>
    <n v="0.91"/>
    <n v="0.75"/>
    <n v="119000"/>
    <n v="31057"/>
  </r>
  <r>
    <x v="8"/>
    <x v="2"/>
    <x v="6"/>
    <n v="1"/>
    <n v="1"/>
    <m/>
    <m/>
    <n v="1"/>
    <m/>
    <n v="1"/>
    <n v="1"/>
    <n v="5"/>
    <n v="71"/>
    <n v="0"/>
    <m/>
    <n v="58"/>
    <n v="2"/>
    <m/>
    <n v="16"/>
    <n v="0"/>
    <m/>
    <n v="0"/>
    <m/>
    <n v="0"/>
    <n v="0"/>
    <m/>
    <m/>
    <n v="76"/>
    <m/>
    <n v="18"/>
    <m/>
    <n v="13"/>
    <n v="14"/>
    <m/>
    <n v="7"/>
    <n v="0.5"/>
    <m/>
    <m/>
    <m/>
    <n v="10"/>
    <n v="39"/>
    <m/>
    <m/>
    <n v="52000"/>
    <n v="7"/>
    <n v="8666.6666666666661"/>
    <n v="76"/>
    <n v="6"/>
    <n v="7.8947368421052627E-2"/>
    <n v="132"/>
    <n v="4.3478260869565216E-2"/>
    <n v="1.17"/>
    <n v="1"/>
    <n v="58000"/>
    <n v="25326"/>
  </r>
  <r>
    <x v="8"/>
    <x v="2"/>
    <x v="7"/>
    <n v="1"/>
    <m/>
    <n v="1"/>
    <m/>
    <n v="1"/>
    <n v="1"/>
    <n v="1"/>
    <n v="1"/>
    <n v="6"/>
    <n v="32"/>
    <n v="22"/>
    <n v="27"/>
    <n v="22"/>
    <n v="49"/>
    <m/>
    <m/>
    <n v="0"/>
    <m/>
    <n v="0"/>
    <m/>
    <m/>
    <m/>
    <m/>
    <m/>
    <n v="120"/>
    <m/>
    <m/>
    <n v="17"/>
    <n v="15"/>
    <n v="13"/>
    <m/>
    <m/>
    <n v="1"/>
    <m/>
    <n v="3.6"/>
    <m/>
    <m/>
    <m/>
    <m/>
    <m/>
    <n v="45000"/>
    <n v="5"/>
    <n v="2045.4545454545455"/>
    <n v="120"/>
    <n v="22"/>
    <n v="0.18333333333333332"/>
    <n v="29"/>
    <n v="0.43137254901960786"/>
    <n v="1.19"/>
    <n v="1"/>
    <n v="50000"/>
    <n v="13170"/>
  </r>
  <r>
    <x v="8"/>
    <x v="0"/>
    <x v="8"/>
    <n v="1"/>
    <m/>
    <m/>
    <m/>
    <n v="2"/>
    <n v="1"/>
    <m/>
    <n v="1"/>
    <n v="5"/>
    <n v="30"/>
    <n v="60"/>
    <m/>
    <n v="3"/>
    <n v="98"/>
    <m/>
    <m/>
    <m/>
    <m/>
    <m/>
    <m/>
    <m/>
    <m/>
    <m/>
    <m/>
    <n v="161"/>
    <m/>
    <n v="14"/>
    <m/>
    <n v="10"/>
    <n v="15"/>
    <m/>
    <m/>
    <n v="2"/>
    <n v="6"/>
    <m/>
    <m/>
    <m/>
    <m/>
    <m/>
    <m/>
    <n v="39000"/>
    <n v="5"/>
    <n v="5571.4285714285716"/>
    <n v="161"/>
    <n v="7"/>
    <n v="4.3478260869565216E-2"/>
    <n v="35"/>
    <n v="0.16666666666666666"/>
    <n v="1.08"/>
    <n v="1"/>
    <n v="38000"/>
    <n v="5738"/>
  </r>
  <r>
    <x v="8"/>
    <x v="1"/>
    <x v="9"/>
    <n v="2"/>
    <n v="1"/>
    <m/>
    <m/>
    <m/>
    <m/>
    <m/>
    <n v="1"/>
    <n v="4"/>
    <n v="57"/>
    <m/>
    <n v="7"/>
    <n v="69"/>
    <n v="98"/>
    <m/>
    <m/>
    <m/>
    <m/>
    <m/>
    <m/>
    <m/>
    <m/>
    <m/>
    <m/>
    <n v="174"/>
    <m/>
    <m/>
    <n v="5"/>
    <n v="20"/>
    <n v="30"/>
    <m/>
    <m/>
    <n v="1"/>
    <m/>
    <m/>
    <m/>
    <m/>
    <m/>
    <m/>
    <m/>
    <n v="55000"/>
    <n v="4"/>
    <n v="4583.333333333333"/>
    <n v="174"/>
    <n v="12"/>
    <n v="6.8965517241379309E-2"/>
    <n v="162"/>
    <n v="6.8965517241379309E-2"/>
    <n v="0.77"/>
    <n v="0.25"/>
    <n v="60000"/>
    <n v="1570"/>
  </r>
  <r>
    <x v="8"/>
    <x v="0"/>
    <x v="10"/>
    <n v="1"/>
    <n v="1"/>
    <m/>
    <m/>
    <n v="1"/>
    <n v="1"/>
    <m/>
    <n v="1"/>
    <n v="5"/>
    <n v="27"/>
    <n v="32"/>
    <m/>
    <n v="21"/>
    <n v="83"/>
    <m/>
    <m/>
    <m/>
    <m/>
    <m/>
    <m/>
    <m/>
    <m/>
    <m/>
    <m/>
    <n v="136"/>
    <m/>
    <n v="15"/>
    <m/>
    <n v="13"/>
    <n v="10"/>
    <m/>
    <m/>
    <n v="2"/>
    <m/>
    <n v="5"/>
    <m/>
    <n v="40"/>
    <m/>
    <m/>
    <m/>
    <n v="38000"/>
    <n v="6"/>
    <n v="4222.2222222222226"/>
    <n v="136"/>
    <n v="9"/>
    <n v="6.6176470588235295E-2"/>
    <n v="31"/>
    <n v="0.22500000000000001"/>
    <n v="1.1000000000000001"/>
    <n v="1"/>
    <n v="55000"/>
    <n v="2797"/>
  </r>
  <r>
    <x v="8"/>
    <x v="1"/>
    <x v="11"/>
    <n v="2"/>
    <n v="1"/>
    <n v="1"/>
    <m/>
    <n v="1"/>
    <m/>
    <m/>
    <n v="1"/>
    <n v="6"/>
    <n v="54"/>
    <n v="35"/>
    <n v="2"/>
    <n v="90"/>
    <n v="25"/>
    <m/>
    <m/>
    <n v="1"/>
    <m/>
    <n v="1"/>
    <m/>
    <m/>
    <m/>
    <m/>
    <m/>
    <n v="154"/>
    <m/>
    <n v="20"/>
    <n v="5"/>
    <n v="28"/>
    <n v="12"/>
    <m/>
    <m/>
    <n v="1"/>
    <m/>
    <n v="50"/>
    <m/>
    <m/>
    <m/>
    <m/>
    <m/>
    <n v="65000"/>
    <n v="6"/>
    <n v="6500"/>
    <n v="154"/>
    <n v="10"/>
    <n v="6.4935064935064929E-2"/>
    <n v="160"/>
    <n v="5.8823529411764705E-2"/>
    <n v="0.7"/>
    <n v="0.25"/>
    <n v="62000"/>
    <n v="4073"/>
  </r>
  <r>
    <x v="8"/>
    <x v="0"/>
    <x v="12"/>
    <n v="1"/>
    <n v="1"/>
    <m/>
    <m/>
    <n v="2"/>
    <n v="1"/>
    <m/>
    <n v="1"/>
    <n v="6"/>
    <n v="14"/>
    <n v="37"/>
    <n v="9"/>
    <n v="10"/>
    <n v="25"/>
    <m/>
    <n v="7"/>
    <m/>
    <m/>
    <m/>
    <m/>
    <m/>
    <m/>
    <m/>
    <m/>
    <n v="88"/>
    <m/>
    <n v="81"/>
    <n v="3"/>
    <n v="6"/>
    <n v="11"/>
    <n v="1"/>
    <n v="3"/>
    <n v="1"/>
    <m/>
    <m/>
    <m/>
    <m/>
    <m/>
    <m/>
    <m/>
    <n v="105000"/>
    <n v="7"/>
    <n v="10500"/>
    <n v="88"/>
    <n v="10"/>
    <n v="0.11363636363636363"/>
    <n v="33"/>
    <n v="0.23255813953488372"/>
    <n v="1.19"/>
    <n v="1"/>
    <n v="37000"/>
    <n v="8576"/>
  </r>
  <r>
    <x v="8"/>
    <x v="1"/>
    <x v="13"/>
    <n v="2"/>
    <m/>
    <n v="1"/>
    <m/>
    <m/>
    <m/>
    <m/>
    <n v="1"/>
    <n v="4"/>
    <n v="115"/>
    <m/>
    <n v="16"/>
    <n v="12"/>
    <n v="24"/>
    <m/>
    <n v="9"/>
    <m/>
    <m/>
    <m/>
    <m/>
    <m/>
    <m/>
    <m/>
    <m/>
    <n v="61"/>
    <m/>
    <m/>
    <n v="15"/>
    <n v="19"/>
    <n v="23"/>
    <m/>
    <n v="8"/>
    <n v="0.4"/>
    <m/>
    <m/>
    <m/>
    <m/>
    <m/>
    <m/>
    <m/>
    <n v="65000"/>
    <n v="5"/>
    <n v="8125"/>
    <n v="61"/>
    <n v="8"/>
    <n v="0.13114754098360656"/>
    <n v="84"/>
    <n v="8.6956521739130432E-2"/>
    <n v="0.8"/>
    <n v="0.5"/>
    <n v="67000"/>
    <n v="4148"/>
  </r>
  <r>
    <x v="8"/>
    <x v="0"/>
    <x v="14"/>
    <n v="1"/>
    <n v="1"/>
    <n v="1"/>
    <m/>
    <n v="1"/>
    <n v="1"/>
    <n v="1"/>
    <m/>
    <n v="6"/>
    <n v="7"/>
    <n v="3"/>
    <m/>
    <n v="21"/>
    <n v="58"/>
    <m/>
    <m/>
    <n v="4"/>
    <m/>
    <m/>
    <m/>
    <m/>
    <m/>
    <m/>
    <m/>
    <n v="86"/>
    <m/>
    <n v="0.9"/>
    <m/>
    <n v="6.3"/>
    <n v="17.399999999999999"/>
    <m/>
    <m/>
    <m/>
    <m/>
    <m/>
    <m/>
    <m/>
    <m/>
    <m/>
    <m/>
    <n v="24599.999999999996"/>
    <n v="3"/>
    <n v="946.15384615384596"/>
    <n v="86"/>
    <n v="26"/>
    <n v="0.30232558139534882"/>
    <n v="115"/>
    <n v="0.18439716312056736"/>
    <n v="1.04"/>
    <n v="1"/>
    <n v="25000"/>
    <n v="7457"/>
  </r>
  <r>
    <x v="8"/>
    <x v="1"/>
    <x v="15"/>
    <n v="1"/>
    <n v="1"/>
    <n v="1"/>
    <m/>
    <m/>
    <m/>
    <m/>
    <m/>
    <n v="3"/>
    <n v="53"/>
    <m/>
    <m/>
    <n v="23"/>
    <n v="37"/>
    <m/>
    <m/>
    <m/>
    <m/>
    <m/>
    <m/>
    <m/>
    <m/>
    <m/>
    <m/>
    <n v="60"/>
    <m/>
    <n v="14"/>
    <n v="3"/>
    <n v="20"/>
    <n v="40"/>
    <n v="2"/>
    <m/>
    <n v="2"/>
    <m/>
    <m/>
    <m/>
    <m/>
    <m/>
    <m/>
    <m/>
    <n v="79000"/>
    <n v="6"/>
    <n v="39500"/>
    <n v="60"/>
    <n v="2"/>
    <n v="3.3333333333333333E-2"/>
    <n v="173"/>
    <n v="1.1428571428571429E-2"/>
    <n v="1"/>
    <n v="1"/>
    <n v="85000"/>
    <n v="6244"/>
  </r>
  <r>
    <x v="8"/>
    <x v="1"/>
    <x v="16"/>
    <n v="1"/>
    <n v="1"/>
    <m/>
    <m/>
    <n v="1"/>
    <m/>
    <n v="1"/>
    <n v="1"/>
    <n v="5"/>
    <n v="103"/>
    <n v="37"/>
    <n v="0"/>
    <n v="79"/>
    <n v="27"/>
    <n v="1"/>
    <n v="8"/>
    <n v="0"/>
    <m/>
    <m/>
    <m/>
    <m/>
    <n v="0"/>
    <m/>
    <n v="78"/>
    <n v="230"/>
    <m/>
    <n v="103.215"/>
    <n v="18"/>
    <n v="56.5"/>
    <n v="42"/>
    <m/>
    <m/>
    <n v="1.2809999999999999"/>
    <m/>
    <m/>
    <m/>
    <m/>
    <n v="3.6"/>
    <m/>
    <m/>
    <n v="219715"/>
    <n v="6"/>
    <n v="7846.9642857142853"/>
    <n v="230"/>
    <n v="28"/>
    <n v="0.12173913043478261"/>
    <n v="272"/>
    <n v="9.3333333333333338E-2"/>
    <n v="1.1000000000000001"/>
    <n v="1"/>
    <n v="277000"/>
    <n v="18017"/>
  </r>
  <r>
    <x v="8"/>
    <x v="2"/>
    <x v="17"/>
    <n v="1"/>
    <m/>
    <m/>
    <m/>
    <n v="1"/>
    <n v="1"/>
    <n v="1"/>
    <m/>
    <n v="4"/>
    <n v="57"/>
    <n v="64"/>
    <n v="6"/>
    <n v="25"/>
    <n v="93"/>
    <m/>
    <n v="26"/>
    <m/>
    <m/>
    <m/>
    <m/>
    <m/>
    <n v="0"/>
    <m/>
    <m/>
    <n v="214"/>
    <m/>
    <n v="55"/>
    <n v="5"/>
    <n v="15"/>
    <n v="23"/>
    <m/>
    <n v="9"/>
    <m/>
    <m/>
    <n v="6"/>
    <m/>
    <m/>
    <n v="67"/>
    <m/>
    <m/>
    <n v="107000"/>
    <n v="7"/>
    <n v="7133.333333333333"/>
    <n v="214"/>
    <n v="15"/>
    <n v="7.0093457943925228E-2"/>
    <n v="177"/>
    <n v="7.8125E-2"/>
    <n v="1.1299999999999999"/>
    <n v="1"/>
    <n v="109000"/>
    <n v="45010"/>
  </r>
  <r>
    <x v="8"/>
    <x v="0"/>
    <x v="18"/>
    <m/>
    <m/>
    <n v="1"/>
    <n v="1"/>
    <n v="1"/>
    <n v="1"/>
    <n v="2"/>
    <n v="1"/>
    <n v="7"/>
    <n v="41"/>
    <n v="27"/>
    <m/>
    <n v="54"/>
    <n v="63"/>
    <m/>
    <n v="10"/>
    <m/>
    <m/>
    <m/>
    <m/>
    <m/>
    <m/>
    <m/>
    <n v="32"/>
    <n v="186"/>
    <m/>
    <n v="27"/>
    <m/>
    <n v="14"/>
    <n v="5"/>
    <m/>
    <m/>
    <n v="1"/>
    <m/>
    <m/>
    <m/>
    <n v="3"/>
    <n v="50"/>
    <m/>
    <m/>
    <n v="46000"/>
    <n v="6"/>
    <n v="3285.7142857142858"/>
    <n v="186"/>
    <n v="14"/>
    <n v="7.5268817204301078E-2"/>
    <n v="53"/>
    <n v="0.20895522388059701"/>
    <n v="1.06"/>
    <n v="1"/>
    <n v="42000"/>
    <n v="4822"/>
  </r>
  <r>
    <x v="8"/>
    <x v="2"/>
    <x v="19"/>
    <n v="1"/>
    <n v="1"/>
    <m/>
    <m/>
    <n v="1"/>
    <n v="1"/>
    <m/>
    <n v="1"/>
    <n v="5"/>
    <n v="54"/>
    <n v="30"/>
    <n v="0"/>
    <n v="19"/>
    <n v="37"/>
    <m/>
    <m/>
    <n v="0"/>
    <m/>
    <n v="0"/>
    <m/>
    <m/>
    <m/>
    <m/>
    <m/>
    <n v="86"/>
    <m/>
    <n v="22.8"/>
    <n v="5"/>
    <n v="37"/>
    <n v="9.6"/>
    <m/>
    <m/>
    <n v="3.3"/>
    <m/>
    <n v="5"/>
    <m/>
    <m/>
    <m/>
    <m/>
    <m/>
    <n v="74399.999999999985"/>
    <n v="6"/>
    <n v="14879.999999999996"/>
    <n v="86"/>
    <n v="5"/>
    <n v="5.8139534883720929E-2"/>
    <n v="70"/>
    <n v="6.6666666666666666E-2"/>
    <n v="0.85"/>
    <n v="0.5"/>
    <n v="84000"/>
    <n v="5147"/>
  </r>
  <r>
    <x v="8"/>
    <x v="0"/>
    <x v="20"/>
    <m/>
    <m/>
    <n v="1"/>
    <m/>
    <m/>
    <n v="1"/>
    <n v="1"/>
    <n v="1"/>
    <n v="4"/>
    <n v="10"/>
    <n v="41"/>
    <n v="0"/>
    <n v="30"/>
    <n v="81"/>
    <n v="0"/>
    <n v="0"/>
    <n v="0"/>
    <m/>
    <n v="0"/>
    <m/>
    <n v="0"/>
    <n v="0"/>
    <m/>
    <m/>
    <n v="152"/>
    <m/>
    <n v="10"/>
    <n v="6"/>
    <n v="20"/>
    <n v="30"/>
    <n v="5"/>
    <n v="3"/>
    <n v="1"/>
    <m/>
    <n v="25"/>
    <m/>
    <n v="8"/>
    <n v="10"/>
    <m/>
    <m/>
    <n v="74000"/>
    <n v="10"/>
    <n v="5285.7142857142853"/>
    <n v="152"/>
    <n v="14"/>
    <n v="9.2105263157894732E-2"/>
    <n v="60"/>
    <n v="0.1891891891891892"/>
    <n v="1.27"/>
    <n v="1"/>
    <n v="80000"/>
    <n v="5304"/>
  </r>
  <r>
    <x v="8"/>
    <x v="1"/>
    <x v="21"/>
    <m/>
    <m/>
    <m/>
    <m/>
    <n v="1"/>
    <m/>
    <n v="2"/>
    <n v="1"/>
    <n v="4"/>
    <n v="42"/>
    <n v="6"/>
    <m/>
    <n v="112"/>
    <n v="76"/>
    <m/>
    <m/>
    <m/>
    <m/>
    <m/>
    <m/>
    <m/>
    <m/>
    <m/>
    <m/>
    <n v="194"/>
    <m/>
    <m/>
    <m/>
    <n v="19"/>
    <n v="24"/>
    <m/>
    <m/>
    <m/>
    <m/>
    <m/>
    <m/>
    <m/>
    <m/>
    <m/>
    <m/>
    <n v="43000"/>
    <n v="2"/>
    <n v="1303.030303030303"/>
    <n v="194"/>
    <n v="33"/>
    <n v="0.17010309278350516"/>
    <n v="263"/>
    <n v="0.11148648648648649"/>
    <n v="1.1000000000000001"/>
    <n v="1"/>
    <n v="43000"/>
    <n v="21235"/>
  </r>
  <r>
    <x v="8"/>
    <x v="1"/>
    <x v="22"/>
    <n v="1"/>
    <n v="1"/>
    <n v="1"/>
    <m/>
    <m/>
    <m/>
    <m/>
    <m/>
    <n v="3"/>
    <n v="4"/>
    <m/>
    <m/>
    <n v="5"/>
    <n v="60"/>
    <m/>
    <n v="2"/>
    <m/>
    <m/>
    <m/>
    <m/>
    <m/>
    <m/>
    <m/>
    <n v="8"/>
    <n v="75"/>
    <m/>
    <m/>
    <m/>
    <m/>
    <n v="24.73"/>
    <m/>
    <m/>
    <n v="0.55000000000000004"/>
    <m/>
    <m/>
    <m/>
    <n v="3"/>
    <m/>
    <m/>
    <m/>
    <n v="24730"/>
    <n v="3"/>
    <n v="3532.8571428571427"/>
    <n v="75"/>
    <n v="7"/>
    <n v="9.3333333333333338E-2"/>
    <n v="82"/>
    <n v="7.8651685393258425E-2"/>
    <n v="0.7"/>
    <n v="0.25"/>
    <n v="47000"/>
    <n v="1193"/>
  </r>
  <r>
    <x v="8"/>
    <x v="0"/>
    <x v="23"/>
    <n v="2"/>
    <n v="1"/>
    <m/>
    <m/>
    <n v="1"/>
    <n v="1"/>
    <m/>
    <m/>
    <n v="5"/>
    <n v="21"/>
    <n v="41"/>
    <m/>
    <n v="66"/>
    <n v="41"/>
    <m/>
    <n v="18"/>
    <m/>
    <m/>
    <m/>
    <m/>
    <m/>
    <m/>
    <m/>
    <m/>
    <n v="166"/>
    <m/>
    <n v="32"/>
    <m/>
    <n v="5"/>
    <n v="6"/>
    <n v="1"/>
    <n v="3"/>
    <n v="2"/>
    <m/>
    <n v="3"/>
    <m/>
    <m/>
    <m/>
    <m/>
    <m/>
    <n v="47000"/>
    <n v="7"/>
    <n v="6714.2857142857147"/>
    <n v="166"/>
    <n v="7"/>
    <n v="4.2168674698795178E-2"/>
    <n v="25"/>
    <n v="0.21875"/>
    <n v="1.04"/>
    <n v="1"/>
    <n v="62000"/>
    <n v="1579"/>
  </r>
  <r>
    <x v="9"/>
    <x v="0"/>
    <x v="0"/>
    <n v="1"/>
    <n v="1"/>
    <n v="1"/>
    <n v="2"/>
    <m/>
    <n v="1"/>
    <m/>
    <m/>
    <n v="6"/>
    <n v="30"/>
    <n v="52"/>
    <m/>
    <n v="11"/>
    <n v="83"/>
    <m/>
    <m/>
    <m/>
    <m/>
    <m/>
    <m/>
    <m/>
    <m/>
    <m/>
    <n v="16"/>
    <n v="162"/>
    <m/>
    <n v="13"/>
    <m/>
    <n v="5"/>
    <n v="9"/>
    <m/>
    <m/>
    <n v="2"/>
    <m/>
    <n v="5"/>
    <m/>
    <m/>
    <m/>
    <m/>
    <m/>
    <n v="27000"/>
    <n v="5"/>
    <n v="2700"/>
    <n v="162"/>
    <n v="10"/>
    <n v="6.1728395061728392E-2"/>
    <n v="38"/>
    <n v="0.20833333333333334"/>
    <n v="1.1000000000000001"/>
    <n v="1"/>
    <n v="33000"/>
    <n v="4812"/>
  </r>
  <r>
    <x v="9"/>
    <x v="1"/>
    <x v="1"/>
    <n v="1"/>
    <m/>
    <n v="1"/>
    <m/>
    <m/>
    <m/>
    <m/>
    <n v="1"/>
    <n v="3"/>
    <n v="64"/>
    <m/>
    <m/>
    <n v="14"/>
    <n v="1"/>
    <m/>
    <m/>
    <m/>
    <m/>
    <m/>
    <m/>
    <m/>
    <m/>
    <m/>
    <m/>
    <n v="15"/>
    <m/>
    <m/>
    <m/>
    <n v="18"/>
    <n v="32"/>
    <m/>
    <m/>
    <m/>
    <m/>
    <m/>
    <m/>
    <m/>
    <m/>
    <m/>
    <m/>
    <n v="50000"/>
    <n v="2"/>
    <n v="0"/>
    <n v="15"/>
    <n v="0"/>
    <n v="0"/>
    <n v="75"/>
    <n v="0"/>
    <n v="0.39"/>
    <n v="0"/>
    <n v="119000"/>
    <n v="0"/>
  </r>
  <r>
    <x v="9"/>
    <x v="2"/>
    <x v="2"/>
    <n v="1"/>
    <m/>
    <m/>
    <n v="1"/>
    <m/>
    <n v="1"/>
    <m/>
    <n v="1"/>
    <n v="4"/>
    <n v="90"/>
    <n v="60"/>
    <n v="0"/>
    <n v="42"/>
    <n v="112"/>
    <n v="0"/>
    <n v="3"/>
    <n v="0"/>
    <m/>
    <n v="0"/>
    <m/>
    <m/>
    <n v="0"/>
    <m/>
    <m/>
    <n v="217"/>
    <n v="50"/>
    <n v="20"/>
    <n v="10"/>
    <n v="40"/>
    <n v="30"/>
    <n v="10"/>
    <n v="0"/>
    <n v="5"/>
    <m/>
    <n v="20"/>
    <m/>
    <m/>
    <n v="20"/>
    <m/>
    <m/>
    <n v="110000"/>
    <n v="8"/>
    <n v="3235.294117647059"/>
    <n v="217"/>
    <n v="34"/>
    <n v="0.15668202764976957"/>
    <n v="71"/>
    <n v="0.32380952380952382"/>
    <n v="1.17"/>
    <n v="1"/>
    <n v="37000"/>
    <n v="21897"/>
  </r>
  <r>
    <x v="9"/>
    <x v="0"/>
    <x v="3"/>
    <n v="1"/>
    <n v="1"/>
    <n v="1"/>
    <n v="1"/>
    <n v="1"/>
    <m/>
    <m/>
    <m/>
    <n v="5"/>
    <n v="40"/>
    <n v="54"/>
    <m/>
    <n v="17"/>
    <n v="94"/>
    <n v="2"/>
    <n v="1"/>
    <n v="1"/>
    <m/>
    <n v="5"/>
    <m/>
    <m/>
    <m/>
    <m/>
    <m/>
    <n v="174"/>
    <m/>
    <n v="42"/>
    <m/>
    <n v="8"/>
    <n v="24"/>
    <m/>
    <m/>
    <n v="3"/>
    <m/>
    <n v="3"/>
    <m/>
    <m/>
    <m/>
    <m/>
    <m/>
    <n v="74000"/>
    <n v="5"/>
    <n v="8222.2222222222226"/>
    <n v="174"/>
    <n v="9"/>
    <n v="5.1724137931034482E-2"/>
    <n v="20"/>
    <n v="0.31034482758620691"/>
    <n v="0.89"/>
    <n v="0.5"/>
    <n v="47000"/>
    <n v="116"/>
  </r>
  <r>
    <x v="9"/>
    <x v="0"/>
    <x v="4"/>
    <n v="1"/>
    <m/>
    <n v="2"/>
    <n v="1"/>
    <n v="1"/>
    <n v="1"/>
    <m/>
    <m/>
    <n v="6"/>
    <n v="72"/>
    <n v="66"/>
    <m/>
    <n v="9"/>
    <n v="23"/>
    <m/>
    <m/>
    <m/>
    <m/>
    <m/>
    <m/>
    <m/>
    <m/>
    <m/>
    <m/>
    <n v="98"/>
    <m/>
    <n v="18"/>
    <m/>
    <n v="6"/>
    <n v="10"/>
    <m/>
    <m/>
    <n v="1"/>
    <n v="12"/>
    <m/>
    <m/>
    <m/>
    <m/>
    <m/>
    <m/>
    <n v="34000"/>
    <n v="5"/>
    <n v="2833.3333333333335"/>
    <n v="98"/>
    <n v="12"/>
    <n v="0.12244897959183673"/>
    <n v="56"/>
    <n v="0.17647058823529413"/>
    <n v="1"/>
    <n v="1"/>
    <n v="109000"/>
    <n v="7277"/>
  </r>
  <r>
    <x v="9"/>
    <x v="2"/>
    <x v="5"/>
    <n v="1"/>
    <n v="1"/>
    <m/>
    <n v="1"/>
    <m/>
    <m/>
    <m/>
    <n v="1"/>
    <n v="4"/>
    <n v="61"/>
    <n v="11"/>
    <n v="8"/>
    <n v="9"/>
    <n v="31"/>
    <m/>
    <m/>
    <n v="0"/>
    <m/>
    <n v="2"/>
    <m/>
    <n v="0"/>
    <m/>
    <m/>
    <n v="75"/>
    <n v="136"/>
    <m/>
    <n v="41"/>
    <n v="4"/>
    <n v="15"/>
    <n v="15"/>
    <m/>
    <m/>
    <n v="1"/>
    <m/>
    <n v="13"/>
    <m/>
    <n v="10"/>
    <m/>
    <m/>
    <m/>
    <n v="75000"/>
    <n v="7"/>
    <n v="9375"/>
    <n v="136"/>
    <n v="8"/>
    <n v="5.8823529411764705E-2"/>
    <n v="146"/>
    <n v="5.1948051948051951E-2"/>
    <n v="0.91"/>
    <n v="0.75"/>
    <n v="62000"/>
    <n v="19765"/>
  </r>
  <r>
    <x v="9"/>
    <x v="2"/>
    <x v="6"/>
    <n v="1"/>
    <m/>
    <n v="1"/>
    <m/>
    <n v="1"/>
    <m/>
    <m/>
    <m/>
    <n v="3"/>
    <n v="36"/>
    <n v="36"/>
    <m/>
    <n v="47"/>
    <n v="5"/>
    <m/>
    <m/>
    <n v="0"/>
    <m/>
    <m/>
    <m/>
    <m/>
    <m/>
    <m/>
    <m/>
    <n v="88"/>
    <m/>
    <n v="65"/>
    <m/>
    <n v="13"/>
    <n v="10"/>
    <m/>
    <m/>
    <n v="0.3"/>
    <m/>
    <m/>
    <m/>
    <m/>
    <m/>
    <m/>
    <m/>
    <n v="88000"/>
    <n v="4"/>
    <n v="17600"/>
    <n v="88"/>
    <n v="5"/>
    <n v="5.6818181818181816E-2"/>
    <n v="104"/>
    <n v="4.5871559633027525E-2"/>
    <n v="0.75"/>
    <n v="0.25"/>
    <n v="55000"/>
    <n v="7054"/>
  </r>
  <r>
    <x v="9"/>
    <x v="2"/>
    <x v="7"/>
    <m/>
    <m/>
    <n v="1"/>
    <m/>
    <n v="1"/>
    <n v="2"/>
    <m/>
    <n v="1"/>
    <n v="5"/>
    <m/>
    <m/>
    <n v="0"/>
    <n v="86"/>
    <n v="40"/>
    <m/>
    <m/>
    <n v="0"/>
    <m/>
    <n v="0"/>
    <m/>
    <m/>
    <m/>
    <m/>
    <m/>
    <n v="126"/>
    <m/>
    <m/>
    <n v="17"/>
    <n v="15"/>
    <n v="13"/>
    <m/>
    <m/>
    <n v="1"/>
    <m/>
    <n v="3.6"/>
    <m/>
    <m/>
    <m/>
    <m/>
    <m/>
    <n v="45000"/>
    <n v="5"/>
    <n v="4500"/>
    <n v="126"/>
    <n v="10"/>
    <n v="7.9365079365079361E-2"/>
    <n v="30"/>
    <n v="0.25"/>
    <n v="1.58"/>
    <n v="1"/>
    <n v="67000"/>
    <n v="15659"/>
  </r>
  <r>
    <x v="9"/>
    <x v="0"/>
    <x v="8"/>
    <n v="1"/>
    <m/>
    <n v="1"/>
    <n v="1"/>
    <n v="1"/>
    <n v="1"/>
    <m/>
    <m/>
    <n v="5"/>
    <n v="29"/>
    <n v="101"/>
    <n v="2"/>
    <n v="5"/>
    <n v="30"/>
    <m/>
    <m/>
    <m/>
    <m/>
    <m/>
    <m/>
    <m/>
    <m/>
    <m/>
    <n v="10"/>
    <n v="148"/>
    <m/>
    <n v="46"/>
    <n v="3"/>
    <n v="4"/>
    <n v="6"/>
    <m/>
    <m/>
    <n v="2"/>
    <n v="6"/>
    <m/>
    <m/>
    <m/>
    <m/>
    <m/>
    <m/>
    <n v="59000"/>
    <n v="6"/>
    <n v="7375"/>
    <n v="148"/>
    <n v="8"/>
    <n v="5.4054054054054057E-2"/>
    <n v="29"/>
    <n v="0.21621621621621623"/>
    <n v="1.21"/>
    <n v="1"/>
    <n v="42000"/>
    <n v="3567"/>
  </r>
  <r>
    <x v="9"/>
    <x v="1"/>
    <x v="9"/>
    <n v="1"/>
    <n v="1"/>
    <m/>
    <n v="1"/>
    <m/>
    <m/>
    <m/>
    <n v="1"/>
    <n v="4"/>
    <n v="70"/>
    <n v="24"/>
    <m/>
    <n v="53"/>
    <n v="46"/>
    <m/>
    <n v="15"/>
    <m/>
    <m/>
    <m/>
    <m/>
    <m/>
    <m/>
    <m/>
    <n v="3"/>
    <n v="141"/>
    <m/>
    <m/>
    <n v="10"/>
    <n v="12"/>
    <n v="25"/>
    <m/>
    <m/>
    <m/>
    <m/>
    <m/>
    <m/>
    <m/>
    <m/>
    <m/>
    <m/>
    <n v="47000"/>
    <n v="3"/>
    <n v="3357.1428571428573"/>
    <n v="141"/>
    <n v="14"/>
    <n v="9.9290780141843976E-2"/>
    <n v="59"/>
    <n v="0.19178082191780821"/>
    <n v="0.91"/>
    <n v="0.75"/>
    <n v="50000"/>
    <n v="6928"/>
  </r>
  <r>
    <x v="9"/>
    <x v="0"/>
    <x v="10"/>
    <n v="1"/>
    <n v="1"/>
    <n v="1"/>
    <n v="1"/>
    <n v="1"/>
    <m/>
    <m/>
    <m/>
    <n v="5"/>
    <n v="19"/>
    <n v="50"/>
    <m/>
    <n v="64"/>
    <n v="60"/>
    <n v="4"/>
    <m/>
    <m/>
    <m/>
    <m/>
    <m/>
    <m/>
    <m/>
    <m/>
    <m/>
    <n v="178"/>
    <m/>
    <n v="29"/>
    <m/>
    <n v="21"/>
    <n v="12"/>
    <m/>
    <m/>
    <m/>
    <m/>
    <n v="3"/>
    <m/>
    <m/>
    <m/>
    <m/>
    <m/>
    <n v="62000"/>
    <n v="4"/>
    <n v="6200"/>
    <n v="178"/>
    <n v="10"/>
    <n v="5.6179775280898875E-2"/>
    <n v="36"/>
    <n v="0.21739130434782608"/>
    <n v="1.1599999999999999"/>
    <n v="1"/>
    <n v="277000"/>
    <n v="7677"/>
  </r>
  <r>
    <x v="9"/>
    <x v="1"/>
    <x v="11"/>
    <m/>
    <n v="1"/>
    <n v="1"/>
    <n v="1"/>
    <m/>
    <n v="1"/>
    <m/>
    <m/>
    <n v="4"/>
    <n v="121"/>
    <n v="5"/>
    <m/>
    <n v="89"/>
    <n v="52"/>
    <m/>
    <m/>
    <n v="1"/>
    <m/>
    <n v="1"/>
    <m/>
    <m/>
    <m/>
    <m/>
    <n v="1"/>
    <n v="149"/>
    <m/>
    <n v="20"/>
    <m/>
    <n v="25"/>
    <n v="12"/>
    <m/>
    <m/>
    <n v="1"/>
    <m/>
    <n v="5"/>
    <m/>
    <m/>
    <m/>
    <m/>
    <m/>
    <n v="57000"/>
    <n v="5"/>
    <n v="4750"/>
    <n v="149"/>
    <n v="12"/>
    <n v="8.0536912751677847E-2"/>
    <n v="142"/>
    <n v="7.792207792207792E-2"/>
    <n v="0.76"/>
    <n v="0.25"/>
    <n v="104000"/>
    <n v="2227"/>
  </r>
  <r>
    <x v="9"/>
    <x v="0"/>
    <x v="12"/>
    <n v="2"/>
    <n v="1"/>
    <n v="2"/>
    <n v="1"/>
    <m/>
    <n v="1"/>
    <m/>
    <m/>
    <n v="7"/>
    <n v="18"/>
    <n v="42"/>
    <n v="6"/>
    <n v="7"/>
    <n v="80"/>
    <m/>
    <n v="6"/>
    <m/>
    <m/>
    <m/>
    <m/>
    <m/>
    <m/>
    <m/>
    <m/>
    <n v="141"/>
    <m/>
    <n v="23"/>
    <n v="5"/>
    <n v="11"/>
    <n v="21"/>
    <m/>
    <n v="9"/>
    <n v="1"/>
    <m/>
    <n v="1"/>
    <m/>
    <m/>
    <m/>
    <m/>
    <m/>
    <n v="69000"/>
    <n v="7"/>
    <n v="6272.727272727273"/>
    <n v="141"/>
    <n v="11"/>
    <n v="7.8014184397163122E-2"/>
    <n v="21"/>
    <n v="0.34375"/>
    <n v="1"/>
    <n v="1"/>
    <n v="85000"/>
    <n v="3962"/>
  </r>
  <r>
    <x v="9"/>
    <x v="1"/>
    <x v="13"/>
    <n v="1"/>
    <m/>
    <n v="1"/>
    <n v="1"/>
    <m/>
    <m/>
    <m/>
    <n v="1"/>
    <n v="4"/>
    <n v="116"/>
    <n v="49"/>
    <n v="21"/>
    <n v="14"/>
    <n v="60"/>
    <m/>
    <m/>
    <m/>
    <m/>
    <m/>
    <m/>
    <m/>
    <m/>
    <m/>
    <n v="28"/>
    <n v="172"/>
    <m/>
    <n v="53.45"/>
    <n v="15"/>
    <n v="10"/>
    <n v="23"/>
    <m/>
    <m/>
    <n v="0.6"/>
    <m/>
    <m/>
    <m/>
    <m/>
    <m/>
    <m/>
    <m/>
    <n v="101450"/>
    <n v="5"/>
    <n v="9222.7272727272721"/>
    <n v="172"/>
    <n v="11"/>
    <n v="6.3953488372093026E-2"/>
    <n v="86"/>
    <n v="0.1134020618556701"/>
    <n v="0.96"/>
    <n v="0.75"/>
    <n v="73000"/>
    <n v="5178"/>
  </r>
  <r>
    <x v="9"/>
    <x v="0"/>
    <x v="14"/>
    <n v="2"/>
    <m/>
    <n v="1"/>
    <n v="1"/>
    <n v="1"/>
    <m/>
    <m/>
    <n v="1"/>
    <n v="6"/>
    <n v="15"/>
    <n v="30"/>
    <m/>
    <n v="21"/>
    <n v="82"/>
    <m/>
    <m/>
    <n v="0"/>
    <m/>
    <m/>
    <m/>
    <m/>
    <m/>
    <m/>
    <m/>
    <n v="133"/>
    <m/>
    <n v="9"/>
    <m/>
    <n v="6.3"/>
    <n v="24.6"/>
    <m/>
    <m/>
    <n v="0"/>
    <m/>
    <m/>
    <m/>
    <m/>
    <m/>
    <m/>
    <m/>
    <n v="39900.000000000007"/>
    <n v="3"/>
    <n v="3069.23076923077"/>
    <n v="133"/>
    <n v="13"/>
    <n v="9.7744360902255634E-2"/>
    <n v="67"/>
    <n v="0.16250000000000001"/>
    <n v="2.0499999999999998"/>
    <n v="1"/>
    <n v="84000"/>
    <n v="5570"/>
  </r>
  <r>
    <x v="9"/>
    <x v="1"/>
    <x v="15"/>
    <m/>
    <m/>
    <m/>
    <m/>
    <m/>
    <m/>
    <m/>
    <m/>
    <m/>
    <n v="54"/>
    <n v="0"/>
    <n v="0"/>
    <n v="18"/>
    <n v="89"/>
    <m/>
    <m/>
    <n v="0"/>
    <m/>
    <m/>
    <m/>
    <m/>
    <m/>
    <m/>
    <m/>
    <n v="107"/>
    <m/>
    <n v="40"/>
    <m/>
    <n v="25"/>
    <n v="54"/>
    <m/>
    <m/>
    <n v="2"/>
    <m/>
    <m/>
    <m/>
    <m/>
    <m/>
    <m/>
    <m/>
    <n v="119000"/>
    <n v="4"/>
    <n v="29750"/>
    <n v="107"/>
    <n v="4"/>
    <n v="3.7383177570093455E-2"/>
    <n v="237"/>
    <n v="1.6597510373443983E-2"/>
    <n v="1.1299999999999999"/>
    <n v="1"/>
    <n v="58000"/>
    <n v="2893"/>
  </r>
  <r>
    <x v="9"/>
    <x v="1"/>
    <x v="16"/>
    <n v="1"/>
    <n v="1"/>
    <n v="1"/>
    <n v="1"/>
    <m/>
    <n v="2"/>
    <m/>
    <m/>
    <n v="6"/>
    <n v="112"/>
    <n v="1"/>
    <n v="1"/>
    <n v="76"/>
    <n v="26"/>
    <n v="0"/>
    <n v="15"/>
    <n v="3"/>
    <m/>
    <m/>
    <m/>
    <n v="0"/>
    <n v="0"/>
    <m/>
    <n v="76"/>
    <n v="198"/>
    <m/>
    <n v="77"/>
    <n v="15"/>
    <n v="35"/>
    <n v="18"/>
    <n v="8"/>
    <n v="0"/>
    <n v="1.365"/>
    <m/>
    <m/>
    <m/>
    <n v="5"/>
    <n v="52.8"/>
    <m/>
    <m/>
    <n v="153000"/>
    <n v="8"/>
    <n v="7650"/>
    <n v="198"/>
    <n v="20"/>
    <n v="0.10101010101010101"/>
    <n v="193"/>
    <n v="9.3896713615023469E-2"/>
    <n v="1.52"/>
    <n v="1"/>
    <n v="26000"/>
    <n v="11766"/>
  </r>
  <r>
    <x v="9"/>
    <x v="2"/>
    <x v="17"/>
    <n v="1"/>
    <m/>
    <n v="1"/>
    <m/>
    <n v="2"/>
    <n v="1"/>
    <m/>
    <m/>
    <n v="5"/>
    <n v="100"/>
    <n v="102"/>
    <n v="8"/>
    <n v="20"/>
    <n v="60"/>
    <m/>
    <n v="21"/>
    <n v="0"/>
    <m/>
    <n v="0"/>
    <m/>
    <n v="0"/>
    <m/>
    <m/>
    <n v="10"/>
    <n v="221"/>
    <n v="35"/>
    <n v="53"/>
    <n v="4"/>
    <n v="13"/>
    <n v="30"/>
    <m/>
    <n v="3"/>
    <n v="1"/>
    <m/>
    <n v="8"/>
    <m/>
    <n v="4"/>
    <m/>
    <m/>
    <n v="20"/>
    <n v="123000"/>
    <n v="9"/>
    <n v="3416.6666666666665"/>
    <n v="221"/>
    <n v="36"/>
    <n v="0.16289592760180996"/>
    <n v="223"/>
    <n v="0.138996138996139"/>
    <n v="1.19"/>
    <n v="1"/>
    <n v="60000"/>
    <n v="31131"/>
  </r>
  <r>
    <x v="9"/>
    <x v="0"/>
    <x v="18"/>
    <n v="1"/>
    <m/>
    <n v="1"/>
    <n v="2"/>
    <n v="2"/>
    <n v="2"/>
    <m/>
    <n v="1"/>
    <n v="9"/>
    <n v="13"/>
    <n v="45"/>
    <m/>
    <n v="44"/>
    <n v="78"/>
    <m/>
    <n v="11"/>
    <m/>
    <m/>
    <m/>
    <m/>
    <m/>
    <m/>
    <m/>
    <n v="14"/>
    <n v="192"/>
    <m/>
    <n v="58"/>
    <n v="2"/>
    <n v="15"/>
    <n v="20"/>
    <m/>
    <m/>
    <n v="2"/>
    <m/>
    <m/>
    <m/>
    <m/>
    <n v="6"/>
    <m/>
    <m/>
    <n v="95000"/>
    <n v="6"/>
    <n v="11875"/>
    <n v="192"/>
    <n v="8"/>
    <n v="4.1666666666666664E-2"/>
    <n v="86"/>
    <n v="8.5106382978723402E-2"/>
    <n v="1.1499999999999999"/>
    <n v="1"/>
    <n v="80000"/>
    <n v="5874"/>
  </r>
  <r>
    <x v="9"/>
    <x v="2"/>
    <x v="19"/>
    <n v="1"/>
    <n v="1"/>
    <m/>
    <n v="1"/>
    <m/>
    <n v="1"/>
    <m/>
    <n v="1"/>
    <n v="5"/>
    <n v="61"/>
    <n v="0"/>
    <m/>
    <n v="20"/>
    <n v="23"/>
    <m/>
    <m/>
    <n v="0"/>
    <m/>
    <n v="0"/>
    <m/>
    <m/>
    <m/>
    <m/>
    <n v="0"/>
    <n v="43"/>
    <m/>
    <n v="83.2"/>
    <m/>
    <n v="12"/>
    <n v="9.6"/>
    <m/>
    <m/>
    <n v="3.3"/>
    <m/>
    <n v="5"/>
    <m/>
    <m/>
    <m/>
    <m/>
    <n v="25"/>
    <n v="129800.00000000001"/>
    <n v="6"/>
    <n v="25960.000000000004"/>
    <n v="43"/>
    <n v="5"/>
    <n v="0.11627906976744186"/>
    <n v="68"/>
    <n v="6.8493150684931503E-2"/>
    <n v="0.83"/>
    <n v="0.5"/>
    <n v="38000"/>
    <n v="6570"/>
  </r>
  <r>
    <x v="9"/>
    <x v="0"/>
    <x v="20"/>
    <m/>
    <m/>
    <n v="2"/>
    <m/>
    <m/>
    <n v="1"/>
    <m/>
    <m/>
    <n v="3"/>
    <n v="34"/>
    <n v="59"/>
    <n v="0"/>
    <n v="90"/>
    <n v="47"/>
    <n v="0"/>
    <n v="0"/>
    <n v="0"/>
    <m/>
    <n v="0"/>
    <m/>
    <n v="0"/>
    <m/>
    <m/>
    <m/>
    <n v="196"/>
    <m/>
    <n v="40"/>
    <n v="6"/>
    <n v="20"/>
    <n v="30"/>
    <n v="5"/>
    <n v="3"/>
    <n v="1"/>
    <m/>
    <n v="25"/>
    <m/>
    <n v="8"/>
    <m/>
    <m/>
    <m/>
    <n v="104000"/>
    <n v="9"/>
    <n v="9454.545454545454"/>
    <n v="196"/>
    <n v="11"/>
    <n v="5.6122448979591837E-2"/>
    <n v="51"/>
    <n v="0.17741935483870969"/>
    <n v="1.74"/>
    <n v="1"/>
    <n v="43000"/>
    <n v="5711"/>
  </r>
  <r>
    <x v="9"/>
    <x v="1"/>
    <x v="21"/>
    <n v="1"/>
    <m/>
    <n v="1"/>
    <m/>
    <n v="1"/>
    <m/>
    <m/>
    <m/>
    <n v="3"/>
    <n v="22"/>
    <n v="23"/>
    <n v="0"/>
    <n v="101"/>
    <n v="122"/>
    <n v="6"/>
    <n v="0"/>
    <n v="5"/>
    <n v="0"/>
    <n v="0"/>
    <n v="0"/>
    <n v="0"/>
    <n v="0"/>
    <n v="0"/>
    <n v="0"/>
    <n v="257"/>
    <m/>
    <n v="10"/>
    <n v="6"/>
    <n v="20"/>
    <n v="30"/>
    <n v="5"/>
    <n v="3"/>
    <n v="1"/>
    <m/>
    <n v="25"/>
    <n v="8"/>
    <n v="10"/>
    <m/>
    <m/>
    <m/>
    <n v="74000"/>
    <n v="10"/>
    <n v="6727.272727272727"/>
    <n v="257"/>
    <n v="11"/>
    <n v="4.2801556420233464E-2"/>
    <n v="51"/>
    <n v="0.17741935483870969"/>
    <n v="1.1100000000000001"/>
    <n v="1"/>
    <n v="74000"/>
    <n v="13544"/>
  </r>
  <r>
    <x v="9"/>
    <x v="1"/>
    <x v="22"/>
    <n v="2"/>
    <m/>
    <n v="1"/>
    <n v="1"/>
    <m/>
    <m/>
    <m/>
    <m/>
    <n v="4"/>
    <n v="8"/>
    <n v="8"/>
    <m/>
    <n v="5"/>
    <n v="36"/>
    <m/>
    <n v="2"/>
    <m/>
    <m/>
    <m/>
    <m/>
    <m/>
    <m/>
    <m/>
    <m/>
    <n v="51"/>
    <m/>
    <n v="16.8"/>
    <m/>
    <m/>
    <n v="26.2"/>
    <m/>
    <n v="0.35399999999999998"/>
    <n v="0.20300000000000001"/>
    <m/>
    <m/>
    <m/>
    <n v="1.9"/>
    <n v="22.6"/>
    <m/>
    <n v="35.299999999999997"/>
    <n v="78654"/>
    <n v="7"/>
    <n v="11236.285714285714"/>
    <n v="51"/>
    <n v="7"/>
    <n v="0.13725490196078433"/>
    <n v="112"/>
    <n v="5.8823529411764705E-2"/>
    <n v="1.04"/>
    <n v="1"/>
    <n v="66000"/>
    <n v="7031"/>
  </r>
  <r>
    <x v="9"/>
    <x v="0"/>
    <x v="23"/>
    <m/>
    <n v="1"/>
    <n v="2"/>
    <n v="2"/>
    <n v="1"/>
    <m/>
    <m/>
    <m/>
    <n v="6"/>
    <n v="30"/>
    <n v="62"/>
    <m/>
    <n v="35"/>
    <n v="60"/>
    <m/>
    <m/>
    <m/>
    <m/>
    <m/>
    <m/>
    <m/>
    <m/>
    <m/>
    <m/>
    <n v="157"/>
    <m/>
    <n v="36"/>
    <m/>
    <n v="5"/>
    <n v="11"/>
    <m/>
    <n v="1"/>
    <m/>
    <m/>
    <n v="2"/>
    <m/>
    <m/>
    <m/>
    <m/>
    <m/>
    <n v="53000"/>
    <n v="5"/>
    <n v="6625"/>
    <n v="157"/>
    <n v="8"/>
    <n v="5.0955414012738856E-2"/>
    <n v="24"/>
    <n v="0.25"/>
    <n v="1.06"/>
    <n v="1"/>
    <n v="62000"/>
    <n v="1299"/>
  </r>
  <r>
    <x v="10"/>
    <x v="0"/>
    <x v="0"/>
    <n v="2"/>
    <m/>
    <n v="1"/>
    <n v="2"/>
    <n v="3"/>
    <n v="1"/>
    <m/>
    <m/>
    <n v="9"/>
    <n v="30"/>
    <n v="51"/>
    <m/>
    <n v="15"/>
    <n v="63"/>
    <m/>
    <m/>
    <m/>
    <m/>
    <m/>
    <m/>
    <m/>
    <m/>
    <m/>
    <n v="36"/>
    <n v="165"/>
    <m/>
    <n v="20"/>
    <m/>
    <n v="4"/>
    <n v="5"/>
    <m/>
    <m/>
    <n v="1"/>
    <n v="1.5"/>
    <m/>
    <m/>
    <m/>
    <m/>
    <m/>
    <n v="0.5"/>
    <n v="29500"/>
    <n v="6"/>
    <n v="5900"/>
    <n v="165"/>
    <n v="5"/>
    <n v="3.0303030303030304E-2"/>
    <n v="28"/>
    <n v="0.15151515151515152"/>
    <n v="1"/>
    <n v="1"/>
    <n v="32000"/>
    <m/>
  </r>
  <r>
    <x v="10"/>
    <x v="1"/>
    <x v="1"/>
    <m/>
    <m/>
    <n v="2"/>
    <m/>
    <m/>
    <m/>
    <m/>
    <m/>
    <n v="2"/>
    <n v="26"/>
    <n v="50"/>
    <m/>
    <n v="38"/>
    <n v="39"/>
    <m/>
    <m/>
    <m/>
    <m/>
    <m/>
    <m/>
    <m/>
    <m/>
    <m/>
    <m/>
    <n v="127"/>
    <m/>
    <n v="8"/>
    <m/>
    <n v="18"/>
    <n v="32"/>
    <m/>
    <m/>
    <m/>
    <m/>
    <m/>
    <m/>
    <m/>
    <m/>
    <m/>
    <m/>
    <n v="58000"/>
    <n v="3"/>
    <n v="29000"/>
    <n v="127"/>
    <n v="2"/>
    <n v="1.5748031496062992E-2"/>
    <n v="53"/>
    <n v="3.6363636363636362E-2"/>
    <n v="0.32"/>
    <n v="0"/>
    <n v="58000"/>
    <m/>
  </r>
  <r>
    <x v="10"/>
    <x v="2"/>
    <x v="2"/>
    <m/>
    <m/>
    <n v="1"/>
    <n v="1"/>
    <n v="1"/>
    <n v="1"/>
    <n v="1"/>
    <m/>
    <n v="5"/>
    <n v="87"/>
    <n v="130"/>
    <n v="0"/>
    <n v="31"/>
    <n v="85"/>
    <n v="0"/>
    <n v="1"/>
    <m/>
    <m/>
    <n v="0"/>
    <m/>
    <m/>
    <n v="0"/>
    <m/>
    <m/>
    <n v="247"/>
    <m/>
    <n v="80"/>
    <n v="10"/>
    <n v="30"/>
    <n v="30"/>
    <n v="5"/>
    <n v="0"/>
    <n v="6"/>
    <m/>
    <n v="20"/>
    <m/>
    <m/>
    <n v="20"/>
    <m/>
    <m/>
    <n v="155000"/>
    <n v="8"/>
    <n v="8157.894736842105"/>
    <n v="247"/>
    <n v="19"/>
    <n v="7.6923076923076927E-2"/>
    <n v="62"/>
    <n v="0.23456790123456789"/>
    <n v="1.24"/>
    <n v="1"/>
    <n v="201000"/>
    <m/>
  </r>
  <r>
    <x v="10"/>
    <x v="0"/>
    <x v="3"/>
    <n v="2"/>
    <n v="1"/>
    <m/>
    <n v="1"/>
    <n v="1"/>
    <n v="1"/>
    <n v="1"/>
    <n v="1"/>
    <n v="8"/>
    <n v="20"/>
    <n v="32"/>
    <n v="8"/>
    <n v="1"/>
    <n v="35"/>
    <n v="1"/>
    <n v="2"/>
    <m/>
    <m/>
    <m/>
    <m/>
    <m/>
    <m/>
    <m/>
    <m/>
    <n v="79"/>
    <m/>
    <n v="24.7"/>
    <m/>
    <n v="8.3000000000000007"/>
    <n v="38.4"/>
    <m/>
    <m/>
    <n v="3.3"/>
    <m/>
    <n v="2.5"/>
    <m/>
    <m/>
    <m/>
    <m/>
    <m/>
    <n v="71400"/>
    <n v="5"/>
    <n v="11900"/>
    <n v="79"/>
    <n v="6"/>
    <n v="7.5949367088607597E-2"/>
    <n v="8"/>
    <n v="0.42857142857142855"/>
    <n v="1"/>
    <n v="1"/>
    <n v="77000"/>
    <m/>
  </r>
  <r>
    <x v="10"/>
    <x v="0"/>
    <x v="4"/>
    <n v="1"/>
    <m/>
    <m/>
    <m/>
    <n v="2"/>
    <n v="1"/>
    <m/>
    <n v="1"/>
    <n v="5"/>
    <n v="54"/>
    <n v="77"/>
    <m/>
    <n v="9"/>
    <n v="27"/>
    <m/>
    <m/>
    <m/>
    <m/>
    <m/>
    <m/>
    <m/>
    <m/>
    <m/>
    <m/>
    <n v="113"/>
    <m/>
    <n v="12"/>
    <m/>
    <n v="6"/>
    <n v="10"/>
    <m/>
    <m/>
    <m/>
    <m/>
    <n v="20"/>
    <m/>
    <m/>
    <m/>
    <m/>
    <m/>
    <n v="28000"/>
    <n v="4"/>
    <n v="1555.5555555555557"/>
    <n v="113"/>
    <n v="18"/>
    <n v="0.15929203539823009"/>
    <n v="24"/>
    <n v="0.42857142857142855"/>
    <n v="0.95"/>
    <n v="0.75"/>
    <n v="48000"/>
    <m/>
  </r>
  <r>
    <x v="10"/>
    <x v="2"/>
    <x v="5"/>
    <n v="1"/>
    <m/>
    <n v="2"/>
    <m/>
    <n v="1"/>
    <m/>
    <n v="1"/>
    <m/>
    <n v="5"/>
    <n v="37"/>
    <n v="105"/>
    <n v="16"/>
    <n v="13"/>
    <n v="40"/>
    <m/>
    <n v="7"/>
    <m/>
    <m/>
    <n v="4"/>
    <m/>
    <n v="3"/>
    <m/>
    <m/>
    <n v="17"/>
    <n v="205"/>
    <m/>
    <n v="39"/>
    <n v="4"/>
    <n v="15"/>
    <n v="15"/>
    <m/>
    <n v="0"/>
    <n v="1"/>
    <m/>
    <n v="13"/>
    <m/>
    <n v="10"/>
    <m/>
    <m/>
    <n v="0"/>
    <n v="73000"/>
    <n v="7"/>
    <n v="9125"/>
    <n v="205"/>
    <n v="8"/>
    <n v="3.9024390243902439E-2"/>
    <n v="111"/>
    <n v="6.7226890756302518E-2"/>
    <n v="1.29"/>
    <n v="1"/>
    <n v="97000"/>
    <m/>
  </r>
  <r>
    <x v="10"/>
    <x v="2"/>
    <x v="6"/>
    <m/>
    <n v="1"/>
    <m/>
    <n v="2"/>
    <n v="2"/>
    <m/>
    <m/>
    <n v="1"/>
    <n v="6"/>
    <n v="36"/>
    <n v="158"/>
    <n v="0"/>
    <n v="19"/>
    <n v="15"/>
    <m/>
    <n v="8"/>
    <n v="0"/>
    <n v="0"/>
    <n v="0"/>
    <m/>
    <n v="0"/>
    <m/>
    <m/>
    <m/>
    <n v="200"/>
    <m/>
    <n v="90"/>
    <m/>
    <n v="13"/>
    <n v="15"/>
    <m/>
    <n v="8"/>
    <n v="0.5"/>
    <m/>
    <m/>
    <m/>
    <n v="10"/>
    <m/>
    <m/>
    <m/>
    <n v="126000"/>
    <n v="6"/>
    <n v="14000"/>
    <n v="200"/>
    <n v="9"/>
    <n v="4.4999999999999998E-2"/>
    <n v="70"/>
    <n v="0.11392405063291139"/>
    <n v="1.03"/>
    <n v="1"/>
    <n v="137000"/>
    <m/>
  </r>
  <r>
    <x v="10"/>
    <x v="2"/>
    <x v="7"/>
    <n v="1"/>
    <m/>
    <n v="2"/>
    <n v="1"/>
    <m/>
    <n v="2"/>
    <n v="1"/>
    <m/>
    <n v="7"/>
    <n v="12"/>
    <n v="20"/>
    <n v="0"/>
    <n v="27"/>
    <n v="21"/>
    <m/>
    <m/>
    <n v="0"/>
    <m/>
    <n v="0"/>
    <m/>
    <m/>
    <m/>
    <m/>
    <m/>
    <n v="68"/>
    <m/>
    <n v="15"/>
    <n v="17"/>
    <n v="15"/>
    <n v="13"/>
    <m/>
    <m/>
    <n v="1"/>
    <m/>
    <n v="3.6"/>
    <m/>
    <m/>
    <m/>
    <m/>
    <m/>
    <n v="60000"/>
    <n v="6"/>
    <n v="10000"/>
    <n v="68"/>
    <n v="6"/>
    <n v="8.8235294117647065E-2"/>
    <n v="35"/>
    <n v="0.14634146341463414"/>
    <n v="1.17"/>
    <n v="1"/>
    <n v="65000"/>
    <m/>
  </r>
  <r>
    <x v="10"/>
    <x v="0"/>
    <x v="8"/>
    <m/>
    <m/>
    <m/>
    <n v="1"/>
    <m/>
    <n v="1"/>
    <m/>
    <n v="2"/>
    <n v="4"/>
    <n v="40"/>
    <n v="32"/>
    <m/>
    <n v="6"/>
    <n v="17"/>
    <m/>
    <m/>
    <m/>
    <m/>
    <m/>
    <m/>
    <m/>
    <m/>
    <m/>
    <n v="6"/>
    <n v="61"/>
    <m/>
    <n v="32"/>
    <m/>
    <n v="4"/>
    <n v="16"/>
    <m/>
    <m/>
    <n v="2"/>
    <m/>
    <n v="8"/>
    <m/>
    <m/>
    <m/>
    <m/>
    <m/>
    <n v="52000"/>
    <n v="5"/>
    <n v="6500"/>
    <n v="61"/>
    <n v="8"/>
    <n v="0.13114754098360656"/>
    <n v="44"/>
    <n v="0.15384615384615385"/>
    <n v="1"/>
    <n v="1"/>
    <n v="62000"/>
    <m/>
  </r>
  <r>
    <x v="10"/>
    <x v="1"/>
    <x v="9"/>
    <n v="1"/>
    <n v="1"/>
    <n v="1"/>
    <m/>
    <n v="2"/>
    <m/>
    <m/>
    <m/>
    <n v="5"/>
    <n v="31"/>
    <n v="33"/>
    <n v="14"/>
    <n v="16"/>
    <n v="32"/>
    <m/>
    <n v="12"/>
    <m/>
    <m/>
    <m/>
    <m/>
    <m/>
    <m/>
    <m/>
    <m/>
    <n v="107"/>
    <m/>
    <n v="24"/>
    <n v="10"/>
    <n v="12"/>
    <n v="25"/>
    <m/>
    <m/>
    <m/>
    <m/>
    <m/>
    <m/>
    <m/>
    <m/>
    <m/>
    <m/>
    <n v="71000"/>
    <n v="4"/>
    <n v="6454.545454545455"/>
    <n v="107"/>
    <n v="11"/>
    <n v="0.10280373831775701"/>
    <n v="66"/>
    <n v="0.14285714285714285"/>
    <n v="0.86"/>
    <n v="0.5"/>
    <n v="71000"/>
    <m/>
  </r>
  <r>
    <x v="10"/>
    <x v="0"/>
    <x v="10"/>
    <n v="1"/>
    <m/>
    <n v="1"/>
    <n v="2"/>
    <m/>
    <n v="1"/>
    <m/>
    <n v="1"/>
    <n v="6"/>
    <n v="19"/>
    <n v="6"/>
    <m/>
    <n v="52"/>
    <n v="62"/>
    <m/>
    <m/>
    <m/>
    <m/>
    <m/>
    <m/>
    <m/>
    <m/>
    <m/>
    <m/>
    <n v="120"/>
    <m/>
    <n v="12"/>
    <m/>
    <n v="24"/>
    <n v="18"/>
    <n v="3"/>
    <m/>
    <m/>
    <m/>
    <n v="3"/>
    <m/>
    <m/>
    <m/>
    <m/>
    <m/>
    <n v="57000"/>
    <n v="5"/>
    <n v="7125"/>
    <n v="120"/>
    <n v="8"/>
    <n v="6.6666666666666666E-2"/>
    <n v="39"/>
    <n v="0.1702127659574468"/>
    <n v="1.1399999999999999"/>
    <n v="1"/>
    <n v="60000"/>
    <m/>
  </r>
  <r>
    <x v="10"/>
    <x v="1"/>
    <x v="11"/>
    <m/>
    <n v="1"/>
    <n v="2"/>
    <m/>
    <m/>
    <m/>
    <m/>
    <m/>
    <n v="3"/>
    <n v="79"/>
    <n v="18"/>
    <m/>
    <n v="41"/>
    <n v="47"/>
    <n v="2"/>
    <m/>
    <m/>
    <m/>
    <m/>
    <m/>
    <m/>
    <m/>
    <m/>
    <n v="3"/>
    <n v="111"/>
    <m/>
    <n v="40"/>
    <m/>
    <n v="35"/>
    <n v="19"/>
    <m/>
    <m/>
    <n v="1"/>
    <m/>
    <n v="5"/>
    <m/>
    <m/>
    <m/>
    <m/>
    <m/>
    <n v="94000"/>
    <n v="5"/>
    <n v="10444.444444444445"/>
    <n v="111"/>
    <n v="9"/>
    <n v="8.1081081081081086E-2"/>
    <n v="118"/>
    <n v="7.0866141732283464E-2"/>
    <n v="0.77"/>
    <n v="0.25"/>
    <n v="0"/>
    <m/>
  </r>
  <r>
    <x v="10"/>
    <x v="0"/>
    <x v="12"/>
    <n v="2"/>
    <n v="1"/>
    <m/>
    <n v="1"/>
    <n v="1"/>
    <n v="2"/>
    <m/>
    <n v="1"/>
    <n v="8"/>
    <n v="17"/>
    <n v="66"/>
    <n v="8"/>
    <n v="10"/>
    <n v="41"/>
    <m/>
    <m/>
    <m/>
    <m/>
    <m/>
    <m/>
    <m/>
    <m/>
    <m/>
    <m/>
    <n v="107"/>
    <m/>
    <n v="14"/>
    <n v="3.8"/>
    <n v="13"/>
    <n v="15"/>
    <m/>
    <n v="3"/>
    <n v="1"/>
    <m/>
    <n v="1"/>
    <m/>
    <m/>
    <n v="7.5"/>
    <m/>
    <m/>
    <n v="48800"/>
    <n v="8"/>
    <n v="6971.4285714285716"/>
    <n v="107"/>
    <n v="7"/>
    <n v="6.5420560747663545E-2"/>
    <n v="37"/>
    <n v="0.15909090909090909"/>
    <n v="1.28"/>
    <n v="1"/>
    <n v="58000"/>
    <m/>
  </r>
  <r>
    <x v="10"/>
    <x v="1"/>
    <x v="13"/>
    <n v="2"/>
    <n v="1"/>
    <n v="1"/>
    <m/>
    <n v="1"/>
    <m/>
    <m/>
    <m/>
    <n v="5"/>
    <n v="89"/>
    <n v="11"/>
    <n v="12"/>
    <n v="12"/>
    <n v="34"/>
    <m/>
    <m/>
    <n v="8"/>
    <m/>
    <m/>
    <m/>
    <m/>
    <m/>
    <m/>
    <m/>
    <n v="77"/>
    <m/>
    <n v="20"/>
    <n v="15"/>
    <n v="19"/>
    <n v="31"/>
    <m/>
    <m/>
    <n v="1"/>
    <m/>
    <m/>
    <m/>
    <m/>
    <m/>
    <m/>
    <m/>
    <n v="85000"/>
    <n v="5"/>
    <n v="14166.666666666666"/>
    <n v="77"/>
    <n v="6"/>
    <n v="7.792207792207792E-2"/>
    <n v="73"/>
    <n v="7.5949367088607597E-2"/>
    <n v="1"/>
    <n v="1"/>
    <n v="85000"/>
    <m/>
  </r>
  <r>
    <x v="10"/>
    <x v="0"/>
    <x v="14"/>
    <m/>
    <m/>
    <n v="1"/>
    <n v="1"/>
    <n v="1"/>
    <m/>
    <n v="1"/>
    <m/>
    <n v="4"/>
    <n v="34"/>
    <n v="6"/>
    <m/>
    <n v="30"/>
    <n v="131"/>
    <m/>
    <m/>
    <n v="0"/>
    <m/>
    <n v="2"/>
    <m/>
    <m/>
    <m/>
    <m/>
    <m/>
    <n v="169"/>
    <m/>
    <n v="12"/>
    <m/>
    <n v="9"/>
    <n v="39"/>
    <m/>
    <m/>
    <n v="0"/>
    <m/>
    <m/>
    <m/>
    <m/>
    <m/>
    <m/>
    <m/>
    <n v="60000"/>
    <n v="3"/>
    <n v="6666.666666666667"/>
    <n v="169"/>
    <n v="9"/>
    <n v="5.3254437869822487E-2"/>
    <n v="60"/>
    <n v="0.13043478260869565"/>
    <n v="1.79"/>
    <n v="1"/>
    <n v="60000"/>
    <m/>
  </r>
  <r>
    <x v="10"/>
    <x v="1"/>
    <x v="15"/>
    <m/>
    <m/>
    <n v="1"/>
    <m/>
    <n v="1"/>
    <m/>
    <n v="1"/>
    <n v="1"/>
    <n v="4"/>
    <n v="111"/>
    <n v="0"/>
    <m/>
    <n v="11"/>
    <n v="85"/>
    <m/>
    <m/>
    <n v="0"/>
    <m/>
    <m/>
    <m/>
    <m/>
    <m/>
    <m/>
    <m/>
    <n v="96"/>
    <m/>
    <n v="15"/>
    <m/>
    <n v="25"/>
    <n v="90"/>
    <m/>
    <m/>
    <n v="3"/>
    <m/>
    <m/>
    <m/>
    <m/>
    <m/>
    <m/>
    <m/>
    <n v="130000"/>
    <n v="4"/>
    <n v="18571.428571428572"/>
    <n v="96"/>
    <n v="7"/>
    <n v="7.2916666666666671E-2"/>
    <n v="215"/>
    <n v="3.1531531531531529E-2"/>
    <n v="0.96"/>
    <n v="0.75"/>
    <n v="133000"/>
    <m/>
  </r>
  <r>
    <x v="10"/>
    <x v="1"/>
    <x v="16"/>
    <n v="1"/>
    <n v="1"/>
    <n v="2"/>
    <m/>
    <n v="1"/>
    <n v="1"/>
    <m/>
    <m/>
    <n v="6"/>
    <n v="93"/>
    <n v="137"/>
    <n v="4"/>
    <n v="31"/>
    <n v="21"/>
    <n v="0"/>
    <n v="11"/>
    <n v="2"/>
    <m/>
    <n v="2"/>
    <m/>
    <n v="2"/>
    <n v="0"/>
    <m/>
    <n v="31"/>
    <n v="241"/>
    <m/>
    <n v="116"/>
    <n v="18"/>
    <n v="45"/>
    <n v="40"/>
    <n v="8"/>
    <n v="0"/>
    <n v="1.77"/>
    <m/>
    <n v="0"/>
    <m/>
    <n v="10"/>
    <n v="9"/>
    <m/>
    <n v="0"/>
    <n v="227000"/>
    <n v="8"/>
    <n v="11350"/>
    <n v="241"/>
    <n v="20"/>
    <n v="8.2987551867219914E-2"/>
    <n v="119"/>
    <n v="0.14388489208633093"/>
    <n v="1.32"/>
    <n v="1"/>
    <n v="248000"/>
    <m/>
  </r>
  <r>
    <x v="10"/>
    <x v="2"/>
    <x v="17"/>
    <n v="1"/>
    <m/>
    <m/>
    <m/>
    <n v="2"/>
    <m/>
    <m/>
    <n v="1"/>
    <n v="4"/>
    <n v="78"/>
    <n v="78"/>
    <n v="0"/>
    <n v="22"/>
    <n v="63"/>
    <m/>
    <n v="59"/>
    <m/>
    <m/>
    <n v="0"/>
    <m/>
    <m/>
    <m/>
    <m/>
    <n v="0"/>
    <n v="222"/>
    <m/>
    <n v="75"/>
    <n v="4"/>
    <n v="11"/>
    <n v="29"/>
    <m/>
    <n v="11"/>
    <m/>
    <m/>
    <n v="5"/>
    <m/>
    <m/>
    <m/>
    <m/>
    <n v="20"/>
    <n v="150000"/>
    <n v="7"/>
    <n v="9375"/>
    <n v="222"/>
    <n v="16"/>
    <n v="7.2072072072072071E-2"/>
    <n v="132"/>
    <n v="0.10810810810810811"/>
    <n v="1.1299999999999999"/>
    <n v="1"/>
    <n v="155000"/>
    <m/>
  </r>
  <r>
    <x v="10"/>
    <x v="0"/>
    <x v="18"/>
    <n v="1"/>
    <n v="1"/>
    <n v="3"/>
    <n v="2"/>
    <n v="1"/>
    <n v="1"/>
    <m/>
    <m/>
    <n v="9"/>
    <n v="3"/>
    <n v="45"/>
    <m/>
    <n v="33"/>
    <n v="90"/>
    <m/>
    <n v="8"/>
    <m/>
    <m/>
    <m/>
    <m/>
    <m/>
    <m/>
    <m/>
    <n v="26"/>
    <n v="202"/>
    <m/>
    <n v="37"/>
    <n v="2"/>
    <n v="15"/>
    <n v="20"/>
    <m/>
    <m/>
    <n v="7"/>
    <m/>
    <m/>
    <m/>
    <m/>
    <n v="18"/>
    <m/>
    <m/>
    <n v="74000"/>
    <n v="6"/>
    <n v="8222.2222222222226"/>
    <n v="202"/>
    <n v="9"/>
    <n v="4.4554455445544552E-2"/>
    <n v="94"/>
    <n v="8.7378640776699032E-2"/>
    <n v="1.1599999999999999"/>
    <n v="1"/>
    <n v="98000"/>
    <m/>
  </r>
  <r>
    <x v="10"/>
    <x v="2"/>
    <x v="19"/>
    <n v="1"/>
    <n v="1"/>
    <n v="1"/>
    <n v="1"/>
    <n v="1"/>
    <n v="1"/>
    <m/>
    <m/>
    <n v="6"/>
    <n v="60"/>
    <n v="30"/>
    <m/>
    <n v="18"/>
    <n v="36"/>
    <m/>
    <m/>
    <m/>
    <m/>
    <m/>
    <m/>
    <m/>
    <m/>
    <m/>
    <n v="60"/>
    <n v="144"/>
    <m/>
    <n v="19.899999999999999"/>
    <m/>
    <n v="12"/>
    <n v="8"/>
    <m/>
    <m/>
    <m/>
    <m/>
    <m/>
    <m/>
    <m/>
    <m/>
    <m/>
    <n v="75"/>
    <n v="114900"/>
    <n v="4"/>
    <n v="57450"/>
    <n v="144"/>
    <n v="2"/>
    <n v="1.3888888888888888E-2"/>
    <n v="56"/>
    <n v="3.4482758620689655E-2"/>
    <n v="0.96"/>
    <n v="0.75"/>
    <n v="115000"/>
    <m/>
  </r>
  <r>
    <x v="10"/>
    <x v="0"/>
    <x v="20"/>
    <m/>
    <m/>
    <n v="2"/>
    <m/>
    <n v="1"/>
    <n v="1"/>
    <m/>
    <m/>
    <n v="4"/>
    <n v="29"/>
    <n v="56"/>
    <n v="0"/>
    <n v="80"/>
    <n v="56"/>
    <n v="12"/>
    <n v="0"/>
    <n v="0"/>
    <m/>
    <n v="0"/>
    <m/>
    <n v="0"/>
    <m/>
    <m/>
    <m/>
    <n v="204"/>
    <m/>
    <n v="34"/>
    <n v="5"/>
    <n v="30"/>
    <n v="30"/>
    <n v="12"/>
    <n v="3"/>
    <n v="1"/>
    <m/>
    <n v="2"/>
    <m/>
    <n v="8"/>
    <m/>
    <m/>
    <m/>
    <n v="114000"/>
    <n v="9"/>
    <n v="8142.8571428571431"/>
    <n v="204"/>
    <n v="14"/>
    <n v="6.8627450980392163E-2"/>
    <n v="44"/>
    <n v="0.2413793103448276"/>
    <n v="1.41"/>
    <n v="1"/>
    <n v="125000"/>
    <m/>
  </r>
  <r>
    <x v="10"/>
    <x v="1"/>
    <x v="21"/>
    <m/>
    <n v="1"/>
    <m/>
    <n v="1"/>
    <m/>
    <m/>
    <m/>
    <m/>
    <n v="2"/>
    <n v="81"/>
    <n v="0"/>
    <m/>
    <n v="90"/>
    <n v="52"/>
    <m/>
    <m/>
    <n v="0"/>
    <m/>
    <n v="0"/>
    <m/>
    <n v="0"/>
    <m/>
    <m/>
    <m/>
    <n v="142"/>
    <m/>
    <n v="40"/>
    <m/>
    <n v="30"/>
    <n v="35"/>
    <m/>
    <m/>
    <n v="5"/>
    <m/>
    <n v="25"/>
    <m/>
    <n v="8"/>
    <m/>
    <m/>
    <m/>
    <n v="105000"/>
    <n v="6"/>
    <n v="9545.454545454546"/>
    <n v="142"/>
    <n v="11"/>
    <n v="7.746478873239436E-2"/>
    <n v="120"/>
    <n v="8.3969465648854963E-2"/>
    <n v="1"/>
    <n v="1"/>
    <n v="143000"/>
    <m/>
  </r>
  <r>
    <x v="10"/>
    <x v="1"/>
    <x v="22"/>
    <n v="2"/>
    <n v="1"/>
    <n v="1"/>
    <m/>
    <m/>
    <m/>
    <m/>
    <m/>
    <n v="4"/>
    <n v="10"/>
    <m/>
    <m/>
    <n v="6"/>
    <n v="103"/>
    <m/>
    <n v="4"/>
    <m/>
    <m/>
    <m/>
    <m/>
    <m/>
    <m/>
    <m/>
    <n v="6"/>
    <n v="119"/>
    <m/>
    <m/>
    <n v="3"/>
    <m/>
    <n v="50"/>
    <m/>
    <n v="3"/>
    <n v="1"/>
    <m/>
    <m/>
    <m/>
    <n v="3"/>
    <m/>
    <m/>
    <n v="9"/>
    <n v="65000"/>
    <n v="6"/>
    <n v="21666.666666666668"/>
    <n v="119"/>
    <n v="3"/>
    <n v="2.5210084033613446E-2"/>
    <n v="82"/>
    <n v="3.5294117647058823E-2"/>
    <n v="1.1100000000000001"/>
    <n v="1"/>
    <n v="69000"/>
    <m/>
  </r>
  <r>
    <x v="10"/>
    <x v="0"/>
    <x v="23"/>
    <n v="1"/>
    <m/>
    <n v="1"/>
    <n v="2"/>
    <m/>
    <n v="3"/>
    <m/>
    <n v="1"/>
    <n v="8"/>
    <n v="19"/>
    <n v="49"/>
    <m/>
    <n v="31"/>
    <n v="15"/>
    <m/>
    <m/>
    <m/>
    <m/>
    <m/>
    <m/>
    <m/>
    <m/>
    <m/>
    <m/>
    <n v="95"/>
    <m/>
    <n v="85"/>
    <m/>
    <n v="6"/>
    <n v="2"/>
    <m/>
    <n v="2"/>
    <n v="1"/>
    <m/>
    <n v="12"/>
    <m/>
    <m/>
    <m/>
    <m/>
    <m/>
    <n v="95000"/>
    <n v="6"/>
    <n v="13571.428571428571"/>
    <n v="95"/>
    <n v="7"/>
    <n v="7.3684210526315783E-2"/>
    <n v="26"/>
    <n v="0.21212121212121213"/>
    <n v="1.1000000000000001"/>
    <n v="1"/>
    <n v="108000"/>
    <m/>
  </r>
  <r>
    <x v="11"/>
    <x v="0"/>
    <x v="0"/>
    <n v="1"/>
    <m/>
    <m/>
    <n v="2"/>
    <n v="1"/>
    <n v="1"/>
    <m/>
    <n v="1"/>
    <n v="6"/>
    <n v="30"/>
    <n v="127"/>
    <m/>
    <n v="11"/>
    <n v="42"/>
    <m/>
    <m/>
    <m/>
    <m/>
    <m/>
    <m/>
    <m/>
    <m/>
    <m/>
    <n v="18"/>
    <n v="198"/>
    <m/>
    <n v="30"/>
    <m/>
    <n v="4"/>
    <n v="5"/>
    <m/>
    <m/>
    <n v="0.5"/>
    <m/>
    <n v="2"/>
    <m/>
    <m/>
    <m/>
    <m/>
    <m/>
    <n v="39000"/>
    <n v="5"/>
    <n v="7800"/>
    <n v="198"/>
    <n v="5"/>
    <n v="2.5252525252525252E-2"/>
    <n v="31"/>
    <n v="0.1388888888888889"/>
    <n v="1.1100000000000001"/>
    <n v="1"/>
    <n v="41500"/>
    <m/>
  </r>
  <r>
    <x v="11"/>
    <x v="1"/>
    <x v="1"/>
    <n v="1"/>
    <m/>
    <n v="1"/>
    <m/>
    <m/>
    <m/>
    <m/>
    <m/>
    <n v="2"/>
    <n v="55"/>
    <m/>
    <m/>
    <n v="27"/>
    <n v="20"/>
    <m/>
    <m/>
    <m/>
    <m/>
    <m/>
    <m/>
    <m/>
    <m/>
    <m/>
    <m/>
    <n v="47"/>
    <m/>
    <m/>
    <m/>
    <n v="18"/>
    <n v="23.2"/>
    <m/>
    <m/>
    <m/>
    <m/>
    <m/>
    <m/>
    <m/>
    <m/>
    <m/>
    <m/>
    <n v="41200"/>
    <n v="2"/>
    <n v="13733.333333333334"/>
    <n v="47"/>
    <n v="3"/>
    <n v="6.3829787234042548E-2"/>
    <n v="44"/>
    <n v="6.3829787234042548E-2"/>
    <n v="1.1000000000000001"/>
    <n v="1"/>
    <n v="41200"/>
    <m/>
  </r>
  <r>
    <x v="11"/>
    <x v="2"/>
    <x v="2"/>
    <m/>
    <n v="1"/>
    <n v="1"/>
    <m/>
    <m/>
    <n v="1"/>
    <m/>
    <n v="1"/>
    <n v="4"/>
    <n v="83"/>
    <n v="0"/>
    <n v="0"/>
    <n v="39"/>
    <n v="76"/>
    <m/>
    <n v="5"/>
    <n v="0"/>
    <m/>
    <n v="0"/>
    <m/>
    <m/>
    <m/>
    <m/>
    <m/>
    <n v="120"/>
    <m/>
    <n v="80"/>
    <n v="6"/>
    <n v="30"/>
    <n v="30"/>
    <m/>
    <n v="1"/>
    <n v="5"/>
    <m/>
    <n v="20"/>
    <m/>
    <m/>
    <m/>
    <m/>
    <m/>
    <n v="147000"/>
    <n v="7"/>
    <n v="5880"/>
    <n v="120"/>
    <n v="25"/>
    <n v="0.20833333333333334"/>
    <n v="78"/>
    <n v="0.24271844660194175"/>
    <n v="1.03"/>
    <n v="1"/>
    <n v="172000"/>
    <m/>
  </r>
  <r>
    <x v="11"/>
    <x v="0"/>
    <x v="3"/>
    <m/>
    <n v="1"/>
    <n v="1"/>
    <n v="1"/>
    <n v="1"/>
    <n v="1"/>
    <m/>
    <n v="1"/>
    <n v="6"/>
    <n v="32"/>
    <n v="62"/>
    <m/>
    <n v="15"/>
    <n v="48"/>
    <n v="5"/>
    <m/>
    <m/>
    <n v="7"/>
    <n v="6"/>
    <m/>
    <m/>
    <m/>
    <m/>
    <m/>
    <n v="143"/>
    <m/>
    <n v="24.7"/>
    <m/>
    <n v="8.3000000000000007"/>
    <n v="35"/>
    <n v="12"/>
    <m/>
    <n v="3.3"/>
    <m/>
    <n v="2.5"/>
    <m/>
    <m/>
    <m/>
    <m/>
    <m/>
    <n v="80000"/>
    <n v="6"/>
    <n v="13333.333333333334"/>
    <n v="143"/>
    <n v="6"/>
    <n v="4.195804195804196E-2"/>
    <n v="14"/>
    <n v="0.3"/>
    <n v="0.98"/>
    <n v="0.75"/>
    <n v="85800"/>
    <m/>
  </r>
  <r>
    <x v="11"/>
    <x v="0"/>
    <x v="4"/>
    <n v="1"/>
    <n v="1"/>
    <n v="1"/>
    <n v="1"/>
    <m/>
    <n v="1"/>
    <m/>
    <n v="1"/>
    <n v="6"/>
    <n v="49"/>
    <n v="31"/>
    <m/>
    <n v="3"/>
    <n v="19"/>
    <m/>
    <m/>
    <m/>
    <m/>
    <m/>
    <m/>
    <m/>
    <m/>
    <m/>
    <m/>
    <n v="53"/>
    <m/>
    <n v="10"/>
    <m/>
    <n v="11"/>
    <n v="8"/>
    <n v="2"/>
    <m/>
    <n v="2"/>
    <m/>
    <n v="15"/>
    <m/>
    <m/>
    <m/>
    <m/>
    <m/>
    <n v="31000"/>
    <n v="6"/>
    <n v="5166.666666666667"/>
    <n v="53"/>
    <n v="6"/>
    <n v="0.11320754716981132"/>
    <n v="39"/>
    <n v="0.13333333333333333"/>
    <n v="1"/>
    <n v="1"/>
    <n v="48000"/>
    <m/>
  </r>
  <r>
    <x v="11"/>
    <x v="2"/>
    <x v="5"/>
    <n v="2"/>
    <n v="1"/>
    <n v="1"/>
    <m/>
    <n v="1"/>
    <m/>
    <m/>
    <m/>
    <n v="5"/>
    <n v="31"/>
    <n v="49"/>
    <n v="21"/>
    <n v="16"/>
    <n v="37"/>
    <m/>
    <n v="10"/>
    <m/>
    <m/>
    <n v="6"/>
    <m/>
    <n v="3"/>
    <m/>
    <m/>
    <n v="17"/>
    <n v="159"/>
    <m/>
    <n v="39"/>
    <n v="4"/>
    <n v="15"/>
    <n v="15"/>
    <m/>
    <n v="9"/>
    <n v="1"/>
    <m/>
    <n v="13"/>
    <m/>
    <n v="10"/>
    <m/>
    <m/>
    <m/>
    <n v="82000"/>
    <n v="8"/>
    <n v="5125"/>
    <n v="159"/>
    <n v="16"/>
    <n v="0.10062893081761007"/>
    <n v="190"/>
    <n v="7.7669902912621352E-2"/>
    <n v="0.99"/>
    <n v="0.75"/>
    <n v="106000"/>
    <m/>
  </r>
  <r>
    <x v="11"/>
    <x v="2"/>
    <x v="6"/>
    <n v="1"/>
    <m/>
    <m/>
    <n v="2"/>
    <m/>
    <m/>
    <m/>
    <n v="1"/>
    <n v="4"/>
    <n v="43"/>
    <n v="92"/>
    <m/>
    <n v="44"/>
    <n v="17"/>
    <m/>
    <m/>
    <m/>
    <m/>
    <m/>
    <m/>
    <m/>
    <m/>
    <m/>
    <m/>
    <n v="153"/>
    <m/>
    <n v="54"/>
    <m/>
    <n v="33"/>
    <n v="11"/>
    <m/>
    <m/>
    <m/>
    <m/>
    <m/>
    <m/>
    <m/>
    <m/>
    <m/>
    <m/>
    <n v="98000"/>
    <n v="3"/>
    <n v="9800"/>
    <n v="153"/>
    <n v="10"/>
    <n v="6.535947712418301E-2"/>
    <n v="68"/>
    <n v="0.12820512820512819"/>
    <n v="0.95"/>
    <n v="0.75"/>
    <n v="98000"/>
    <m/>
  </r>
  <r>
    <x v="11"/>
    <x v="2"/>
    <x v="7"/>
    <m/>
    <n v="1"/>
    <n v="4"/>
    <m/>
    <m/>
    <n v="1"/>
    <m/>
    <n v="1"/>
    <n v="7"/>
    <n v="14"/>
    <n v="19"/>
    <n v="0"/>
    <n v="25"/>
    <n v="21"/>
    <m/>
    <n v="2"/>
    <n v="0"/>
    <m/>
    <n v="0"/>
    <m/>
    <m/>
    <m/>
    <m/>
    <m/>
    <n v="67"/>
    <m/>
    <m/>
    <n v="17"/>
    <n v="25"/>
    <n v="13"/>
    <m/>
    <m/>
    <n v="1"/>
    <m/>
    <n v="3.6"/>
    <m/>
    <m/>
    <m/>
    <m/>
    <m/>
    <n v="55000"/>
    <n v="5"/>
    <n v="6111.1111111111113"/>
    <n v="67"/>
    <n v="9"/>
    <n v="0.13432835820895522"/>
    <n v="35"/>
    <n v="0.20454545454545456"/>
    <n v="1.07"/>
    <n v="1"/>
    <n v="59600"/>
    <m/>
  </r>
  <r>
    <x v="11"/>
    <x v="0"/>
    <x v="8"/>
    <n v="1"/>
    <m/>
    <m/>
    <n v="1"/>
    <n v="1"/>
    <n v="1"/>
    <m/>
    <n v="1"/>
    <n v="5"/>
    <n v="21"/>
    <n v="31"/>
    <n v="2"/>
    <n v="6"/>
    <n v="8"/>
    <m/>
    <n v="2"/>
    <m/>
    <m/>
    <m/>
    <m/>
    <m/>
    <m/>
    <m/>
    <n v="13"/>
    <n v="62"/>
    <m/>
    <n v="68"/>
    <n v="5"/>
    <n v="4"/>
    <n v="12"/>
    <m/>
    <n v="4"/>
    <n v="2"/>
    <m/>
    <n v="9"/>
    <m/>
    <m/>
    <m/>
    <m/>
    <m/>
    <n v="93000"/>
    <n v="7"/>
    <n v="15500"/>
    <n v="62"/>
    <n v="6"/>
    <n v="9.6774193548387094E-2"/>
    <n v="35"/>
    <n v="0.14634146341463414"/>
    <n v="1.06"/>
    <n v="1"/>
    <n v="104000"/>
    <m/>
  </r>
  <r>
    <x v="11"/>
    <x v="1"/>
    <x v="9"/>
    <n v="1"/>
    <n v="1"/>
    <n v="1"/>
    <m/>
    <m/>
    <m/>
    <m/>
    <m/>
    <n v="3"/>
    <n v="72"/>
    <n v="35"/>
    <n v="15"/>
    <n v="15"/>
    <n v="95"/>
    <m/>
    <m/>
    <m/>
    <m/>
    <m/>
    <m/>
    <m/>
    <m/>
    <m/>
    <m/>
    <n v="160"/>
    <m/>
    <n v="24"/>
    <n v="10"/>
    <n v="12"/>
    <n v="25"/>
    <m/>
    <m/>
    <m/>
    <m/>
    <m/>
    <m/>
    <m/>
    <m/>
    <m/>
    <m/>
    <n v="71000"/>
    <n v="4"/>
    <n v="6454.545454545455"/>
    <n v="160"/>
    <n v="11"/>
    <n v="6.8750000000000006E-2"/>
    <n v="55"/>
    <n v="0.16666666666666666"/>
    <n v="0.8"/>
    <n v="0.5"/>
    <n v="71000"/>
    <m/>
  </r>
  <r>
    <x v="11"/>
    <x v="0"/>
    <x v="10"/>
    <n v="1"/>
    <n v="1"/>
    <m/>
    <n v="2"/>
    <n v="1"/>
    <n v="1"/>
    <m/>
    <n v="1"/>
    <n v="7"/>
    <n v="28"/>
    <n v="47"/>
    <m/>
    <n v="48"/>
    <n v="45"/>
    <m/>
    <m/>
    <m/>
    <m/>
    <m/>
    <m/>
    <m/>
    <m/>
    <m/>
    <m/>
    <n v="140"/>
    <m/>
    <n v="30"/>
    <m/>
    <n v="18"/>
    <n v="14"/>
    <m/>
    <m/>
    <m/>
    <m/>
    <n v="6"/>
    <m/>
    <m/>
    <m/>
    <m/>
    <m/>
    <n v="62000"/>
    <n v="4"/>
    <n v="7750"/>
    <n v="140"/>
    <n v="8"/>
    <n v="5.7142857142857141E-2"/>
    <n v="38"/>
    <n v="0.17391304347826086"/>
    <n v="1.1599999999999999"/>
    <n v="1"/>
    <n v="68000"/>
    <m/>
  </r>
  <r>
    <x v="11"/>
    <x v="1"/>
    <x v="11"/>
    <m/>
    <n v="1"/>
    <n v="3"/>
    <n v="2"/>
    <m/>
    <m/>
    <m/>
    <m/>
    <n v="6"/>
    <n v="98"/>
    <n v="29"/>
    <m/>
    <n v="39"/>
    <n v="40"/>
    <m/>
    <m/>
    <m/>
    <m/>
    <m/>
    <m/>
    <m/>
    <m/>
    <m/>
    <n v="1"/>
    <n v="109"/>
    <m/>
    <n v="35"/>
    <m/>
    <n v="29"/>
    <n v="12"/>
    <m/>
    <m/>
    <n v="2"/>
    <m/>
    <n v="5"/>
    <m/>
    <m/>
    <m/>
    <m/>
    <m/>
    <n v="76000"/>
    <n v="5"/>
    <n v="7600"/>
    <n v="109"/>
    <n v="10"/>
    <n v="9.1743119266055051E-2"/>
    <n v="106"/>
    <n v="8.6206896551724144E-2"/>
    <n v="0.7"/>
    <n v="0.25"/>
    <n v="83000"/>
    <m/>
  </r>
  <r>
    <x v="11"/>
    <x v="0"/>
    <x v="12"/>
    <n v="1"/>
    <m/>
    <m/>
    <n v="2"/>
    <n v="2"/>
    <n v="1"/>
    <m/>
    <n v="1"/>
    <n v="7"/>
    <n v="14"/>
    <n v="73"/>
    <m/>
    <n v="13"/>
    <n v="45"/>
    <m/>
    <m/>
    <m/>
    <m/>
    <m/>
    <m/>
    <m/>
    <m/>
    <m/>
    <n v="7"/>
    <n v="138"/>
    <m/>
    <n v="43"/>
    <n v="3.5"/>
    <n v="7"/>
    <n v="34"/>
    <n v="3"/>
    <n v="3"/>
    <n v="1"/>
    <m/>
    <n v="1"/>
    <m/>
    <m/>
    <m/>
    <m/>
    <m/>
    <n v="93500"/>
    <n v="8"/>
    <n v="23375"/>
    <n v="138"/>
    <n v="4"/>
    <n v="2.8985507246376812E-2"/>
    <n v="24"/>
    <n v="0.14285714285714285"/>
    <n v="1.22"/>
    <n v="1"/>
    <n v="95500"/>
    <m/>
  </r>
  <r>
    <x v="11"/>
    <x v="1"/>
    <x v="13"/>
    <n v="1"/>
    <n v="1"/>
    <n v="2"/>
    <n v="1"/>
    <m/>
    <m/>
    <m/>
    <m/>
    <n v="5"/>
    <n v="104"/>
    <n v="21"/>
    <n v="17"/>
    <n v="24"/>
    <n v="30"/>
    <m/>
    <n v="15"/>
    <m/>
    <m/>
    <m/>
    <m/>
    <m/>
    <m/>
    <m/>
    <m/>
    <n v="125"/>
    <m/>
    <n v="40"/>
    <n v="20"/>
    <n v="19"/>
    <n v="23"/>
    <m/>
    <n v="8"/>
    <n v="1"/>
    <m/>
    <m/>
    <m/>
    <m/>
    <m/>
    <m/>
    <m/>
    <n v="110000"/>
    <n v="6"/>
    <n v="11000"/>
    <n v="125"/>
    <n v="10"/>
    <n v="0.08"/>
    <n v="73"/>
    <n v="0.12048192771084337"/>
    <n v="0.8"/>
    <n v="0.5"/>
    <n v="111000"/>
    <m/>
  </r>
  <r>
    <x v="11"/>
    <x v="0"/>
    <x v="14"/>
    <m/>
    <n v="1"/>
    <n v="1"/>
    <m/>
    <n v="1"/>
    <n v="1"/>
    <m/>
    <n v="1"/>
    <n v="5"/>
    <n v="24"/>
    <n v="22"/>
    <m/>
    <n v="30"/>
    <n v="82"/>
    <m/>
    <m/>
    <m/>
    <m/>
    <m/>
    <m/>
    <m/>
    <m/>
    <m/>
    <m/>
    <n v="134"/>
    <n v="7"/>
    <n v="7"/>
    <m/>
    <n v="9"/>
    <n v="25"/>
    <m/>
    <m/>
    <m/>
    <m/>
    <m/>
    <m/>
    <m/>
    <m/>
    <m/>
    <m/>
    <n v="41000"/>
    <n v="3"/>
    <n v="5857.1428571428569"/>
    <n v="134"/>
    <n v="7"/>
    <n v="5.2238805970149252E-2"/>
    <n v="69"/>
    <n v="9.2105263157894732E-2"/>
    <n v="1.1599999999999999"/>
    <n v="1"/>
    <n v="48000"/>
    <m/>
  </r>
  <r>
    <x v="11"/>
    <x v="1"/>
    <x v="15"/>
    <m/>
    <m/>
    <m/>
    <m/>
    <m/>
    <m/>
    <m/>
    <m/>
    <n v="0"/>
    <n v="128"/>
    <n v="25"/>
    <n v="0"/>
    <n v="24"/>
    <n v="44"/>
    <n v="0"/>
    <n v="0"/>
    <n v="0"/>
    <m/>
    <n v="0"/>
    <m/>
    <m/>
    <m/>
    <m/>
    <m/>
    <n v="93"/>
    <m/>
    <n v="25"/>
    <m/>
    <n v="20"/>
    <n v="50"/>
    <n v="5"/>
    <n v="2"/>
    <n v="3"/>
    <m/>
    <n v="15"/>
    <m/>
    <m/>
    <m/>
    <m/>
    <m/>
    <n v="102000"/>
    <n v="7"/>
    <n v="9272.7272727272721"/>
    <n v="93"/>
    <n v="11"/>
    <n v="0.11827956989247312"/>
    <n v="164"/>
    <n v="6.2857142857142861E-2"/>
    <n v="1"/>
    <n v="1"/>
    <n v="120000"/>
    <m/>
  </r>
  <r>
    <x v="11"/>
    <x v="1"/>
    <x v="16"/>
    <n v="1"/>
    <n v="1"/>
    <n v="1"/>
    <m/>
    <n v="1"/>
    <n v="1"/>
    <m/>
    <m/>
    <n v="5"/>
    <n v="118"/>
    <n v="51"/>
    <n v="4"/>
    <n v="74"/>
    <n v="28"/>
    <m/>
    <n v="22"/>
    <n v="2"/>
    <m/>
    <m/>
    <m/>
    <m/>
    <m/>
    <m/>
    <n v="43"/>
    <n v="224"/>
    <m/>
    <n v="114"/>
    <n v="18"/>
    <n v="50"/>
    <n v="32"/>
    <n v="20"/>
    <n v="0"/>
    <n v="1.38"/>
    <m/>
    <m/>
    <m/>
    <n v="15"/>
    <n v="9.5"/>
    <m/>
    <m/>
    <n v="234000"/>
    <n v="8"/>
    <n v="9000"/>
    <n v="224"/>
    <n v="26"/>
    <n v="0.11607142857142858"/>
    <n v="143"/>
    <n v="0.15384615384615385"/>
    <n v="1.22"/>
    <n v="1"/>
    <n v="259880"/>
    <m/>
  </r>
  <r>
    <x v="11"/>
    <x v="2"/>
    <x v="17"/>
    <n v="1"/>
    <n v="1"/>
    <m/>
    <n v="1"/>
    <m/>
    <m/>
    <m/>
    <n v="1"/>
    <n v="4"/>
    <n v="41"/>
    <n v="99"/>
    <n v="9"/>
    <m/>
    <n v="82"/>
    <m/>
    <n v="8"/>
    <n v="0"/>
    <m/>
    <n v="4"/>
    <m/>
    <m/>
    <m/>
    <m/>
    <m/>
    <n v="202"/>
    <n v="20"/>
    <n v="90"/>
    <n v="9"/>
    <m/>
    <n v="27"/>
    <m/>
    <n v="10"/>
    <n v="2"/>
    <m/>
    <n v="8"/>
    <m/>
    <m/>
    <m/>
    <m/>
    <m/>
    <n v="136000"/>
    <n v="6"/>
    <n v="9714.2857142857138"/>
    <n v="202"/>
    <n v="14"/>
    <n v="6.9306930693069313E-2"/>
    <n v="171"/>
    <n v="7.567567567567568E-2"/>
    <n v="1.05"/>
    <n v="1"/>
    <n v="166000"/>
    <m/>
  </r>
  <r>
    <x v="11"/>
    <x v="0"/>
    <x v="18"/>
    <n v="1"/>
    <n v="2"/>
    <m/>
    <n v="4"/>
    <n v="1"/>
    <n v="1"/>
    <m/>
    <n v="1"/>
    <n v="10"/>
    <n v="10"/>
    <n v="45"/>
    <m/>
    <n v="31"/>
    <n v="63"/>
    <m/>
    <n v="10"/>
    <m/>
    <m/>
    <m/>
    <m/>
    <m/>
    <m/>
    <m/>
    <n v="23"/>
    <n v="172"/>
    <m/>
    <n v="49"/>
    <n v="1"/>
    <n v="14"/>
    <n v="18"/>
    <m/>
    <n v="2"/>
    <n v="2"/>
    <m/>
    <n v="31"/>
    <m/>
    <m/>
    <m/>
    <m/>
    <m/>
    <n v="84000"/>
    <n v="7"/>
    <n v="10500"/>
    <n v="172"/>
    <n v="8"/>
    <n v="4.6511627906976744E-2"/>
    <n v="70"/>
    <n v="0.10256410256410256"/>
    <n v="1.2"/>
    <n v="1"/>
    <n v="117000"/>
    <m/>
  </r>
  <r>
    <x v="11"/>
    <x v="2"/>
    <x v="19"/>
    <n v="1"/>
    <n v="1"/>
    <n v="1"/>
    <m/>
    <n v="1"/>
    <n v="1"/>
    <m/>
    <m/>
    <n v="5"/>
    <n v="28"/>
    <n v="15"/>
    <m/>
    <n v="32"/>
    <n v="14"/>
    <m/>
    <m/>
    <m/>
    <m/>
    <m/>
    <m/>
    <m/>
    <m/>
    <m/>
    <n v="28"/>
    <n v="89"/>
    <m/>
    <n v="41.4"/>
    <n v="6"/>
    <n v="12"/>
    <n v="8"/>
    <m/>
    <m/>
    <m/>
    <m/>
    <m/>
    <m/>
    <n v="6"/>
    <n v="40"/>
    <m/>
    <n v="39"/>
    <n v="106400"/>
    <n v="7"/>
    <n v="17733.333333333332"/>
    <n v="89"/>
    <n v="6"/>
    <n v="6.741573033707865E-2"/>
    <n v="67"/>
    <n v="8.2191780821917804E-2"/>
    <n v="0.9"/>
    <n v="0.75"/>
    <n v="152400"/>
    <m/>
  </r>
  <r>
    <x v="11"/>
    <x v="0"/>
    <x v="20"/>
    <m/>
    <m/>
    <n v="2"/>
    <m/>
    <m/>
    <n v="1"/>
    <m/>
    <n v="1"/>
    <n v="4"/>
    <n v="26"/>
    <n v="64"/>
    <n v="5"/>
    <n v="42"/>
    <n v="55"/>
    <n v="15"/>
    <n v="0"/>
    <n v="0"/>
    <m/>
    <n v="2"/>
    <m/>
    <m/>
    <n v="0"/>
    <m/>
    <m/>
    <n v="183"/>
    <m/>
    <n v="30"/>
    <n v="15"/>
    <n v="30"/>
    <n v="36"/>
    <n v="12"/>
    <n v="3"/>
    <n v="1"/>
    <m/>
    <n v="2"/>
    <m/>
    <m/>
    <n v="8"/>
    <m/>
    <m/>
    <n v="126000"/>
    <n v="9"/>
    <n v="18000"/>
    <n v="183"/>
    <n v="7"/>
    <n v="3.825136612021858E-2"/>
    <n v="41"/>
    <n v="0.14583333333333334"/>
    <n v="1.1399999999999999"/>
    <n v="1"/>
    <n v="137000"/>
    <m/>
  </r>
  <r>
    <x v="11"/>
    <x v="1"/>
    <x v="21"/>
    <m/>
    <m/>
    <m/>
    <m/>
    <m/>
    <m/>
    <m/>
    <m/>
    <n v="0"/>
    <n v="137"/>
    <n v="48"/>
    <n v="0"/>
    <n v="27"/>
    <n v="52"/>
    <m/>
    <m/>
    <m/>
    <m/>
    <n v="0"/>
    <m/>
    <m/>
    <m/>
    <m/>
    <m/>
    <n v="127"/>
    <m/>
    <n v="40"/>
    <m/>
    <n v="30"/>
    <n v="35"/>
    <m/>
    <m/>
    <m/>
    <m/>
    <n v="25"/>
    <m/>
    <n v="8"/>
    <m/>
    <m/>
    <m/>
    <n v="105000"/>
    <n v="5"/>
    <n v="7500"/>
    <n v="127"/>
    <n v="14"/>
    <n v="0.11023622047244094"/>
    <n v="161"/>
    <n v="0.08"/>
    <n v="1.05"/>
    <n v="1"/>
    <n v="138000"/>
    <m/>
  </r>
  <r>
    <x v="11"/>
    <x v="1"/>
    <x v="22"/>
    <n v="2"/>
    <m/>
    <n v="1"/>
    <n v="1"/>
    <m/>
    <m/>
    <m/>
    <m/>
    <n v="4"/>
    <n v="26"/>
    <n v="30"/>
    <m/>
    <n v="2"/>
    <n v="80"/>
    <m/>
    <n v="3"/>
    <m/>
    <m/>
    <m/>
    <m/>
    <m/>
    <m/>
    <m/>
    <n v="8"/>
    <n v="123"/>
    <m/>
    <n v="19"/>
    <n v="2"/>
    <m/>
    <n v="30"/>
    <m/>
    <n v="5"/>
    <n v="1"/>
    <m/>
    <m/>
    <m/>
    <n v="3"/>
    <n v="22"/>
    <m/>
    <n v="8"/>
    <n v="64000"/>
    <n v="8"/>
    <n v="10666.666666666666"/>
    <n v="123"/>
    <n v="6"/>
    <n v="4.878048780487805E-2"/>
    <n v="47"/>
    <n v="0.11320754716981132"/>
    <n v="1.03"/>
    <n v="1"/>
    <n v="90000"/>
    <m/>
  </r>
  <r>
    <x v="11"/>
    <x v="0"/>
    <x v="23"/>
    <n v="1"/>
    <n v="1"/>
    <n v="1"/>
    <n v="1"/>
    <n v="2"/>
    <n v="1"/>
    <m/>
    <n v="1"/>
    <n v="8"/>
    <n v="12"/>
    <n v="43"/>
    <m/>
    <n v="19"/>
    <n v="17"/>
    <m/>
    <m/>
    <m/>
    <m/>
    <m/>
    <m/>
    <m/>
    <m/>
    <m/>
    <m/>
    <n v="79"/>
    <m/>
    <n v="36"/>
    <m/>
    <n v="4"/>
    <n v="6"/>
    <m/>
    <n v="2"/>
    <m/>
    <m/>
    <m/>
    <m/>
    <m/>
    <m/>
    <m/>
    <m/>
    <n v="48000"/>
    <n v="4"/>
    <n v="6857.1428571428569"/>
    <n v="79"/>
    <n v="7"/>
    <n v="8.8607594936708861E-2"/>
    <n v="30"/>
    <n v="0.1891891891891892"/>
    <n v="1"/>
    <n v="1"/>
    <n v="48000"/>
    <m/>
  </r>
  <r>
    <x v="12"/>
    <x v="3"/>
    <x v="24"/>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31240-D4DC-4E7F-9753-55D67593FF3C}"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7">
  <location ref="Q69:S95" firstHeaderRow="0"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Fields count="1">
    <field x="-2"/>
  </colFields>
  <colItems count="2">
    <i>
      <x/>
    </i>
    <i i="1">
      <x v="1"/>
    </i>
  </colItems>
  <dataFields count="2">
    <dataField name="Average of Hoàn thành" fld="51" subtotal="average" baseField="2" baseItem="0"/>
    <dataField name="Average of Hệ số Mi" fld="52" subtotal="average" baseField="2" baseItem="13"/>
  </dataFields>
  <formats count="3">
    <format dxfId="3">
      <pivotArea outline="0" collapsedLevelsAreSubtotals="1" fieldPosition="0"/>
    </format>
    <format dxfId="2">
      <pivotArea collapsedLevelsAreSubtotals="1" fieldPosition="0">
        <references count="1">
          <reference field="2" count="26">
            <x v="0"/>
            <x v="1"/>
            <x v="2"/>
            <x v="3"/>
            <x v="4"/>
            <x v="5"/>
            <x v="6"/>
            <x v="7"/>
            <x v="8"/>
            <x v="9"/>
            <x v="10"/>
            <x v="11"/>
            <x v="12"/>
            <x v="13"/>
            <x v="14"/>
            <x v="15"/>
            <x v="16"/>
            <x v="17"/>
            <x v="18"/>
            <x v="19"/>
            <x v="20"/>
            <x v="21"/>
            <x v="22"/>
            <x v="23"/>
            <x v="24"/>
            <x v="25"/>
          </reference>
        </references>
      </pivotArea>
    </format>
    <format dxfId="1">
      <pivotArea grandRow="1" outline="0" collapsedLevelsAreSubtotals="1" fieldPosition="0"/>
    </format>
  </formats>
  <chartFormats count="4">
    <chartFormat chart="16" format="1"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A5E461-CF43-47C0-9B81-65D557D310DE}" name="PivotTable1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AA38:AB6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SL kênh triển khai MKT" fld="44" baseField="2" baseItem="0" numFmtId="171"/>
  </dataFields>
  <formats count="6">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s>
  <chartFormats count="1">
    <chartFormat chart="17"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4E5CF2-6389-4D5F-A56C-C731B09DF023}" name="PivotTable1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J140:Y166" firstHeaderRow="0"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Count of C_CSR/ Gifts" fld="40" subtotal="count" baseField="2" baseItem="2"/>
    <dataField name="Car club/Sponsor" fld="41" baseField="0" baseItem="2"/>
    <dataField name="E mail" fld="36" baseField="0" baseItem="3"/>
    <dataField name="Google Adwords" fld="31" baseField="0" baseItem="13"/>
    <dataField name="Facebook" fld="32" baseField="0" baseItem="14"/>
    <dataField name="TV/Radio" fld="38" baseField="0" baseItem="5"/>
    <dataField name="Biển bảng/ OOH" fld="37" baseField="0" baseItem="6"/>
    <dataField name="SMS" fld="35" baseField="0" baseItem="7"/>
    <dataField name="Online banner" fld="30" baseField="0" baseItem="8"/>
    <dataField name="Zalo" fld="34" baseField="0" baseItem="9"/>
    <dataField name="Print Ads/ PR" fld="39" baseField="0" baseItem="4"/>
    <dataField name="Youtube" fld="33" baseField="0" baseItem="10"/>
    <dataField name="Sự kiện(lái thử/ roadshow)" fld="29" baseField="0" baseItem="11"/>
    <dataField name="KH Showroom" fld="28" baseField="0" baseItem="12"/>
    <dataField name="Khác" fld="42" baseField="0" baseItem="1"/>
  </dataFields>
  <chartFormats count="30">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4"/>
          </reference>
        </references>
      </pivotArea>
    </chartFormat>
    <chartFormat chart="16" format="2" series="1">
      <pivotArea type="data" outline="0" fieldPosition="0">
        <references count="1">
          <reference field="4294967294" count="1" selected="0">
            <x v="1"/>
          </reference>
        </references>
      </pivotArea>
    </chartFormat>
    <chartFormat chart="16" format="3" series="1">
      <pivotArea type="data" outline="0" fieldPosition="0">
        <references count="1">
          <reference field="4294967294" count="1" selected="0">
            <x v="2"/>
          </reference>
        </references>
      </pivotArea>
    </chartFormat>
    <chartFormat chart="16" format="4" series="1">
      <pivotArea type="data" outline="0" fieldPosition="0">
        <references count="1">
          <reference field="4294967294" count="1" selected="0">
            <x v="10"/>
          </reference>
        </references>
      </pivotArea>
    </chartFormat>
    <chartFormat chart="16" format="5" series="1">
      <pivotArea type="data" outline="0" fieldPosition="0">
        <references count="1">
          <reference field="4294967294" count="1" selected="0">
            <x v="5"/>
          </reference>
        </references>
      </pivotArea>
    </chartFormat>
    <chartFormat chart="16" format="6" series="1">
      <pivotArea type="data" outline="0" fieldPosition="0">
        <references count="1">
          <reference field="4294967294" count="1" selected="0">
            <x v="6"/>
          </reference>
        </references>
      </pivotArea>
    </chartFormat>
    <chartFormat chart="16" format="7" series="1">
      <pivotArea type="data" outline="0" fieldPosition="0">
        <references count="1">
          <reference field="4294967294" count="1" selected="0">
            <x v="7"/>
          </reference>
        </references>
      </pivotArea>
    </chartFormat>
    <chartFormat chart="16" format="8" series="1">
      <pivotArea type="data" outline="0" fieldPosition="0">
        <references count="1">
          <reference field="4294967294" count="1" selected="0">
            <x v="8"/>
          </reference>
        </references>
      </pivotArea>
    </chartFormat>
    <chartFormat chart="16" format="9" series="1">
      <pivotArea type="data" outline="0" fieldPosition="0">
        <references count="1">
          <reference field="4294967294" count="1" selected="0">
            <x v="9"/>
          </reference>
        </references>
      </pivotArea>
    </chartFormat>
    <chartFormat chart="16" format="10" series="1">
      <pivotArea type="data" outline="0" fieldPosition="0">
        <references count="1">
          <reference field="4294967294" count="1" selected="0">
            <x v="11"/>
          </reference>
        </references>
      </pivotArea>
    </chartFormat>
    <chartFormat chart="16" format="11" series="1">
      <pivotArea type="data" outline="0" fieldPosition="0">
        <references count="1">
          <reference field="4294967294" count="1" selected="0">
            <x v="12"/>
          </reference>
        </references>
      </pivotArea>
    </chartFormat>
    <chartFormat chart="16" format="12" series="1">
      <pivotArea type="data" outline="0" fieldPosition="0">
        <references count="1">
          <reference field="4294967294" count="1" selected="0">
            <x v="13"/>
          </reference>
        </references>
      </pivotArea>
    </chartFormat>
    <chartFormat chart="16" format="13" series="1">
      <pivotArea type="data" outline="0" fieldPosition="0">
        <references count="1">
          <reference field="4294967294" count="1" selected="0">
            <x v="3"/>
          </reference>
        </references>
      </pivotArea>
    </chartFormat>
    <chartFormat chart="16" format="14" series="1">
      <pivotArea type="data" outline="0" fieldPosition="0">
        <references count="1">
          <reference field="4294967294" count="1" selected="0">
            <x v="4"/>
          </reference>
        </references>
      </pivotArea>
    </chartFormat>
    <chartFormat chart="18" format="30"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14"/>
          </reference>
        </references>
      </pivotArea>
    </chartFormat>
    <chartFormat chart="18" format="32" series="1">
      <pivotArea type="data" outline="0" fieldPosition="0">
        <references count="1">
          <reference field="4294967294" count="1" selected="0">
            <x v="1"/>
          </reference>
        </references>
      </pivotArea>
    </chartFormat>
    <chartFormat chart="18" format="33" series="1">
      <pivotArea type="data" outline="0" fieldPosition="0">
        <references count="1">
          <reference field="4294967294" count="1" selected="0">
            <x v="2"/>
          </reference>
        </references>
      </pivotArea>
    </chartFormat>
    <chartFormat chart="18" format="34" series="1">
      <pivotArea type="data" outline="0" fieldPosition="0">
        <references count="1">
          <reference field="4294967294" count="1" selected="0">
            <x v="10"/>
          </reference>
        </references>
      </pivotArea>
    </chartFormat>
    <chartFormat chart="18" format="35" series="1">
      <pivotArea type="data" outline="0" fieldPosition="0">
        <references count="1">
          <reference field="4294967294" count="1" selected="0">
            <x v="5"/>
          </reference>
        </references>
      </pivotArea>
    </chartFormat>
    <chartFormat chart="18" format="36" series="1">
      <pivotArea type="data" outline="0" fieldPosition="0">
        <references count="1">
          <reference field="4294967294" count="1" selected="0">
            <x v="6"/>
          </reference>
        </references>
      </pivotArea>
    </chartFormat>
    <chartFormat chart="18" format="37" series="1">
      <pivotArea type="data" outline="0" fieldPosition="0">
        <references count="1">
          <reference field="4294967294" count="1" selected="0">
            <x v="7"/>
          </reference>
        </references>
      </pivotArea>
    </chartFormat>
    <chartFormat chart="18" format="38" series="1">
      <pivotArea type="data" outline="0" fieldPosition="0">
        <references count="1">
          <reference field="4294967294" count="1" selected="0">
            <x v="8"/>
          </reference>
        </references>
      </pivotArea>
    </chartFormat>
    <chartFormat chart="18" format="39" series="1">
      <pivotArea type="data" outline="0" fieldPosition="0">
        <references count="1">
          <reference field="4294967294" count="1" selected="0">
            <x v="9"/>
          </reference>
        </references>
      </pivotArea>
    </chartFormat>
    <chartFormat chart="18" format="40" series="1">
      <pivotArea type="data" outline="0" fieldPosition="0">
        <references count="1">
          <reference field="4294967294" count="1" selected="0">
            <x v="11"/>
          </reference>
        </references>
      </pivotArea>
    </chartFormat>
    <chartFormat chart="18" format="41" series="1">
      <pivotArea type="data" outline="0" fieldPosition="0">
        <references count="1">
          <reference field="4294967294" count="1" selected="0">
            <x v="12"/>
          </reference>
        </references>
      </pivotArea>
    </chartFormat>
    <chartFormat chart="18" format="42" series="1">
      <pivotArea type="data" outline="0" fieldPosition="0">
        <references count="1">
          <reference field="4294967294" count="1" selected="0">
            <x v="13"/>
          </reference>
        </references>
      </pivotArea>
    </chartFormat>
    <chartFormat chart="18" format="43" series="1">
      <pivotArea type="data" outline="0" fieldPosition="0">
        <references count="1">
          <reference field="4294967294" count="1" selected="0">
            <x v="3"/>
          </reference>
        </references>
      </pivotArea>
    </chartFormat>
    <chartFormat chart="18" format="44" series="1">
      <pivotArea type="data" outline="0" fieldPosition="0">
        <references count="1">
          <reference field="429496729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5B5E21-BBC5-4A2E-8053-F7B1A1909375}"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8">
  <location ref="I38:J6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HĐ MKT" fld="47" baseField="0" baseItem="0"/>
  </dataFields>
  <formats count="1">
    <format dxfId="24">
      <pivotArea outline="0" collapsedLevelsAreSubtotals="1" fieldPosition="0"/>
    </format>
  </formats>
  <chartFormats count="1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17"/>
          </reference>
        </references>
      </pivotArea>
    </chartFormat>
    <chartFormat chart="11" format="3"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20"/>
          </reference>
        </references>
      </pivotArea>
    </chartFormat>
    <chartFormat chart="9" format="3">
      <pivotArea type="data" outline="0" fieldPosition="0">
        <references count="2">
          <reference field="4294967294" count="1" selected="0">
            <x v="0"/>
          </reference>
          <reference field="2" count="1" selected="0">
            <x v="16"/>
          </reference>
        </references>
      </pivotArea>
    </chartFormat>
    <chartFormat chart="9" format="4">
      <pivotArea type="data" outline="0" fieldPosition="0">
        <references count="2">
          <reference field="4294967294" count="1" selected="0">
            <x v="0"/>
          </reference>
          <reference field="2" count="1" selected="0">
            <x v="23"/>
          </reference>
        </references>
      </pivotArea>
    </chartFormat>
    <chartFormat chart="9" format="5">
      <pivotArea type="data" outline="0" fieldPosition="0">
        <references count="2">
          <reference field="4294967294" count="1" selected="0">
            <x v="0"/>
          </reference>
          <reference field="2" count="1" selected="0">
            <x v="15"/>
          </reference>
        </references>
      </pivotArea>
    </chartFormat>
    <chartFormat chart="9" format="6">
      <pivotArea type="data" outline="0" fieldPosition="0">
        <references count="2">
          <reference field="4294967294" count="1" selected="0">
            <x v="0"/>
          </reference>
          <reference field="2" count="1" selected="0">
            <x v="22"/>
          </reference>
        </references>
      </pivotArea>
    </chartFormat>
    <chartFormat chart="9" format="7">
      <pivotArea type="data" outline="0" fieldPosition="0">
        <references count="2">
          <reference field="4294967294" count="1" selected="0">
            <x v="0"/>
          </reference>
          <reference field="2" count="1" selected="0">
            <x v="10"/>
          </reference>
        </references>
      </pivotArea>
    </chartFormat>
    <chartFormat chart="9" format="8">
      <pivotArea type="data" outline="0" fieldPosition="0">
        <references count="2">
          <reference field="4294967294" count="1" selected="0">
            <x v="0"/>
          </reference>
          <reference field="2" count="1" selected="0">
            <x v="12"/>
          </reference>
        </references>
      </pivotArea>
    </chartFormat>
    <chartFormat chart="9" format="9">
      <pivotArea type="data" outline="0" fieldPosition="0">
        <references count="2">
          <reference field="4294967294" count="1" selected="0">
            <x v="0"/>
          </reference>
          <reference field="2" count="1" selected="0">
            <x v="14"/>
          </reference>
        </references>
      </pivotArea>
    </chartFormat>
    <chartFormat chart="9" format="10">
      <pivotArea type="data" outline="0" fieldPosition="0">
        <references count="2">
          <reference field="4294967294" count="1" selected="0">
            <x v="0"/>
          </reference>
          <reference field="2" count="1" selected="0">
            <x v="4"/>
          </reference>
        </references>
      </pivotArea>
    </chartFormat>
    <chartFormat chart="9" format="11">
      <pivotArea type="data" outline="0" fieldPosition="0">
        <references count="2">
          <reference field="4294967294" count="1" selected="0">
            <x v="0"/>
          </reference>
          <reference field="2" count="1" selected="0">
            <x v="5"/>
          </reference>
        </references>
      </pivotArea>
    </chartFormat>
    <chartFormat chart="9" format="12">
      <pivotArea type="data" outline="0" fieldPosition="0">
        <references count="2">
          <reference field="4294967294" count="1" selected="0">
            <x v="0"/>
          </reference>
          <reference field="2" count="1" selected="0">
            <x v="6"/>
          </reference>
        </references>
      </pivotArea>
    </chartFormat>
    <chartFormat chart="9" format="13">
      <pivotArea type="data" outline="0" fieldPosition="0">
        <references count="2">
          <reference field="4294967294" count="1" selected="0">
            <x v="0"/>
          </reference>
          <reference field="2" count="1" selected="0">
            <x v="7"/>
          </reference>
        </references>
      </pivotArea>
    </chartFormat>
    <chartFormat chart="9" format="14">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B90B369-B935-4619-86F6-701857E2791F}"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location ref="A103:B129"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Thưởng MKT" fld="54" baseField="2" baseItem="15" numFmtId="170"/>
  </dataFields>
  <formats count="4">
    <format dxfId="28">
      <pivotArea outline="0" collapsedLevelsAreSubtotals="1" fieldPosition="0"/>
    </format>
    <format dxfId="27">
      <pivotArea grandRow="1" outline="0" collapsedLevelsAreSubtotals="1" fieldPosition="0"/>
    </format>
    <format dxfId="26">
      <pivotArea collapsedLevelsAreSubtotals="1" fieldPosition="0">
        <references count="1">
          <reference field="2" count="26">
            <x v="0"/>
            <x v="1"/>
            <x v="2"/>
            <x v="3"/>
            <x v="4"/>
            <x v="5"/>
            <x v="6"/>
            <x v="7"/>
            <x v="8"/>
            <x v="9"/>
            <x v="10"/>
            <x v="11"/>
            <x v="12"/>
            <x v="13"/>
            <x v="14"/>
            <x v="15"/>
            <x v="16"/>
            <x v="17"/>
            <x v="18"/>
            <x v="19"/>
            <x v="20"/>
            <x v="21"/>
            <x v="22"/>
            <x v="23"/>
            <x v="24"/>
            <x v="25"/>
          </reference>
        </references>
      </pivotArea>
    </format>
    <format dxfId="25">
      <pivotArea outline="0" fieldPosition="0">
        <references count="1">
          <reference field="4294967294" count="1">
            <x v="0"/>
          </reference>
        </references>
      </pivotArea>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79A92D-DC09-44DB-808F-CD04C4571CD9}" name="PivotTable1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J111:X112" firstHeaderRow="0" firstDataRow="1" firstDataCol="0"/>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Gifts" fld="40" baseField="0" baseItem="1"/>
    <dataField name="Car club/Sponsor" fld="41" baseField="0" baseItem="2"/>
    <dataField name="E mail" fld="36" baseField="0" baseItem="3"/>
    <dataField name="Google Adwords" fld="31" baseField="0" baseItem="13"/>
    <dataField name="Facebook" fld="32" baseField="0" baseItem="14"/>
    <dataField name="TV/Radio" fld="38" baseField="0" baseItem="5"/>
    <dataField name="Biển bảng/ OOH" fld="37" baseField="0" baseItem="6"/>
    <dataField name="SMS" fld="35" baseField="0" baseItem="7"/>
    <dataField name="Online banner" fld="30" baseField="0" baseItem="8"/>
    <dataField name="Zalo" fld="34" baseField="0" baseItem="9"/>
    <dataField name="Print Ads/ PR" fld="39" baseField="0" baseItem="4"/>
    <dataField name="Youtube" fld="33" baseField="0" baseItem="10"/>
    <dataField name="Sự kiện(lái thử/ roadshow)" fld="29" baseField="0" baseItem="11"/>
    <dataField name="KH Showroom" fld="28" baseField="0" baseItem="12"/>
    <dataField name="Khác" fld="42" baseField="0" baseItem="1"/>
  </dataFields>
  <chartFormats count="15">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4"/>
          </reference>
        </references>
      </pivotArea>
    </chartFormat>
    <chartFormat chart="16" format="2" series="1">
      <pivotArea type="data" outline="0" fieldPosition="0">
        <references count="1">
          <reference field="4294967294" count="1" selected="0">
            <x v="1"/>
          </reference>
        </references>
      </pivotArea>
    </chartFormat>
    <chartFormat chart="16" format="3" series="1">
      <pivotArea type="data" outline="0" fieldPosition="0">
        <references count="1">
          <reference field="4294967294" count="1" selected="0">
            <x v="2"/>
          </reference>
        </references>
      </pivotArea>
    </chartFormat>
    <chartFormat chart="16" format="4" series="1">
      <pivotArea type="data" outline="0" fieldPosition="0">
        <references count="1">
          <reference field="4294967294" count="1" selected="0">
            <x v="10"/>
          </reference>
        </references>
      </pivotArea>
    </chartFormat>
    <chartFormat chart="16" format="5" series="1">
      <pivotArea type="data" outline="0" fieldPosition="0">
        <references count="1">
          <reference field="4294967294" count="1" selected="0">
            <x v="5"/>
          </reference>
        </references>
      </pivotArea>
    </chartFormat>
    <chartFormat chart="16" format="6" series="1">
      <pivotArea type="data" outline="0" fieldPosition="0">
        <references count="1">
          <reference field="4294967294" count="1" selected="0">
            <x v="6"/>
          </reference>
        </references>
      </pivotArea>
    </chartFormat>
    <chartFormat chart="16" format="7" series="1">
      <pivotArea type="data" outline="0" fieldPosition="0">
        <references count="1">
          <reference field="4294967294" count="1" selected="0">
            <x v="7"/>
          </reference>
        </references>
      </pivotArea>
    </chartFormat>
    <chartFormat chart="16" format="8" series="1">
      <pivotArea type="data" outline="0" fieldPosition="0">
        <references count="1">
          <reference field="4294967294" count="1" selected="0">
            <x v="8"/>
          </reference>
        </references>
      </pivotArea>
    </chartFormat>
    <chartFormat chart="16" format="9" series="1">
      <pivotArea type="data" outline="0" fieldPosition="0">
        <references count="1">
          <reference field="4294967294" count="1" selected="0">
            <x v="9"/>
          </reference>
        </references>
      </pivotArea>
    </chartFormat>
    <chartFormat chart="16" format="10" series="1">
      <pivotArea type="data" outline="0" fieldPosition="0">
        <references count="1">
          <reference field="4294967294" count="1" selected="0">
            <x v="11"/>
          </reference>
        </references>
      </pivotArea>
    </chartFormat>
    <chartFormat chart="16" format="11" series="1">
      <pivotArea type="data" outline="0" fieldPosition="0">
        <references count="1">
          <reference field="4294967294" count="1" selected="0">
            <x v="12"/>
          </reference>
        </references>
      </pivotArea>
    </chartFormat>
    <chartFormat chart="16" format="12" series="1">
      <pivotArea type="data" outline="0" fieldPosition="0">
        <references count="1">
          <reference field="4294967294" count="1" selected="0">
            <x v="13"/>
          </reference>
        </references>
      </pivotArea>
    </chartFormat>
    <chartFormat chart="16" format="13" series="1">
      <pivotArea type="data" outline="0" fieldPosition="0">
        <references count="1">
          <reference field="4294967294" count="1" selected="0">
            <x v="3"/>
          </reference>
        </references>
      </pivotArea>
    </chartFormat>
    <chartFormat chart="16" format="14" series="1">
      <pivotArea type="data" outline="0" fieldPosition="0">
        <references count="1">
          <reference field="429496729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7278FA-BCB6-4FC4-9710-1EB1D1C99D32}" name="PivotTable1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8">
  <location ref="K70:L96"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Average of Đóng góp MKT" fld="56" subtotal="average" baseField="2" baseItem="0" numFmtId="9"/>
  </dataFields>
  <formats count="3">
    <format dxfId="31">
      <pivotArea collapsedLevelsAreSubtotals="1" fieldPosition="0">
        <references count="1">
          <reference field="2" count="26">
            <x v="0"/>
            <x v="1"/>
            <x v="2"/>
            <x v="3"/>
            <x v="4"/>
            <x v="5"/>
            <x v="6"/>
            <x v="7"/>
            <x v="8"/>
            <x v="9"/>
            <x v="10"/>
            <x v="11"/>
            <x v="12"/>
            <x v="13"/>
            <x v="14"/>
            <x v="15"/>
            <x v="16"/>
            <x v="17"/>
            <x v="18"/>
            <x v="19"/>
            <x v="20"/>
            <x v="21"/>
            <x v="22"/>
            <x v="23"/>
            <x v="24"/>
            <x v="25"/>
          </reference>
        </references>
      </pivotArea>
    </format>
    <format dxfId="30">
      <pivotArea grandRow="1" outline="0" collapsedLevelsAreSubtotals="1" fieldPosition="0"/>
    </format>
    <format dxfId="29">
      <pivotArea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EDC7209-700B-46AB-96D9-530A4787694C}"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location ref="A139:B165"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SL kênh triển khai MKT" fld="44" baseField="2" baseItem="5"/>
  </dataFields>
  <formats count="2">
    <format dxfId="33">
      <pivotArea outline="0" collapsedLevelsAreSubtotals="1" fieldPosition="0"/>
    </format>
    <format dxfId="32">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C668713-D48C-47D9-99EF-A6789FF7F028}"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4">
  <location ref="AA68:AB9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Chi phí kênh MKT thu data" fld="43" baseField="0" baseItem="0" numFmtId="169"/>
  </dataFields>
  <formats count="6">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E92BA17-520C-479A-B94E-8EA6E0436F13}"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0">
  <location ref="Q38:R6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CTR1" fld="55" baseField="0" baseItem="0" numFmtId="173"/>
  </dataFields>
  <formats count="9">
    <format dxfId="48">
      <pivotArea outline="0" collapsedLevelsAreSubtotals="1" fieldPosition="0"/>
    </format>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26">
            <x v="0"/>
            <x v="1"/>
            <x v="2"/>
            <x v="3"/>
            <x v="4"/>
            <x v="5"/>
            <x v="6"/>
            <x v="7"/>
            <x v="8"/>
            <x v="9"/>
            <x v="10"/>
            <x v="11"/>
            <x v="12"/>
            <x v="13"/>
            <x v="14"/>
            <x v="15"/>
            <x v="16"/>
            <x v="17"/>
            <x v="18"/>
            <x v="19"/>
            <x v="20"/>
            <x v="21"/>
            <x v="22"/>
            <x v="23"/>
            <x v="24"/>
            <x v="25"/>
          </reference>
        </references>
      </pivotArea>
    </format>
    <format dxfId="43">
      <pivotArea dataOnly="0" labelOnly="1" grandRow="1" outline="0" fieldPosition="0"/>
    </format>
    <format dxfId="42">
      <pivotArea dataOnly="0" labelOnly="1" outline="0" axis="axisValues" fieldPosition="0"/>
    </format>
    <format dxfId="41">
      <pivotArea outline="0" collapsedLevelsAreSubtotals="1" fieldPosition="0"/>
    </format>
    <format dxfId="40">
      <pivotArea outline="0" collapsedLevelsAreSubtotals="1" fieldPosition="0">
        <references count="1">
          <reference field="4294967294" count="1" selected="0">
            <x v="0"/>
          </reference>
        </references>
      </pivotArea>
    </format>
  </formats>
  <chartFormats count="2">
    <chartFormat chart="12"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5BC80C7-BB56-4E4C-BFB3-E72915DE3049}"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location ref="C38:D6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Data KH" fld="46" baseField="0" baseItem="0" numFmtId="169"/>
  </dataFields>
  <formats count="1">
    <format dxfId="49">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0EE4F-66E2-4B25-90B9-F942511F3B61}" name="PivotTable1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A70:C96" firstHeaderRow="0"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Fields count="1">
    <field x="-2"/>
  </colFields>
  <colItems count="2">
    <i>
      <x/>
    </i>
    <i i="1">
      <x v="1"/>
    </i>
  </colItems>
  <dataFields count="2">
    <dataField name="HĐ_MKT" fld="47" baseField="2" baseItem="0"/>
    <dataField name="HĐ_TVBH" fld="49" baseField="2" baseItem="0"/>
  </dataFields>
  <formats count="1">
    <format dxfId="4">
      <pivotArea outline="0" collapsedLevelsAreSubtotals="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45C54F2-7FD7-4D51-84F5-C97C3A742F0E}" name="PivotTable20" cacheId="0" applyNumberFormats="0" applyBorderFormats="0" applyFontFormats="0" applyPatternFormats="0" applyAlignmentFormats="0" applyWidthHeightFormats="1" dataCaption="Values" updatedVersion="6" minRefreshableVersion="3" useAutoFormatting="1" itemPrintTitles="1" createdVersion="8" indent="0" showHeaders="0" outline="1" outlineData="1" multipleFieldFilters="0" chartFormat="19">
  <location ref="AC8:AJ9" firstHeaderRow="0" firstDataRow="1" firstDataCol="0"/>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8">
    <i>
      <x/>
    </i>
    <i i="1">
      <x v="1"/>
    </i>
    <i i="2">
      <x v="2"/>
    </i>
    <i i="3">
      <x v="3"/>
    </i>
    <i i="4">
      <x v="4"/>
    </i>
    <i i="5">
      <x v="5"/>
    </i>
    <i i="6">
      <x v="6"/>
    </i>
    <i i="7">
      <x v="7"/>
    </i>
  </colItems>
  <dataFields count="8">
    <dataField name="KM_BH" fld="3" baseField="1" baseItem="0"/>
    <dataField name="KM_DV" fld="4" baseField="1" baseItem="0"/>
    <dataField name="QC_Online" fld="5" baseField="1" baseItem="0"/>
    <dataField name="Test-drive" fld="6" baseField="1" baseItem="0"/>
    <dataField name="Event." fld="7" baseField="1" baseItem="0"/>
    <dataField name="QC_Thương hiệu" fld="8" baseField="1" baseItem="0"/>
    <dataField name="TTTH_CSR" fld="9" baseField="1" baseItem="0"/>
    <dataField name="QC_Website" fld="10" baseField="1" baseItem="0"/>
  </dataFields>
  <chartFormats count="8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3"/>
          </reference>
        </references>
      </pivotArea>
    </chartFormat>
    <chartFormat chart="3" format="5" series="1">
      <pivotArea type="data" outline="0" fieldPosition="0">
        <references count="1">
          <reference field="4294967294" count="1" selected="0">
            <x v="4"/>
          </reference>
        </references>
      </pivotArea>
    </chartFormat>
    <chartFormat chart="3" format="6" series="1">
      <pivotArea type="data" outline="0" fieldPosition="0">
        <references count="1">
          <reference field="4294967294" count="1" selected="0">
            <x v="5"/>
          </reference>
        </references>
      </pivotArea>
    </chartFormat>
    <chartFormat chart="3" format="7" series="1">
      <pivotArea type="data" outline="0" fieldPosition="0">
        <references count="1">
          <reference field="4294967294" count="1" selected="0">
            <x v="6"/>
          </reference>
        </references>
      </pivotArea>
    </chartFormat>
    <chartFormat chart="3" format="8" series="1">
      <pivotArea type="data" outline="0" fieldPosition="0">
        <references count="1">
          <reference field="4294967294" count="1" selected="0">
            <x v="7"/>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3"/>
          </reference>
        </references>
      </pivotArea>
    </chartFormat>
    <chartFormat chart="5" format="22" series="1">
      <pivotArea type="data" outline="0" fieldPosition="0">
        <references count="1">
          <reference field="4294967294" count="1" selected="0">
            <x v="4"/>
          </reference>
        </references>
      </pivotArea>
    </chartFormat>
    <chartFormat chart="5" format="23" series="1">
      <pivotArea type="data" outline="0" fieldPosition="0">
        <references count="1">
          <reference field="4294967294" count="1" selected="0">
            <x v="5"/>
          </reference>
        </references>
      </pivotArea>
    </chartFormat>
    <chartFormat chart="5" format="24" series="1">
      <pivotArea type="data" outline="0" fieldPosition="0">
        <references count="1">
          <reference field="4294967294" count="1" selected="0">
            <x v="6"/>
          </reference>
        </references>
      </pivotArea>
    </chartFormat>
    <chartFormat chart="5" format="25" series="1">
      <pivotArea type="data" outline="0" fieldPosition="0">
        <references count="1">
          <reference field="4294967294" count="1" selected="0">
            <x v="7"/>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 chart="6" format="7" series="1">
      <pivotArea type="data" outline="0" fieldPosition="0">
        <references count="1">
          <reference field="4294967294" count="1" selected="0">
            <x v="7"/>
          </reference>
        </references>
      </pivotArea>
    </chartFormat>
    <chartFormat chart="10" format="232" series="1">
      <pivotArea type="data" outline="0" fieldPosition="0">
        <references count="1">
          <reference field="4294967294" count="1" selected="0">
            <x v="0"/>
          </reference>
        </references>
      </pivotArea>
    </chartFormat>
    <chartFormat chart="10" format="260" series="1">
      <pivotArea type="data" outline="0" fieldPosition="0">
        <references count="1">
          <reference field="4294967294" count="1" selected="0">
            <x v="1"/>
          </reference>
        </references>
      </pivotArea>
    </chartFormat>
    <chartFormat chart="10" format="288" series="1">
      <pivotArea type="data" outline="0" fieldPosition="0">
        <references count="1">
          <reference field="4294967294" count="1" selected="0">
            <x v="2"/>
          </reference>
        </references>
      </pivotArea>
    </chartFormat>
    <chartFormat chart="10" format="316" series="1">
      <pivotArea type="data" outline="0" fieldPosition="0">
        <references count="1">
          <reference field="4294967294" count="1" selected="0">
            <x v="3"/>
          </reference>
        </references>
      </pivotArea>
    </chartFormat>
    <chartFormat chart="10" format="344" series="1">
      <pivotArea type="data" outline="0" fieldPosition="0">
        <references count="1">
          <reference field="4294967294" count="1" selected="0">
            <x v="4"/>
          </reference>
        </references>
      </pivotArea>
    </chartFormat>
    <chartFormat chart="10" format="372" series="1">
      <pivotArea type="data" outline="0" fieldPosition="0">
        <references count="1">
          <reference field="4294967294" count="1" selected="0">
            <x v="5"/>
          </reference>
        </references>
      </pivotArea>
    </chartFormat>
    <chartFormat chart="10" format="400" series="1">
      <pivotArea type="data" outline="0" fieldPosition="0">
        <references count="1">
          <reference field="4294967294" count="1" selected="0">
            <x v="6"/>
          </reference>
        </references>
      </pivotArea>
    </chartFormat>
    <chartFormat chart="10" format="428" series="1">
      <pivotArea type="data" outline="0" fieldPosition="0">
        <references count="1">
          <reference field="4294967294" count="1" selected="0">
            <x v="7"/>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1" format="4" series="1">
      <pivotArea type="data" outline="0" fieldPosition="0">
        <references count="1">
          <reference field="4294967294" count="1" selected="0">
            <x v="4"/>
          </reference>
        </references>
      </pivotArea>
    </chartFormat>
    <chartFormat chart="11" format="5" series="1">
      <pivotArea type="data" outline="0" fieldPosition="0">
        <references count="1">
          <reference field="4294967294" count="1" selected="0">
            <x v="5"/>
          </reference>
        </references>
      </pivotArea>
    </chartFormat>
    <chartFormat chart="11" format="6" series="1">
      <pivotArea type="data" outline="0" fieldPosition="0">
        <references count="1">
          <reference field="4294967294" count="1" selected="0">
            <x v="6"/>
          </reference>
        </references>
      </pivotArea>
    </chartFormat>
    <chartFormat chart="11" format="7" series="1">
      <pivotArea type="data" outline="0" fieldPosition="0">
        <references count="1">
          <reference field="4294967294" count="1" selected="0">
            <x v="7"/>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 chart="13" format="7" series="1">
      <pivotArea type="data" outline="0" fieldPosition="0">
        <references count="1">
          <reference field="4294967294" count="1" selected="0">
            <x v="7"/>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 chart="17" format="7" series="1">
      <pivotArea type="data" outline="0" fieldPosition="0">
        <references count="1">
          <reference field="4294967294" count="1" selected="0">
            <x v="7"/>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18" format="4" series="1">
      <pivotArea type="data" outline="0" fieldPosition="0">
        <references count="1">
          <reference field="4294967294" count="1" selected="0">
            <x v="4"/>
          </reference>
        </references>
      </pivotArea>
    </chartFormat>
    <chartFormat chart="18" format="5" series="1">
      <pivotArea type="data" outline="0" fieldPosition="0">
        <references count="1">
          <reference field="4294967294" count="1" selected="0">
            <x v="5"/>
          </reference>
        </references>
      </pivotArea>
    </chartFormat>
    <chartFormat chart="18" format="6" series="1">
      <pivotArea type="data" outline="0" fieldPosition="0">
        <references count="1">
          <reference field="4294967294" count="1" selected="0">
            <x v="6"/>
          </reference>
        </references>
      </pivotArea>
    </chartFormat>
    <chartFormat chart="18" format="7" series="1">
      <pivotArea type="data" outline="0" fieldPosition="0">
        <references count="1">
          <reference field="4294967294"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1C1E692-59FC-4D86-89BD-F5A5500A775A}"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3">
  <location ref="A8:I34" firstHeaderRow="0"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Fields count="1">
    <field x="-2"/>
  </colFields>
  <colItems count="8">
    <i>
      <x/>
    </i>
    <i i="1">
      <x v="1"/>
    </i>
    <i i="2">
      <x v="2"/>
    </i>
    <i i="3">
      <x v="3"/>
    </i>
    <i i="4">
      <x v="4"/>
    </i>
    <i i="5">
      <x v="5"/>
    </i>
    <i i="6">
      <x v="6"/>
    </i>
    <i i="7">
      <x v="7"/>
    </i>
  </colItems>
  <dataFields count="8">
    <dataField name="KM_BH" fld="3" baseField="1" baseItem="0"/>
    <dataField name="KM_DV" fld="4" baseField="1" baseItem="0"/>
    <dataField name="QC_Online" fld="5" baseField="1" baseItem="0"/>
    <dataField name="Test-drive" fld="6" baseField="1" baseItem="0"/>
    <dataField name="Event." fld="7" baseField="1" baseItem="0"/>
    <dataField name="QC_Thương hiệu" fld="8" baseField="1" baseItem="0"/>
    <dataField name="TTTH_CSR" fld="9" baseField="1" baseItem="0"/>
    <dataField name="QC_Website" fld="10" baseField="1" baseItem="0"/>
  </dataFields>
  <chartFormats count="26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3"/>
          </reference>
        </references>
      </pivotArea>
    </chartFormat>
    <chartFormat chart="3" format="5" series="1">
      <pivotArea type="data" outline="0" fieldPosition="0">
        <references count="1">
          <reference field="4294967294" count="1" selected="0">
            <x v="4"/>
          </reference>
        </references>
      </pivotArea>
    </chartFormat>
    <chartFormat chart="3" format="6" series="1">
      <pivotArea type="data" outline="0" fieldPosition="0">
        <references count="1">
          <reference field="4294967294" count="1" selected="0">
            <x v="5"/>
          </reference>
        </references>
      </pivotArea>
    </chartFormat>
    <chartFormat chart="3" format="7" series="1">
      <pivotArea type="data" outline="0" fieldPosition="0">
        <references count="1">
          <reference field="4294967294" count="1" selected="0">
            <x v="6"/>
          </reference>
        </references>
      </pivotArea>
    </chartFormat>
    <chartFormat chart="3" format="8" series="1">
      <pivotArea type="data" outline="0" fieldPosition="0">
        <references count="1">
          <reference field="4294967294" count="1" selected="0">
            <x v="7"/>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3"/>
          </reference>
        </references>
      </pivotArea>
    </chartFormat>
    <chartFormat chart="5" format="22" series="1">
      <pivotArea type="data" outline="0" fieldPosition="0">
        <references count="1">
          <reference field="4294967294" count="1" selected="0">
            <x v="4"/>
          </reference>
        </references>
      </pivotArea>
    </chartFormat>
    <chartFormat chart="5" format="23" series="1">
      <pivotArea type="data" outline="0" fieldPosition="0">
        <references count="1">
          <reference field="4294967294" count="1" selected="0">
            <x v="5"/>
          </reference>
        </references>
      </pivotArea>
    </chartFormat>
    <chartFormat chart="5" format="24" series="1">
      <pivotArea type="data" outline="0" fieldPosition="0">
        <references count="1">
          <reference field="4294967294" count="1" selected="0">
            <x v="6"/>
          </reference>
        </references>
      </pivotArea>
    </chartFormat>
    <chartFormat chart="5" format="25" series="1">
      <pivotArea type="data" outline="0" fieldPosition="0">
        <references count="1">
          <reference field="4294967294" count="1" selected="0">
            <x v="7"/>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 chart="6" format="7" series="1">
      <pivotArea type="data" outline="0" fieldPosition="0">
        <references count="1">
          <reference field="4294967294" count="1" selected="0">
            <x v="7"/>
          </reference>
        </references>
      </pivotArea>
    </chartFormat>
    <chartFormat chart="10" format="232" series="1">
      <pivotArea type="data" outline="0" fieldPosition="0">
        <references count="1">
          <reference field="4294967294" count="1" selected="0">
            <x v="0"/>
          </reference>
        </references>
      </pivotArea>
    </chartFormat>
    <chartFormat chart="10" format="233">
      <pivotArea type="data" outline="0" fieldPosition="0">
        <references count="2">
          <reference field="4294967294" count="1" selected="0">
            <x v="0"/>
          </reference>
          <reference field="2" count="1" selected="0">
            <x v="0"/>
          </reference>
        </references>
      </pivotArea>
    </chartFormat>
    <chartFormat chart="10" format="234">
      <pivotArea type="data" outline="0" fieldPosition="0">
        <references count="2">
          <reference field="4294967294" count="1" selected="0">
            <x v="0"/>
          </reference>
          <reference field="2" count="1" selected="0">
            <x v="1"/>
          </reference>
        </references>
      </pivotArea>
    </chartFormat>
    <chartFormat chart="10" format="235">
      <pivotArea type="data" outline="0" fieldPosition="0">
        <references count="2">
          <reference field="4294967294" count="1" selected="0">
            <x v="0"/>
          </reference>
          <reference field="2" count="1" selected="0">
            <x v="2"/>
          </reference>
        </references>
      </pivotArea>
    </chartFormat>
    <chartFormat chart="10" format="236">
      <pivotArea type="data" outline="0" fieldPosition="0">
        <references count="2">
          <reference field="4294967294" count="1" selected="0">
            <x v="0"/>
          </reference>
          <reference field="2" count="1" selected="0">
            <x v="3"/>
          </reference>
        </references>
      </pivotArea>
    </chartFormat>
    <chartFormat chart="10" format="237">
      <pivotArea type="data" outline="0" fieldPosition="0">
        <references count="2">
          <reference field="4294967294" count="1" selected="0">
            <x v="0"/>
          </reference>
          <reference field="2" count="1" selected="0">
            <x v="4"/>
          </reference>
        </references>
      </pivotArea>
    </chartFormat>
    <chartFormat chart="10" format="238">
      <pivotArea type="data" outline="0" fieldPosition="0">
        <references count="2">
          <reference field="4294967294" count="1" selected="0">
            <x v="0"/>
          </reference>
          <reference field="2" count="1" selected="0">
            <x v="5"/>
          </reference>
        </references>
      </pivotArea>
    </chartFormat>
    <chartFormat chart="10" format="239">
      <pivotArea type="data" outline="0" fieldPosition="0">
        <references count="2">
          <reference field="4294967294" count="1" selected="0">
            <x v="0"/>
          </reference>
          <reference field="2" count="1" selected="0">
            <x v="6"/>
          </reference>
        </references>
      </pivotArea>
    </chartFormat>
    <chartFormat chart="10" format="240">
      <pivotArea type="data" outline="0" fieldPosition="0">
        <references count="2">
          <reference field="4294967294" count="1" selected="0">
            <x v="0"/>
          </reference>
          <reference field="2" count="1" selected="0">
            <x v="7"/>
          </reference>
        </references>
      </pivotArea>
    </chartFormat>
    <chartFormat chart="10" format="241">
      <pivotArea type="data" outline="0" fieldPosition="0">
        <references count="2">
          <reference field="4294967294" count="1" selected="0">
            <x v="0"/>
          </reference>
          <reference field="2" count="1" selected="0">
            <x v="8"/>
          </reference>
        </references>
      </pivotArea>
    </chartFormat>
    <chartFormat chart="10" format="242">
      <pivotArea type="data" outline="0" fieldPosition="0">
        <references count="2">
          <reference field="4294967294" count="1" selected="0">
            <x v="0"/>
          </reference>
          <reference field="2" count="1" selected="0">
            <x v="9"/>
          </reference>
        </references>
      </pivotArea>
    </chartFormat>
    <chartFormat chart="10" format="243">
      <pivotArea type="data" outline="0" fieldPosition="0">
        <references count="2">
          <reference field="4294967294" count="1" selected="0">
            <x v="0"/>
          </reference>
          <reference field="2" count="1" selected="0">
            <x v="10"/>
          </reference>
        </references>
      </pivotArea>
    </chartFormat>
    <chartFormat chart="10" format="244">
      <pivotArea type="data" outline="0" fieldPosition="0">
        <references count="2">
          <reference field="4294967294" count="1" selected="0">
            <x v="0"/>
          </reference>
          <reference field="2" count="1" selected="0">
            <x v="11"/>
          </reference>
        </references>
      </pivotArea>
    </chartFormat>
    <chartFormat chart="10" format="245">
      <pivotArea type="data" outline="0" fieldPosition="0">
        <references count="2">
          <reference field="4294967294" count="1" selected="0">
            <x v="0"/>
          </reference>
          <reference field="2" count="1" selected="0">
            <x v="12"/>
          </reference>
        </references>
      </pivotArea>
    </chartFormat>
    <chartFormat chart="10" format="246">
      <pivotArea type="data" outline="0" fieldPosition="0">
        <references count="2">
          <reference field="4294967294" count="1" selected="0">
            <x v="0"/>
          </reference>
          <reference field="2" count="1" selected="0">
            <x v="13"/>
          </reference>
        </references>
      </pivotArea>
    </chartFormat>
    <chartFormat chart="10" format="247">
      <pivotArea type="data" outline="0" fieldPosition="0">
        <references count="2">
          <reference field="4294967294" count="1" selected="0">
            <x v="0"/>
          </reference>
          <reference field="2" count="1" selected="0">
            <x v="14"/>
          </reference>
        </references>
      </pivotArea>
    </chartFormat>
    <chartFormat chart="10" format="248">
      <pivotArea type="data" outline="0" fieldPosition="0">
        <references count="2">
          <reference field="4294967294" count="1" selected="0">
            <x v="0"/>
          </reference>
          <reference field="2" count="1" selected="0">
            <x v="15"/>
          </reference>
        </references>
      </pivotArea>
    </chartFormat>
    <chartFormat chart="10" format="249">
      <pivotArea type="data" outline="0" fieldPosition="0">
        <references count="2">
          <reference field="4294967294" count="1" selected="0">
            <x v="0"/>
          </reference>
          <reference field="2" count="1" selected="0">
            <x v="16"/>
          </reference>
        </references>
      </pivotArea>
    </chartFormat>
    <chartFormat chart="10" format="250">
      <pivotArea type="data" outline="0" fieldPosition="0">
        <references count="2">
          <reference field="4294967294" count="1" selected="0">
            <x v="0"/>
          </reference>
          <reference field="2" count="1" selected="0">
            <x v="17"/>
          </reference>
        </references>
      </pivotArea>
    </chartFormat>
    <chartFormat chart="10" format="251">
      <pivotArea type="data" outline="0" fieldPosition="0">
        <references count="2">
          <reference field="4294967294" count="1" selected="0">
            <x v="0"/>
          </reference>
          <reference field="2" count="1" selected="0">
            <x v="18"/>
          </reference>
        </references>
      </pivotArea>
    </chartFormat>
    <chartFormat chart="10" format="252">
      <pivotArea type="data" outline="0" fieldPosition="0">
        <references count="2">
          <reference field="4294967294" count="1" selected="0">
            <x v="0"/>
          </reference>
          <reference field="2" count="1" selected="0">
            <x v="19"/>
          </reference>
        </references>
      </pivotArea>
    </chartFormat>
    <chartFormat chart="10" format="253">
      <pivotArea type="data" outline="0" fieldPosition="0">
        <references count="2">
          <reference field="4294967294" count="1" selected="0">
            <x v="0"/>
          </reference>
          <reference field="2" count="1" selected="0">
            <x v="20"/>
          </reference>
        </references>
      </pivotArea>
    </chartFormat>
    <chartFormat chart="10" format="254">
      <pivotArea type="data" outline="0" fieldPosition="0">
        <references count="2">
          <reference field="4294967294" count="1" selected="0">
            <x v="0"/>
          </reference>
          <reference field="2" count="1" selected="0">
            <x v="21"/>
          </reference>
        </references>
      </pivotArea>
    </chartFormat>
    <chartFormat chart="10" format="255">
      <pivotArea type="data" outline="0" fieldPosition="0">
        <references count="2">
          <reference field="4294967294" count="1" selected="0">
            <x v="0"/>
          </reference>
          <reference field="2" count="1" selected="0">
            <x v="22"/>
          </reference>
        </references>
      </pivotArea>
    </chartFormat>
    <chartFormat chart="10" format="256">
      <pivotArea type="data" outline="0" fieldPosition="0">
        <references count="2">
          <reference field="4294967294" count="1" selected="0">
            <x v="0"/>
          </reference>
          <reference field="2" count="1" selected="0">
            <x v="23"/>
          </reference>
        </references>
      </pivotArea>
    </chartFormat>
    <chartFormat chart="10" format="257">
      <pivotArea type="data" outline="0" fieldPosition="0">
        <references count="2">
          <reference field="4294967294" count="1" selected="0">
            <x v="0"/>
          </reference>
          <reference field="2" count="1" selected="0">
            <x v="24"/>
          </reference>
        </references>
      </pivotArea>
    </chartFormat>
    <chartFormat chart="10" format="258">
      <pivotArea type="data" outline="0" fieldPosition="0">
        <references count="2">
          <reference field="4294967294" count="1" selected="0">
            <x v="0"/>
          </reference>
          <reference field="2" count="1" selected="0">
            <x v="25"/>
          </reference>
        </references>
      </pivotArea>
    </chartFormat>
    <chartFormat chart="10" format="259">
      <pivotArea type="data" outline="0" fieldPosition="0">
        <references count="2">
          <reference field="4294967294" count="1" selected="0">
            <x v="0"/>
          </reference>
          <reference field="2" count="1" selected="0">
            <x v="26"/>
          </reference>
        </references>
      </pivotArea>
    </chartFormat>
    <chartFormat chart="10" format="260" series="1">
      <pivotArea type="data" outline="0" fieldPosition="0">
        <references count="1">
          <reference field="4294967294" count="1" selected="0">
            <x v="1"/>
          </reference>
        </references>
      </pivotArea>
    </chartFormat>
    <chartFormat chart="10" format="261">
      <pivotArea type="data" outline="0" fieldPosition="0">
        <references count="2">
          <reference field="4294967294" count="1" selected="0">
            <x v="1"/>
          </reference>
          <reference field="2" count="1" selected="0">
            <x v="0"/>
          </reference>
        </references>
      </pivotArea>
    </chartFormat>
    <chartFormat chart="10" format="262">
      <pivotArea type="data" outline="0" fieldPosition="0">
        <references count="2">
          <reference field="4294967294" count="1" selected="0">
            <x v="1"/>
          </reference>
          <reference field="2" count="1" selected="0">
            <x v="1"/>
          </reference>
        </references>
      </pivotArea>
    </chartFormat>
    <chartFormat chart="10" format="263">
      <pivotArea type="data" outline="0" fieldPosition="0">
        <references count="2">
          <reference field="4294967294" count="1" selected="0">
            <x v="1"/>
          </reference>
          <reference field="2" count="1" selected="0">
            <x v="2"/>
          </reference>
        </references>
      </pivotArea>
    </chartFormat>
    <chartFormat chart="10" format="264">
      <pivotArea type="data" outline="0" fieldPosition="0">
        <references count="2">
          <reference field="4294967294" count="1" selected="0">
            <x v="1"/>
          </reference>
          <reference field="2" count="1" selected="0">
            <x v="3"/>
          </reference>
        </references>
      </pivotArea>
    </chartFormat>
    <chartFormat chart="10" format="265">
      <pivotArea type="data" outline="0" fieldPosition="0">
        <references count="2">
          <reference field="4294967294" count="1" selected="0">
            <x v="1"/>
          </reference>
          <reference field="2" count="1" selected="0">
            <x v="4"/>
          </reference>
        </references>
      </pivotArea>
    </chartFormat>
    <chartFormat chart="10" format="266">
      <pivotArea type="data" outline="0" fieldPosition="0">
        <references count="2">
          <reference field="4294967294" count="1" selected="0">
            <x v="1"/>
          </reference>
          <reference field="2" count="1" selected="0">
            <x v="5"/>
          </reference>
        </references>
      </pivotArea>
    </chartFormat>
    <chartFormat chart="10" format="267">
      <pivotArea type="data" outline="0" fieldPosition="0">
        <references count="2">
          <reference field="4294967294" count="1" selected="0">
            <x v="1"/>
          </reference>
          <reference field="2" count="1" selected="0">
            <x v="6"/>
          </reference>
        </references>
      </pivotArea>
    </chartFormat>
    <chartFormat chart="10" format="268">
      <pivotArea type="data" outline="0" fieldPosition="0">
        <references count="2">
          <reference field="4294967294" count="1" selected="0">
            <x v="1"/>
          </reference>
          <reference field="2" count="1" selected="0">
            <x v="7"/>
          </reference>
        </references>
      </pivotArea>
    </chartFormat>
    <chartFormat chart="10" format="269">
      <pivotArea type="data" outline="0" fieldPosition="0">
        <references count="2">
          <reference field="4294967294" count="1" selected="0">
            <x v="1"/>
          </reference>
          <reference field="2" count="1" selected="0">
            <x v="8"/>
          </reference>
        </references>
      </pivotArea>
    </chartFormat>
    <chartFormat chart="10" format="270">
      <pivotArea type="data" outline="0" fieldPosition="0">
        <references count="2">
          <reference field="4294967294" count="1" selected="0">
            <x v="1"/>
          </reference>
          <reference field="2" count="1" selected="0">
            <x v="9"/>
          </reference>
        </references>
      </pivotArea>
    </chartFormat>
    <chartFormat chart="10" format="271">
      <pivotArea type="data" outline="0" fieldPosition="0">
        <references count="2">
          <reference field="4294967294" count="1" selected="0">
            <x v="1"/>
          </reference>
          <reference field="2" count="1" selected="0">
            <x v="10"/>
          </reference>
        </references>
      </pivotArea>
    </chartFormat>
    <chartFormat chart="10" format="272">
      <pivotArea type="data" outline="0" fieldPosition="0">
        <references count="2">
          <reference field="4294967294" count="1" selected="0">
            <x v="1"/>
          </reference>
          <reference field="2" count="1" selected="0">
            <x v="11"/>
          </reference>
        </references>
      </pivotArea>
    </chartFormat>
    <chartFormat chart="10" format="273">
      <pivotArea type="data" outline="0" fieldPosition="0">
        <references count="2">
          <reference field="4294967294" count="1" selected="0">
            <x v="1"/>
          </reference>
          <reference field="2" count="1" selected="0">
            <x v="12"/>
          </reference>
        </references>
      </pivotArea>
    </chartFormat>
    <chartFormat chart="10" format="274">
      <pivotArea type="data" outline="0" fieldPosition="0">
        <references count="2">
          <reference field="4294967294" count="1" selected="0">
            <x v="1"/>
          </reference>
          <reference field="2" count="1" selected="0">
            <x v="13"/>
          </reference>
        </references>
      </pivotArea>
    </chartFormat>
    <chartFormat chart="10" format="275">
      <pivotArea type="data" outline="0" fieldPosition="0">
        <references count="2">
          <reference field="4294967294" count="1" selected="0">
            <x v="1"/>
          </reference>
          <reference field="2" count="1" selected="0">
            <x v="14"/>
          </reference>
        </references>
      </pivotArea>
    </chartFormat>
    <chartFormat chart="10" format="276">
      <pivotArea type="data" outline="0" fieldPosition="0">
        <references count="2">
          <reference field="4294967294" count="1" selected="0">
            <x v="1"/>
          </reference>
          <reference field="2" count="1" selected="0">
            <x v="15"/>
          </reference>
        </references>
      </pivotArea>
    </chartFormat>
    <chartFormat chart="10" format="277">
      <pivotArea type="data" outline="0" fieldPosition="0">
        <references count="2">
          <reference field="4294967294" count="1" selected="0">
            <x v="1"/>
          </reference>
          <reference field="2" count="1" selected="0">
            <x v="16"/>
          </reference>
        </references>
      </pivotArea>
    </chartFormat>
    <chartFormat chart="10" format="278">
      <pivotArea type="data" outline="0" fieldPosition="0">
        <references count="2">
          <reference field="4294967294" count="1" selected="0">
            <x v="1"/>
          </reference>
          <reference field="2" count="1" selected="0">
            <x v="17"/>
          </reference>
        </references>
      </pivotArea>
    </chartFormat>
    <chartFormat chart="10" format="279">
      <pivotArea type="data" outline="0" fieldPosition="0">
        <references count="2">
          <reference field="4294967294" count="1" selected="0">
            <x v="1"/>
          </reference>
          <reference field="2" count="1" selected="0">
            <x v="18"/>
          </reference>
        </references>
      </pivotArea>
    </chartFormat>
    <chartFormat chart="10" format="280">
      <pivotArea type="data" outline="0" fieldPosition="0">
        <references count="2">
          <reference field="4294967294" count="1" selected="0">
            <x v="1"/>
          </reference>
          <reference field="2" count="1" selected="0">
            <x v="19"/>
          </reference>
        </references>
      </pivotArea>
    </chartFormat>
    <chartFormat chart="10" format="281">
      <pivotArea type="data" outline="0" fieldPosition="0">
        <references count="2">
          <reference field="4294967294" count="1" selected="0">
            <x v="1"/>
          </reference>
          <reference field="2" count="1" selected="0">
            <x v="20"/>
          </reference>
        </references>
      </pivotArea>
    </chartFormat>
    <chartFormat chart="10" format="282">
      <pivotArea type="data" outline="0" fieldPosition="0">
        <references count="2">
          <reference field="4294967294" count="1" selected="0">
            <x v="1"/>
          </reference>
          <reference field="2" count="1" selected="0">
            <x v="21"/>
          </reference>
        </references>
      </pivotArea>
    </chartFormat>
    <chartFormat chart="10" format="283">
      <pivotArea type="data" outline="0" fieldPosition="0">
        <references count="2">
          <reference field="4294967294" count="1" selected="0">
            <x v="1"/>
          </reference>
          <reference field="2" count="1" selected="0">
            <x v="22"/>
          </reference>
        </references>
      </pivotArea>
    </chartFormat>
    <chartFormat chart="10" format="284">
      <pivotArea type="data" outline="0" fieldPosition="0">
        <references count="2">
          <reference field="4294967294" count="1" selected="0">
            <x v="1"/>
          </reference>
          <reference field="2" count="1" selected="0">
            <x v="23"/>
          </reference>
        </references>
      </pivotArea>
    </chartFormat>
    <chartFormat chart="10" format="285">
      <pivotArea type="data" outline="0" fieldPosition="0">
        <references count="2">
          <reference field="4294967294" count="1" selected="0">
            <x v="1"/>
          </reference>
          <reference field="2" count="1" selected="0">
            <x v="24"/>
          </reference>
        </references>
      </pivotArea>
    </chartFormat>
    <chartFormat chart="10" format="286">
      <pivotArea type="data" outline="0" fieldPosition="0">
        <references count="2">
          <reference field="4294967294" count="1" selected="0">
            <x v="1"/>
          </reference>
          <reference field="2" count="1" selected="0">
            <x v="25"/>
          </reference>
        </references>
      </pivotArea>
    </chartFormat>
    <chartFormat chart="10" format="287">
      <pivotArea type="data" outline="0" fieldPosition="0">
        <references count="2">
          <reference field="4294967294" count="1" selected="0">
            <x v="1"/>
          </reference>
          <reference field="2" count="1" selected="0">
            <x v="26"/>
          </reference>
        </references>
      </pivotArea>
    </chartFormat>
    <chartFormat chart="10" format="288" series="1">
      <pivotArea type="data" outline="0" fieldPosition="0">
        <references count="1">
          <reference field="4294967294" count="1" selected="0">
            <x v="2"/>
          </reference>
        </references>
      </pivotArea>
    </chartFormat>
    <chartFormat chart="10" format="289">
      <pivotArea type="data" outline="0" fieldPosition="0">
        <references count="2">
          <reference field="4294967294" count="1" selected="0">
            <x v="2"/>
          </reference>
          <reference field="2" count="1" selected="0">
            <x v="0"/>
          </reference>
        </references>
      </pivotArea>
    </chartFormat>
    <chartFormat chart="10" format="290">
      <pivotArea type="data" outline="0" fieldPosition="0">
        <references count="2">
          <reference field="4294967294" count="1" selected="0">
            <x v="2"/>
          </reference>
          <reference field="2" count="1" selected="0">
            <x v="1"/>
          </reference>
        </references>
      </pivotArea>
    </chartFormat>
    <chartFormat chart="10" format="291">
      <pivotArea type="data" outline="0" fieldPosition="0">
        <references count="2">
          <reference field="4294967294" count="1" selected="0">
            <x v="2"/>
          </reference>
          <reference field="2" count="1" selected="0">
            <x v="2"/>
          </reference>
        </references>
      </pivotArea>
    </chartFormat>
    <chartFormat chart="10" format="292">
      <pivotArea type="data" outline="0" fieldPosition="0">
        <references count="2">
          <reference field="4294967294" count="1" selected="0">
            <x v="2"/>
          </reference>
          <reference field="2" count="1" selected="0">
            <x v="3"/>
          </reference>
        </references>
      </pivotArea>
    </chartFormat>
    <chartFormat chart="10" format="293">
      <pivotArea type="data" outline="0" fieldPosition="0">
        <references count="2">
          <reference field="4294967294" count="1" selected="0">
            <x v="2"/>
          </reference>
          <reference field="2" count="1" selected="0">
            <x v="4"/>
          </reference>
        </references>
      </pivotArea>
    </chartFormat>
    <chartFormat chart="10" format="294">
      <pivotArea type="data" outline="0" fieldPosition="0">
        <references count="2">
          <reference field="4294967294" count="1" selected="0">
            <x v="2"/>
          </reference>
          <reference field="2" count="1" selected="0">
            <x v="5"/>
          </reference>
        </references>
      </pivotArea>
    </chartFormat>
    <chartFormat chart="10" format="295">
      <pivotArea type="data" outline="0" fieldPosition="0">
        <references count="2">
          <reference field="4294967294" count="1" selected="0">
            <x v="2"/>
          </reference>
          <reference field="2" count="1" selected="0">
            <x v="6"/>
          </reference>
        </references>
      </pivotArea>
    </chartFormat>
    <chartFormat chart="10" format="296">
      <pivotArea type="data" outline="0" fieldPosition="0">
        <references count="2">
          <reference field="4294967294" count="1" selected="0">
            <x v="2"/>
          </reference>
          <reference field="2" count="1" selected="0">
            <x v="7"/>
          </reference>
        </references>
      </pivotArea>
    </chartFormat>
    <chartFormat chart="10" format="297">
      <pivotArea type="data" outline="0" fieldPosition="0">
        <references count="2">
          <reference field="4294967294" count="1" selected="0">
            <x v="2"/>
          </reference>
          <reference field="2" count="1" selected="0">
            <x v="8"/>
          </reference>
        </references>
      </pivotArea>
    </chartFormat>
    <chartFormat chart="10" format="298">
      <pivotArea type="data" outline="0" fieldPosition="0">
        <references count="2">
          <reference field="4294967294" count="1" selected="0">
            <x v="2"/>
          </reference>
          <reference field="2" count="1" selected="0">
            <x v="9"/>
          </reference>
        </references>
      </pivotArea>
    </chartFormat>
    <chartFormat chart="10" format="299">
      <pivotArea type="data" outline="0" fieldPosition="0">
        <references count="2">
          <reference field="4294967294" count="1" selected="0">
            <x v="2"/>
          </reference>
          <reference field="2" count="1" selected="0">
            <x v="10"/>
          </reference>
        </references>
      </pivotArea>
    </chartFormat>
    <chartFormat chart="10" format="300">
      <pivotArea type="data" outline="0" fieldPosition="0">
        <references count="2">
          <reference field="4294967294" count="1" selected="0">
            <x v="2"/>
          </reference>
          <reference field="2" count="1" selected="0">
            <x v="11"/>
          </reference>
        </references>
      </pivotArea>
    </chartFormat>
    <chartFormat chart="10" format="301">
      <pivotArea type="data" outline="0" fieldPosition="0">
        <references count="2">
          <reference field="4294967294" count="1" selected="0">
            <x v="2"/>
          </reference>
          <reference field="2" count="1" selected="0">
            <x v="12"/>
          </reference>
        </references>
      </pivotArea>
    </chartFormat>
    <chartFormat chart="10" format="302">
      <pivotArea type="data" outline="0" fieldPosition="0">
        <references count="2">
          <reference field="4294967294" count="1" selected="0">
            <x v="2"/>
          </reference>
          <reference field="2" count="1" selected="0">
            <x v="13"/>
          </reference>
        </references>
      </pivotArea>
    </chartFormat>
    <chartFormat chart="10" format="303">
      <pivotArea type="data" outline="0" fieldPosition="0">
        <references count="2">
          <reference field="4294967294" count="1" selected="0">
            <x v="2"/>
          </reference>
          <reference field="2" count="1" selected="0">
            <x v="14"/>
          </reference>
        </references>
      </pivotArea>
    </chartFormat>
    <chartFormat chart="10" format="304">
      <pivotArea type="data" outline="0" fieldPosition="0">
        <references count="2">
          <reference field="4294967294" count="1" selected="0">
            <x v="2"/>
          </reference>
          <reference field="2" count="1" selected="0">
            <x v="15"/>
          </reference>
        </references>
      </pivotArea>
    </chartFormat>
    <chartFormat chart="10" format="305">
      <pivotArea type="data" outline="0" fieldPosition="0">
        <references count="2">
          <reference field="4294967294" count="1" selected="0">
            <x v="2"/>
          </reference>
          <reference field="2" count="1" selected="0">
            <x v="16"/>
          </reference>
        </references>
      </pivotArea>
    </chartFormat>
    <chartFormat chart="10" format="306">
      <pivotArea type="data" outline="0" fieldPosition="0">
        <references count="2">
          <reference field="4294967294" count="1" selected="0">
            <x v="2"/>
          </reference>
          <reference field="2" count="1" selected="0">
            <x v="17"/>
          </reference>
        </references>
      </pivotArea>
    </chartFormat>
    <chartFormat chart="10" format="307">
      <pivotArea type="data" outline="0" fieldPosition="0">
        <references count="2">
          <reference field="4294967294" count="1" selected="0">
            <x v="2"/>
          </reference>
          <reference field="2" count="1" selected="0">
            <x v="18"/>
          </reference>
        </references>
      </pivotArea>
    </chartFormat>
    <chartFormat chart="10" format="308">
      <pivotArea type="data" outline="0" fieldPosition="0">
        <references count="2">
          <reference field="4294967294" count="1" selected="0">
            <x v="2"/>
          </reference>
          <reference field="2" count="1" selected="0">
            <x v="19"/>
          </reference>
        </references>
      </pivotArea>
    </chartFormat>
    <chartFormat chart="10" format="309">
      <pivotArea type="data" outline="0" fieldPosition="0">
        <references count="2">
          <reference field="4294967294" count="1" selected="0">
            <x v="2"/>
          </reference>
          <reference field="2" count="1" selected="0">
            <x v="20"/>
          </reference>
        </references>
      </pivotArea>
    </chartFormat>
    <chartFormat chart="10" format="310">
      <pivotArea type="data" outline="0" fieldPosition="0">
        <references count="2">
          <reference field="4294967294" count="1" selected="0">
            <x v="2"/>
          </reference>
          <reference field="2" count="1" selected="0">
            <x v="21"/>
          </reference>
        </references>
      </pivotArea>
    </chartFormat>
    <chartFormat chart="10" format="311">
      <pivotArea type="data" outline="0" fieldPosition="0">
        <references count="2">
          <reference field="4294967294" count="1" selected="0">
            <x v="2"/>
          </reference>
          <reference field="2" count="1" selected="0">
            <x v="22"/>
          </reference>
        </references>
      </pivotArea>
    </chartFormat>
    <chartFormat chart="10" format="312">
      <pivotArea type="data" outline="0" fieldPosition="0">
        <references count="2">
          <reference field="4294967294" count="1" selected="0">
            <x v="2"/>
          </reference>
          <reference field="2" count="1" selected="0">
            <x v="23"/>
          </reference>
        </references>
      </pivotArea>
    </chartFormat>
    <chartFormat chart="10" format="313">
      <pivotArea type="data" outline="0" fieldPosition="0">
        <references count="2">
          <reference field="4294967294" count="1" selected="0">
            <x v="2"/>
          </reference>
          <reference field="2" count="1" selected="0">
            <x v="24"/>
          </reference>
        </references>
      </pivotArea>
    </chartFormat>
    <chartFormat chart="10" format="314">
      <pivotArea type="data" outline="0" fieldPosition="0">
        <references count="2">
          <reference field="4294967294" count="1" selected="0">
            <x v="2"/>
          </reference>
          <reference field="2" count="1" selected="0">
            <x v="25"/>
          </reference>
        </references>
      </pivotArea>
    </chartFormat>
    <chartFormat chart="10" format="315">
      <pivotArea type="data" outline="0" fieldPosition="0">
        <references count="2">
          <reference field="4294967294" count="1" selected="0">
            <x v="2"/>
          </reference>
          <reference field="2" count="1" selected="0">
            <x v="26"/>
          </reference>
        </references>
      </pivotArea>
    </chartFormat>
    <chartFormat chart="10" format="316" series="1">
      <pivotArea type="data" outline="0" fieldPosition="0">
        <references count="1">
          <reference field="4294967294" count="1" selected="0">
            <x v="3"/>
          </reference>
        </references>
      </pivotArea>
    </chartFormat>
    <chartFormat chart="10" format="317">
      <pivotArea type="data" outline="0" fieldPosition="0">
        <references count="2">
          <reference field="4294967294" count="1" selected="0">
            <x v="3"/>
          </reference>
          <reference field="2" count="1" selected="0">
            <x v="0"/>
          </reference>
        </references>
      </pivotArea>
    </chartFormat>
    <chartFormat chart="10" format="318">
      <pivotArea type="data" outline="0" fieldPosition="0">
        <references count="2">
          <reference field="4294967294" count="1" selected="0">
            <x v="3"/>
          </reference>
          <reference field="2" count="1" selected="0">
            <x v="1"/>
          </reference>
        </references>
      </pivotArea>
    </chartFormat>
    <chartFormat chart="10" format="319">
      <pivotArea type="data" outline="0" fieldPosition="0">
        <references count="2">
          <reference field="4294967294" count="1" selected="0">
            <x v="3"/>
          </reference>
          <reference field="2" count="1" selected="0">
            <x v="2"/>
          </reference>
        </references>
      </pivotArea>
    </chartFormat>
    <chartFormat chart="10" format="320">
      <pivotArea type="data" outline="0" fieldPosition="0">
        <references count="2">
          <reference field="4294967294" count="1" selected="0">
            <x v="3"/>
          </reference>
          <reference field="2" count="1" selected="0">
            <x v="3"/>
          </reference>
        </references>
      </pivotArea>
    </chartFormat>
    <chartFormat chart="10" format="321">
      <pivotArea type="data" outline="0" fieldPosition="0">
        <references count="2">
          <reference field="4294967294" count="1" selected="0">
            <x v="3"/>
          </reference>
          <reference field="2" count="1" selected="0">
            <x v="4"/>
          </reference>
        </references>
      </pivotArea>
    </chartFormat>
    <chartFormat chart="10" format="322">
      <pivotArea type="data" outline="0" fieldPosition="0">
        <references count="2">
          <reference field="4294967294" count="1" selected="0">
            <x v="3"/>
          </reference>
          <reference field="2" count="1" selected="0">
            <x v="5"/>
          </reference>
        </references>
      </pivotArea>
    </chartFormat>
    <chartFormat chart="10" format="323">
      <pivotArea type="data" outline="0" fieldPosition="0">
        <references count="2">
          <reference field="4294967294" count="1" selected="0">
            <x v="3"/>
          </reference>
          <reference field="2" count="1" selected="0">
            <x v="6"/>
          </reference>
        </references>
      </pivotArea>
    </chartFormat>
    <chartFormat chart="10" format="324">
      <pivotArea type="data" outline="0" fieldPosition="0">
        <references count="2">
          <reference field="4294967294" count="1" selected="0">
            <x v="3"/>
          </reference>
          <reference field="2" count="1" selected="0">
            <x v="7"/>
          </reference>
        </references>
      </pivotArea>
    </chartFormat>
    <chartFormat chart="10" format="325">
      <pivotArea type="data" outline="0" fieldPosition="0">
        <references count="2">
          <reference field="4294967294" count="1" selected="0">
            <x v="3"/>
          </reference>
          <reference field="2" count="1" selected="0">
            <x v="8"/>
          </reference>
        </references>
      </pivotArea>
    </chartFormat>
    <chartFormat chart="10" format="326">
      <pivotArea type="data" outline="0" fieldPosition="0">
        <references count="2">
          <reference field="4294967294" count="1" selected="0">
            <x v="3"/>
          </reference>
          <reference field="2" count="1" selected="0">
            <x v="9"/>
          </reference>
        </references>
      </pivotArea>
    </chartFormat>
    <chartFormat chart="10" format="327">
      <pivotArea type="data" outline="0" fieldPosition="0">
        <references count="2">
          <reference field="4294967294" count="1" selected="0">
            <x v="3"/>
          </reference>
          <reference field="2" count="1" selected="0">
            <x v="10"/>
          </reference>
        </references>
      </pivotArea>
    </chartFormat>
    <chartFormat chart="10" format="328">
      <pivotArea type="data" outline="0" fieldPosition="0">
        <references count="2">
          <reference field="4294967294" count="1" selected="0">
            <x v="3"/>
          </reference>
          <reference field="2" count="1" selected="0">
            <x v="11"/>
          </reference>
        </references>
      </pivotArea>
    </chartFormat>
    <chartFormat chart="10" format="329">
      <pivotArea type="data" outline="0" fieldPosition="0">
        <references count="2">
          <reference field="4294967294" count="1" selected="0">
            <x v="3"/>
          </reference>
          <reference field="2" count="1" selected="0">
            <x v="12"/>
          </reference>
        </references>
      </pivotArea>
    </chartFormat>
    <chartFormat chart="10" format="330">
      <pivotArea type="data" outline="0" fieldPosition="0">
        <references count="2">
          <reference field="4294967294" count="1" selected="0">
            <x v="3"/>
          </reference>
          <reference field="2" count="1" selected="0">
            <x v="13"/>
          </reference>
        </references>
      </pivotArea>
    </chartFormat>
    <chartFormat chart="10" format="331">
      <pivotArea type="data" outline="0" fieldPosition="0">
        <references count="2">
          <reference field="4294967294" count="1" selected="0">
            <x v="3"/>
          </reference>
          <reference field="2" count="1" selected="0">
            <x v="14"/>
          </reference>
        </references>
      </pivotArea>
    </chartFormat>
    <chartFormat chart="10" format="332">
      <pivotArea type="data" outline="0" fieldPosition="0">
        <references count="2">
          <reference field="4294967294" count="1" selected="0">
            <x v="3"/>
          </reference>
          <reference field="2" count="1" selected="0">
            <x v="15"/>
          </reference>
        </references>
      </pivotArea>
    </chartFormat>
    <chartFormat chart="10" format="333">
      <pivotArea type="data" outline="0" fieldPosition="0">
        <references count="2">
          <reference field="4294967294" count="1" selected="0">
            <x v="3"/>
          </reference>
          <reference field="2" count="1" selected="0">
            <x v="16"/>
          </reference>
        </references>
      </pivotArea>
    </chartFormat>
    <chartFormat chart="10" format="334">
      <pivotArea type="data" outline="0" fieldPosition="0">
        <references count="2">
          <reference field="4294967294" count="1" selected="0">
            <x v="3"/>
          </reference>
          <reference field="2" count="1" selected="0">
            <x v="17"/>
          </reference>
        </references>
      </pivotArea>
    </chartFormat>
    <chartFormat chart="10" format="335">
      <pivotArea type="data" outline="0" fieldPosition="0">
        <references count="2">
          <reference field="4294967294" count="1" selected="0">
            <x v="3"/>
          </reference>
          <reference field="2" count="1" selected="0">
            <x v="18"/>
          </reference>
        </references>
      </pivotArea>
    </chartFormat>
    <chartFormat chart="10" format="336">
      <pivotArea type="data" outline="0" fieldPosition="0">
        <references count="2">
          <reference field="4294967294" count="1" selected="0">
            <x v="3"/>
          </reference>
          <reference field="2" count="1" selected="0">
            <x v="19"/>
          </reference>
        </references>
      </pivotArea>
    </chartFormat>
    <chartFormat chart="10" format="337">
      <pivotArea type="data" outline="0" fieldPosition="0">
        <references count="2">
          <reference field="4294967294" count="1" selected="0">
            <x v="3"/>
          </reference>
          <reference field="2" count="1" selected="0">
            <x v="20"/>
          </reference>
        </references>
      </pivotArea>
    </chartFormat>
    <chartFormat chart="10" format="338">
      <pivotArea type="data" outline="0" fieldPosition="0">
        <references count="2">
          <reference field="4294967294" count="1" selected="0">
            <x v="3"/>
          </reference>
          <reference field="2" count="1" selected="0">
            <x v="21"/>
          </reference>
        </references>
      </pivotArea>
    </chartFormat>
    <chartFormat chart="10" format="339">
      <pivotArea type="data" outline="0" fieldPosition="0">
        <references count="2">
          <reference field="4294967294" count="1" selected="0">
            <x v="3"/>
          </reference>
          <reference field="2" count="1" selected="0">
            <x v="22"/>
          </reference>
        </references>
      </pivotArea>
    </chartFormat>
    <chartFormat chart="10" format="340">
      <pivotArea type="data" outline="0" fieldPosition="0">
        <references count="2">
          <reference field="4294967294" count="1" selected="0">
            <x v="3"/>
          </reference>
          <reference field="2" count="1" selected="0">
            <x v="23"/>
          </reference>
        </references>
      </pivotArea>
    </chartFormat>
    <chartFormat chart="10" format="341">
      <pivotArea type="data" outline="0" fieldPosition="0">
        <references count="2">
          <reference field="4294967294" count="1" selected="0">
            <x v="3"/>
          </reference>
          <reference field="2" count="1" selected="0">
            <x v="24"/>
          </reference>
        </references>
      </pivotArea>
    </chartFormat>
    <chartFormat chart="10" format="342">
      <pivotArea type="data" outline="0" fieldPosition="0">
        <references count="2">
          <reference field="4294967294" count="1" selected="0">
            <x v="3"/>
          </reference>
          <reference field="2" count="1" selected="0">
            <x v="25"/>
          </reference>
        </references>
      </pivotArea>
    </chartFormat>
    <chartFormat chart="10" format="343">
      <pivotArea type="data" outline="0" fieldPosition="0">
        <references count="2">
          <reference field="4294967294" count="1" selected="0">
            <x v="3"/>
          </reference>
          <reference field="2" count="1" selected="0">
            <x v="26"/>
          </reference>
        </references>
      </pivotArea>
    </chartFormat>
    <chartFormat chart="10" format="344" series="1">
      <pivotArea type="data" outline="0" fieldPosition="0">
        <references count="1">
          <reference field="4294967294" count="1" selected="0">
            <x v="4"/>
          </reference>
        </references>
      </pivotArea>
    </chartFormat>
    <chartFormat chart="10" format="345">
      <pivotArea type="data" outline="0" fieldPosition="0">
        <references count="2">
          <reference field="4294967294" count="1" selected="0">
            <x v="4"/>
          </reference>
          <reference field="2" count="1" selected="0">
            <x v="0"/>
          </reference>
        </references>
      </pivotArea>
    </chartFormat>
    <chartFormat chart="10" format="346">
      <pivotArea type="data" outline="0" fieldPosition="0">
        <references count="2">
          <reference field="4294967294" count="1" selected="0">
            <x v="4"/>
          </reference>
          <reference field="2" count="1" selected="0">
            <x v="1"/>
          </reference>
        </references>
      </pivotArea>
    </chartFormat>
    <chartFormat chart="10" format="347">
      <pivotArea type="data" outline="0" fieldPosition="0">
        <references count="2">
          <reference field="4294967294" count="1" selected="0">
            <x v="4"/>
          </reference>
          <reference field="2" count="1" selected="0">
            <x v="2"/>
          </reference>
        </references>
      </pivotArea>
    </chartFormat>
    <chartFormat chart="10" format="348">
      <pivotArea type="data" outline="0" fieldPosition="0">
        <references count="2">
          <reference field="4294967294" count="1" selected="0">
            <x v="4"/>
          </reference>
          <reference field="2" count="1" selected="0">
            <x v="3"/>
          </reference>
        </references>
      </pivotArea>
    </chartFormat>
    <chartFormat chart="10" format="349">
      <pivotArea type="data" outline="0" fieldPosition="0">
        <references count="2">
          <reference field="4294967294" count="1" selected="0">
            <x v="4"/>
          </reference>
          <reference field="2" count="1" selected="0">
            <x v="4"/>
          </reference>
        </references>
      </pivotArea>
    </chartFormat>
    <chartFormat chart="10" format="350">
      <pivotArea type="data" outline="0" fieldPosition="0">
        <references count="2">
          <reference field="4294967294" count="1" selected="0">
            <x v="4"/>
          </reference>
          <reference field="2" count="1" selected="0">
            <x v="5"/>
          </reference>
        </references>
      </pivotArea>
    </chartFormat>
    <chartFormat chart="10" format="351">
      <pivotArea type="data" outline="0" fieldPosition="0">
        <references count="2">
          <reference field="4294967294" count="1" selected="0">
            <x v="4"/>
          </reference>
          <reference field="2" count="1" selected="0">
            <x v="6"/>
          </reference>
        </references>
      </pivotArea>
    </chartFormat>
    <chartFormat chart="10" format="352">
      <pivotArea type="data" outline="0" fieldPosition="0">
        <references count="2">
          <reference field="4294967294" count="1" selected="0">
            <x v="4"/>
          </reference>
          <reference field="2" count="1" selected="0">
            <x v="7"/>
          </reference>
        </references>
      </pivotArea>
    </chartFormat>
    <chartFormat chart="10" format="353">
      <pivotArea type="data" outline="0" fieldPosition="0">
        <references count="2">
          <reference field="4294967294" count="1" selected="0">
            <x v="4"/>
          </reference>
          <reference field="2" count="1" selected="0">
            <x v="8"/>
          </reference>
        </references>
      </pivotArea>
    </chartFormat>
    <chartFormat chart="10" format="354">
      <pivotArea type="data" outline="0" fieldPosition="0">
        <references count="2">
          <reference field="4294967294" count="1" selected="0">
            <x v="4"/>
          </reference>
          <reference field="2" count="1" selected="0">
            <x v="9"/>
          </reference>
        </references>
      </pivotArea>
    </chartFormat>
    <chartFormat chart="10" format="355">
      <pivotArea type="data" outline="0" fieldPosition="0">
        <references count="2">
          <reference field="4294967294" count="1" selected="0">
            <x v="4"/>
          </reference>
          <reference field="2" count="1" selected="0">
            <x v="10"/>
          </reference>
        </references>
      </pivotArea>
    </chartFormat>
    <chartFormat chart="10" format="356">
      <pivotArea type="data" outline="0" fieldPosition="0">
        <references count="2">
          <reference field="4294967294" count="1" selected="0">
            <x v="4"/>
          </reference>
          <reference field="2" count="1" selected="0">
            <x v="11"/>
          </reference>
        </references>
      </pivotArea>
    </chartFormat>
    <chartFormat chart="10" format="357">
      <pivotArea type="data" outline="0" fieldPosition="0">
        <references count="2">
          <reference field="4294967294" count="1" selected="0">
            <x v="4"/>
          </reference>
          <reference field="2" count="1" selected="0">
            <x v="12"/>
          </reference>
        </references>
      </pivotArea>
    </chartFormat>
    <chartFormat chart="10" format="358">
      <pivotArea type="data" outline="0" fieldPosition="0">
        <references count="2">
          <reference field="4294967294" count="1" selected="0">
            <x v="4"/>
          </reference>
          <reference field="2" count="1" selected="0">
            <x v="13"/>
          </reference>
        </references>
      </pivotArea>
    </chartFormat>
    <chartFormat chart="10" format="359">
      <pivotArea type="data" outline="0" fieldPosition="0">
        <references count="2">
          <reference field="4294967294" count="1" selected="0">
            <x v="4"/>
          </reference>
          <reference field="2" count="1" selected="0">
            <x v="14"/>
          </reference>
        </references>
      </pivotArea>
    </chartFormat>
    <chartFormat chart="10" format="360">
      <pivotArea type="data" outline="0" fieldPosition="0">
        <references count="2">
          <reference field="4294967294" count="1" selected="0">
            <x v="4"/>
          </reference>
          <reference field="2" count="1" selected="0">
            <x v="15"/>
          </reference>
        </references>
      </pivotArea>
    </chartFormat>
    <chartFormat chart="10" format="361">
      <pivotArea type="data" outline="0" fieldPosition="0">
        <references count="2">
          <reference field="4294967294" count="1" selected="0">
            <x v="4"/>
          </reference>
          <reference field="2" count="1" selected="0">
            <x v="16"/>
          </reference>
        </references>
      </pivotArea>
    </chartFormat>
    <chartFormat chart="10" format="362">
      <pivotArea type="data" outline="0" fieldPosition="0">
        <references count="2">
          <reference field="4294967294" count="1" selected="0">
            <x v="4"/>
          </reference>
          <reference field="2" count="1" selected="0">
            <x v="17"/>
          </reference>
        </references>
      </pivotArea>
    </chartFormat>
    <chartFormat chart="10" format="363">
      <pivotArea type="data" outline="0" fieldPosition="0">
        <references count="2">
          <reference field="4294967294" count="1" selected="0">
            <x v="4"/>
          </reference>
          <reference field="2" count="1" selected="0">
            <x v="18"/>
          </reference>
        </references>
      </pivotArea>
    </chartFormat>
    <chartFormat chart="10" format="364">
      <pivotArea type="data" outline="0" fieldPosition="0">
        <references count="2">
          <reference field="4294967294" count="1" selected="0">
            <x v="4"/>
          </reference>
          <reference field="2" count="1" selected="0">
            <x v="19"/>
          </reference>
        </references>
      </pivotArea>
    </chartFormat>
    <chartFormat chart="10" format="365">
      <pivotArea type="data" outline="0" fieldPosition="0">
        <references count="2">
          <reference field="4294967294" count="1" selected="0">
            <x v="4"/>
          </reference>
          <reference field="2" count="1" selected="0">
            <x v="20"/>
          </reference>
        </references>
      </pivotArea>
    </chartFormat>
    <chartFormat chart="10" format="366">
      <pivotArea type="data" outline="0" fieldPosition="0">
        <references count="2">
          <reference field="4294967294" count="1" selected="0">
            <x v="4"/>
          </reference>
          <reference field="2" count="1" selected="0">
            <x v="21"/>
          </reference>
        </references>
      </pivotArea>
    </chartFormat>
    <chartFormat chart="10" format="367">
      <pivotArea type="data" outline="0" fieldPosition="0">
        <references count="2">
          <reference field="4294967294" count="1" selected="0">
            <x v="4"/>
          </reference>
          <reference field="2" count="1" selected="0">
            <x v="22"/>
          </reference>
        </references>
      </pivotArea>
    </chartFormat>
    <chartFormat chart="10" format="368">
      <pivotArea type="data" outline="0" fieldPosition="0">
        <references count="2">
          <reference field="4294967294" count="1" selected="0">
            <x v="4"/>
          </reference>
          <reference field="2" count="1" selected="0">
            <x v="23"/>
          </reference>
        </references>
      </pivotArea>
    </chartFormat>
    <chartFormat chart="10" format="369">
      <pivotArea type="data" outline="0" fieldPosition="0">
        <references count="2">
          <reference field="4294967294" count="1" selected="0">
            <x v="4"/>
          </reference>
          <reference field="2" count="1" selected="0">
            <x v="24"/>
          </reference>
        </references>
      </pivotArea>
    </chartFormat>
    <chartFormat chart="10" format="370">
      <pivotArea type="data" outline="0" fieldPosition="0">
        <references count="2">
          <reference field="4294967294" count="1" selected="0">
            <x v="4"/>
          </reference>
          <reference field="2" count="1" selected="0">
            <x v="25"/>
          </reference>
        </references>
      </pivotArea>
    </chartFormat>
    <chartFormat chart="10" format="371">
      <pivotArea type="data" outline="0" fieldPosition="0">
        <references count="2">
          <reference field="4294967294" count="1" selected="0">
            <x v="4"/>
          </reference>
          <reference field="2" count="1" selected="0">
            <x v="26"/>
          </reference>
        </references>
      </pivotArea>
    </chartFormat>
    <chartFormat chart="10" format="372" series="1">
      <pivotArea type="data" outline="0" fieldPosition="0">
        <references count="1">
          <reference field="4294967294" count="1" selected="0">
            <x v="5"/>
          </reference>
        </references>
      </pivotArea>
    </chartFormat>
    <chartFormat chart="10" format="373">
      <pivotArea type="data" outline="0" fieldPosition="0">
        <references count="2">
          <reference field="4294967294" count="1" selected="0">
            <x v="5"/>
          </reference>
          <reference field="2" count="1" selected="0">
            <x v="0"/>
          </reference>
        </references>
      </pivotArea>
    </chartFormat>
    <chartFormat chart="10" format="374">
      <pivotArea type="data" outline="0" fieldPosition="0">
        <references count="2">
          <reference field="4294967294" count="1" selected="0">
            <x v="5"/>
          </reference>
          <reference field="2" count="1" selected="0">
            <x v="1"/>
          </reference>
        </references>
      </pivotArea>
    </chartFormat>
    <chartFormat chart="10" format="375">
      <pivotArea type="data" outline="0" fieldPosition="0">
        <references count="2">
          <reference field="4294967294" count="1" selected="0">
            <x v="5"/>
          </reference>
          <reference field="2" count="1" selected="0">
            <x v="2"/>
          </reference>
        </references>
      </pivotArea>
    </chartFormat>
    <chartFormat chart="10" format="376">
      <pivotArea type="data" outline="0" fieldPosition="0">
        <references count="2">
          <reference field="4294967294" count="1" selected="0">
            <x v="5"/>
          </reference>
          <reference field="2" count="1" selected="0">
            <x v="3"/>
          </reference>
        </references>
      </pivotArea>
    </chartFormat>
    <chartFormat chart="10" format="377">
      <pivotArea type="data" outline="0" fieldPosition="0">
        <references count="2">
          <reference field="4294967294" count="1" selected="0">
            <x v="5"/>
          </reference>
          <reference field="2" count="1" selected="0">
            <x v="4"/>
          </reference>
        </references>
      </pivotArea>
    </chartFormat>
    <chartFormat chart="10" format="378">
      <pivotArea type="data" outline="0" fieldPosition="0">
        <references count="2">
          <reference field="4294967294" count="1" selected="0">
            <x v="5"/>
          </reference>
          <reference field="2" count="1" selected="0">
            <x v="5"/>
          </reference>
        </references>
      </pivotArea>
    </chartFormat>
    <chartFormat chart="10" format="379">
      <pivotArea type="data" outline="0" fieldPosition="0">
        <references count="2">
          <reference field="4294967294" count="1" selected="0">
            <x v="5"/>
          </reference>
          <reference field="2" count="1" selected="0">
            <x v="6"/>
          </reference>
        </references>
      </pivotArea>
    </chartFormat>
    <chartFormat chart="10" format="380">
      <pivotArea type="data" outline="0" fieldPosition="0">
        <references count="2">
          <reference field="4294967294" count="1" selected="0">
            <x v="5"/>
          </reference>
          <reference field="2" count="1" selected="0">
            <x v="7"/>
          </reference>
        </references>
      </pivotArea>
    </chartFormat>
    <chartFormat chart="10" format="381">
      <pivotArea type="data" outline="0" fieldPosition="0">
        <references count="2">
          <reference field="4294967294" count="1" selected="0">
            <x v="5"/>
          </reference>
          <reference field="2" count="1" selected="0">
            <x v="8"/>
          </reference>
        </references>
      </pivotArea>
    </chartFormat>
    <chartFormat chart="10" format="382">
      <pivotArea type="data" outline="0" fieldPosition="0">
        <references count="2">
          <reference field="4294967294" count="1" selected="0">
            <x v="5"/>
          </reference>
          <reference field="2" count="1" selected="0">
            <x v="9"/>
          </reference>
        </references>
      </pivotArea>
    </chartFormat>
    <chartFormat chart="10" format="383">
      <pivotArea type="data" outline="0" fieldPosition="0">
        <references count="2">
          <reference field="4294967294" count="1" selected="0">
            <x v="5"/>
          </reference>
          <reference field="2" count="1" selected="0">
            <x v="10"/>
          </reference>
        </references>
      </pivotArea>
    </chartFormat>
    <chartFormat chart="10" format="384">
      <pivotArea type="data" outline="0" fieldPosition="0">
        <references count="2">
          <reference field="4294967294" count="1" selected="0">
            <x v="5"/>
          </reference>
          <reference field="2" count="1" selected="0">
            <x v="11"/>
          </reference>
        </references>
      </pivotArea>
    </chartFormat>
    <chartFormat chart="10" format="385">
      <pivotArea type="data" outline="0" fieldPosition="0">
        <references count="2">
          <reference field="4294967294" count="1" selected="0">
            <x v="5"/>
          </reference>
          <reference field="2" count="1" selected="0">
            <x v="12"/>
          </reference>
        </references>
      </pivotArea>
    </chartFormat>
    <chartFormat chart="10" format="386">
      <pivotArea type="data" outline="0" fieldPosition="0">
        <references count="2">
          <reference field="4294967294" count="1" selected="0">
            <x v="5"/>
          </reference>
          <reference field="2" count="1" selected="0">
            <x v="13"/>
          </reference>
        </references>
      </pivotArea>
    </chartFormat>
    <chartFormat chart="10" format="387">
      <pivotArea type="data" outline="0" fieldPosition="0">
        <references count="2">
          <reference field="4294967294" count="1" selected="0">
            <x v="5"/>
          </reference>
          <reference field="2" count="1" selected="0">
            <x v="14"/>
          </reference>
        </references>
      </pivotArea>
    </chartFormat>
    <chartFormat chart="10" format="388">
      <pivotArea type="data" outline="0" fieldPosition="0">
        <references count="2">
          <reference field="4294967294" count="1" selected="0">
            <x v="5"/>
          </reference>
          <reference field="2" count="1" selected="0">
            <x v="15"/>
          </reference>
        </references>
      </pivotArea>
    </chartFormat>
    <chartFormat chart="10" format="389">
      <pivotArea type="data" outline="0" fieldPosition="0">
        <references count="2">
          <reference field="4294967294" count="1" selected="0">
            <x v="5"/>
          </reference>
          <reference field="2" count="1" selected="0">
            <x v="16"/>
          </reference>
        </references>
      </pivotArea>
    </chartFormat>
    <chartFormat chart="10" format="390">
      <pivotArea type="data" outline="0" fieldPosition="0">
        <references count="2">
          <reference field="4294967294" count="1" selected="0">
            <x v="5"/>
          </reference>
          <reference field="2" count="1" selected="0">
            <x v="17"/>
          </reference>
        </references>
      </pivotArea>
    </chartFormat>
    <chartFormat chart="10" format="391">
      <pivotArea type="data" outline="0" fieldPosition="0">
        <references count="2">
          <reference field="4294967294" count="1" selected="0">
            <x v="5"/>
          </reference>
          <reference field="2" count="1" selected="0">
            <x v="18"/>
          </reference>
        </references>
      </pivotArea>
    </chartFormat>
    <chartFormat chart="10" format="392">
      <pivotArea type="data" outline="0" fieldPosition="0">
        <references count="2">
          <reference field="4294967294" count="1" selected="0">
            <x v="5"/>
          </reference>
          <reference field="2" count="1" selected="0">
            <x v="19"/>
          </reference>
        </references>
      </pivotArea>
    </chartFormat>
    <chartFormat chart="10" format="393">
      <pivotArea type="data" outline="0" fieldPosition="0">
        <references count="2">
          <reference field="4294967294" count="1" selected="0">
            <x v="5"/>
          </reference>
          <reference field="2" count="1" selected="0">
            <x v="20"/>
          </reference>
        </references>
      </pivotArea>
    </chartFormat>
    <chartFormat chart="10" format="394">
      <pivotArea type="data" outline="0" fieldPosition="0">
        <references count="2">
          <reference field="4294967294" count="1" selected="0">
            <x v="5"/>
          </reference>
          <reference field="2" count="1" selected="0">
            <x v="21"/>
          </reference>
        </references>
      </pivotArea>
    </chartFormat>
    <chartFormat chart="10" format="395">
      <pivotArea type="data" outline="0" fieldPosition="0">
        <references count="2">
          <reference field="4294967294" count="1" selected="0">
            <x v="5"/>
          </reference>
          <reference field="2" count="1" selected="0">
            <x v="22"/>
          </reference>
        </references>
      </pivotArea>
    </chartFormat>
    <chartFormat chart="10" format="396">
      <pivotArea type="data" outline="0" fieldPosition="0">
        <references count="2">
          <reference field="4294967294" count="1" selected="0">
            <x v="5"/>
          </reference>
          <reference field="2" count="1" selected="0">
            <x v="23"/>
          </reference>
        </references>
      </pivotArea>
    </chartFormat>
    <chartFormat chart="10" format="397">
      <pivotArea type="data" outline="0" fieldPosition="0">
        <references count="2">
          <reference field="4294967294" count="1" selected="0">
            <x v="5"/>
          </reference>
          <reference field="2" count="1" selected="0">
            <x v="24"/>
          </reference>
        </references>
      </pivotArea>
    </chartFormat>
    <chartFormat chart="10" format="398">
      <pivotArea type="data" outline="0" fieldPosition="0">
        <references count="2">
          <reference field="4294967294" count="1" selected="0">
            <x v="5"/>
          </reference>
          <reference field="2" count="1" selected="0">
            <x v="25"/>
          </reference>
        </references>
      </pivotArea>
    </chartFormat>
    <chartFormat chart="10" format="399">
      <pivotArea type="data" outline="0" fieldPosition="0">
        <references count="2">
          <reference field="4294967294" count="1" selected="0">
            <x v="5"/>
          </reference>
          <reference field="2" count="1" selected="0">
            <x v="26"/>
          </reference>
        </references>
      </pivotArea>
    </chartFormat>
    <chartFormat chart="10" format="400" series="1">
      <pivotArea type="data" outline="0" fieldPosition="0">
        <references count="1">
          <reference field="4294967294" count="1" selected="0">
            <x v="6"/>
          </reference>
        </references>
      </pivotArea>
    </chartFormat>
    <chartFormat chart="10" format="401">
      <pivotArea type="data" outline="0" fieldPosition="0">
        <references count="2">
          <reference field="4294967294" count="1" selected="0">
            <x v="6"/>
          </reference>
          <reference field="2" count="1" selected="0">
            <x v="0"/>
          </reference>
        </references>
      </pivotArea>
    </chartFormat>
    <chartFormat chart="10" format="402">
      <pivotArea type="data" outline="0" fieldPosition="0">
        <references count="2">
          <reference field="4294967294" count="1" selected="0">
            <x v="6"/>
          </reference>
          <reference field="2" count="1" selected="0">
            <x v="1"/>
          </reference>
        </references>
      </pivotArea>
    </chartFormat>
    <chartFormat chart="10" format="403">
      <pivotArea type="data" outline="0" fieldPosition="0">
        <references count="2">
          <reference field="4294967294" count="1" selected="0">
            <x v="6"/>
          </reference>
          <reference field="2" count="1" selected="0">
            <x v="2"/>
          </reference>
        </references>
      </pivotArea>
    </chartFormat>
    <chartFormat chart="10" format="404">
      <pivotArea type="data" outline="0" fieldPosition="0">
        <references count="2">
          <reference field="4294967294" count="1" selected="0">
            <x v="6"/>
          </reference>
          <reference field="2" count="1" selected="0">
            <x v="3"/>
          </reference>
        </references>
      </pivotArea>
    </chartFormat>
    <chartFormat chart="10" format="405">
      <pivotArea type="data" outline="0" fieldPosition="0">
        <references count="2">
          <reference field="4294967294" count="1" selected="0">
            <x v="6"/>
          </reference>
          <reference field="2" count="1" selected="0">
            <x v="4"/>
          </reference>
        </references>
      </pivotArea>
    </chartFormat>
    <chartFormat chart="10" format="406">
      <pivotArea type="data" outline="0" fieldPosition="0">
        <references count="2">
          <reference field="4294967294" count="1" selected="0">
            <x v="6"/>
          </reference>
          <reference field="2" count="1" selected="0">
            <x v="5"/>
          </reference>
        </references>
      </pivotArea>
    </chartFormat>
    <chartFormat chart="10" format="407">
      <pivotArea type="data" outline="0" fieldPosition="0">
        <references count="2">
          <reference field="4294967294" count="1" selected="0">
            <x v="6"/>
          </reference>
          <reference field="2" count="1" selected="0">
            <x v="6"/>
          </reference>
        </references>
      </pivotArea>
    </chartFormat>
    <chartFormat chart="10" format="408">
      <pivotArea type="data" outline="0" fieldPosition="0">
        <references count="2">
          <reference field="4294967294" count="1" selected="0">
            <x v="6"/>
          </reference>
          <reference field="2" count="1" selected="0">
            <x v="7"/>
          </reference>
        </references>
      </pivotArea>
    </chartFormat>
    <chartFormat chart="10" format="409">
      <pivotArea type="data" outline="0" fieldPosition="0">
        <references count="2">
          <reference field="4294967294" count="1" selected="0">
            <x v="6"/>
          </reference>
          <reference field="2" count="1" selected="0">
            <x v="8"/>
          </reference>
        </references>
      </pivotArea>
    </chartFormat>
    <chartFormat chart="10" format="410">
      <pivotArea type="data" outline="0" fieldPosition="0">
        <references count="2">
          <reference field="4294967294" count="1" selected="0">
            <x v="6"/>
          </reference>
          <reference field="2" count="1" selected="0">
            <x v="9"/>
          </reference>
        </references>
      </pivotArea>
    </chartFormat>
    <chartFormat chart="10" format="411">
      <pivotArea type="data" outline="0" fieldPosition="0">
        <references count="2">
          <reference field="4294967294" count="1" selected="0">
            <x v="6"/>
          </reference>
          <reference field="2" count="1" selected="0">
            <x v="10"/>
          </reference>
        </references>
      </pivotArea>
    </chartFormat>
    <chartFormat chart="10" format="412">
      <pivotArea type="data" outline="0" fieldPosition="0">
        <references count="2">
          <reference field="4294967294" count="1" selected="0">
            <x v="6"/>
          </reference>
          <reference field="2" count="1" selected="0">
            <x v="11"/>
          </reference>
        </references>
      </pivotArea>
    </chartFormat>
    <chartFormat chart="10" format="413">
      <pivotArea type="data" outline="0" fieldPosition="0">
        <references count="2">
          <reference field="4294967294" count="1" selected="0">
            <x v="6"/>
          </reference>
          <reference field="2" count="1" selected="0">
            <x v="12"/>
          </reference>
        </references>
      </pivotArea>
    </chartFormat>
    <chartFormat chart="10" format="414">
      <pivotArea type="data" outline="0" fieldPosition="0">
        <references count="2">
          <reference field="4294967294" count="1" selected="0">
            <x v="6"/>
          </reference>
          <reference field="2" count="1" selected="0">
            <x v="13"/>
          </reference>
        </references>
      </pivotArea>
    </chartFormat>
    <chartFormat chart="10" format="415">
      <pivotArea type="data" outline="0" fieldPosition="0">
        <references count="2">
          <reference field="4294967294" count="1" selected="0">
            <x v="6"/>
          </reference>
          <reference field="2" count="1" selected="0">
            <x v="14"/>
          </reference>
        </references>
      </pivotArea>
    </chartFormat>
    <chartFormat chart="10" format="416">
      <pivotArea type="data" outline="0" fieldPosition="0">
        <references count="2">
          <reference field="4294967294" count="1" selected="0">
            <x v="6"/>
          </reference>
          <reference field="2" count="1" selected="0">
            <x v="15"/>
          </reference>
        </references>
      </pivotArea>
    </chartFormat>
    <chartFormat chart="10" format="417">
      <pivotArea type="data" outline="0" fieldPosition="0">
        <references count="2">
          <reference field="4294967294" count="1" selected="0">
            <x v="6"/>
          </reference>
          <reference field="2" count="1" selected="0">
            <x v="16"/>
          </reference>
        </references>
      </pivotArea>
    </chartFormat>
    <chartFormat chart="10" format="418">
      <pivotArea type="data" outline="0" fieldPosition="0">
        <references count="2">
          <reference field="4294967294" count="1" selected="0">
            <x v="6"/>
          </reference>
          <reference field="2" count="1" selected="0">
            <x v="17"/>
          </reference>
        </references>
      </pivotArea>
    </chartFormat>
    <chartFormat chart="10" format="419">
      <pivotArea type="data" outline="0" fieldPosition="0">
        <references count="2">
          <reference field="4294967294" count="1" selected="0">
            <x v="6"/>
          </reference>
          <reference field="2" count="1" selected="0">
            <x v="18"/>
          </reference>
        </references>
      </pivotArea>
    </chartFormat>
    <chartFormat chart="10" format="420">
      <pivotArea type="data" outline="0" fieldPosition="0">
        <references count="2">
          <reference field="4294967294" count="1" selected="0">
            <x v="6"/>
          </reference>
          <reference field="2" count="1" selected="0">
            <x v="19"/>
          </reference>
        </references>
      </pivotArea>
    </chartFormat>
    <chartFormat chart="10" format="421">
      <pivotArea type="data" outline="0" fieldPosition="0">
        <references count="2">
          <reference field="4294967294" count="1" selected="0">
            <x v="6"/>
          </reference>
          <reference field="2" count="1" selected="0">
            <x v="20"/>
          </reference>
        </references>
      </pivotArea>
    </chartFormat>
    <chartFormat chart="10" format="422">
      <pivotArea type="data" outline="0" fieldPosition="0">
        <references count="2">
          <reference field="4294967294" count="1" selected="0">
            <x v="6"/>
          </reference>
          <reference field="2" count="1" selected="0">
            <x v="21"/>
          </reference>
        </references>
      </pivotArea>
    </chartFormat>
    <chartFormat chart="10" format="423">
      <pivotArea type="data" outline="0" fieldPosition="0">
        <references count="2">
          <reference field="4294967294" count="1" selected="0">
            <x v="6"/>
          </reference>
          <reference field="2" count="1" selected="0">
            <x v="22"/>
          </reference>
        </references>
      </pivotArea>
    </chartFormat>
    <chartFormat chart="10" format="424">
      <pivotArea type="data" outline="0" fieldPosition="0">
        <references count="2">
          <reference field="4294967294" count="1" selected="0">
            <x v="6"/>
          </reference>
          <reference field="2" count="1" selected="0">
            <x v="23"/>
          </reference>
        </references>
      </pivotArea>
    </chartFormat>
    <chartFormat chart="10" format="425">
      <pivotArea type="data" outline="0" fieldPosition="0">
        <references count="2">
          <reference field="4294967294" count="1" selected="0">
            <x v="6"/>
          </reference>
          <reference field="2" count="1" selected="0">
            <x v="24"/>
          </reference>
        </references>
      </pivotArea>
    </chartFormat>
    <chartFormat chart="10" format="426">
      <pivotArea type="data" outline="0" fieldPosition="0">
        <references count="2">
          <reference field="4294967294" count="1" selected="0">
            <x v="6"/>
          </reference>
          <reference field="2" count="1" selected="0">
            <x v="25"/>
          </reference>
        </references>
      </pivotArea>
    </chartFormat>
    <chartFormat chart="10" format="427">
      <pivotArea type="data" outline="0" fieldPosition="0">
        <references count="2">
          <reference field="4294967294" count="1" selected="0">
            <x v="6"/>
          </reference>
          <reference field="2" count="1" selected="0">
            <x v="26"/>
          </reference>
        </references>
      </pivotArea>
    </chartFormat>
    <chartFormat chart="10" format="428" series="1">
      <pivotArea type="data" outline="0" fieldPosition="0">
        <references count="1">
          <reference field="4294967294" count="1" selected="0">
            <x v="7"/>
          </reference>
        </references>
      </pivotArea>
    </chartFormat>
    <chartFormat chart="10" format="429">
      <pivotArea type="data" outline="0" fieldPosition="0">
        <references count="2">
          <reference field="4294967294" count="1" selected="0">
            <x v="7"/>
          </reference>
          <reference field="2" count="1" selected="0">
            <x v="0"/>
          </reference>
        </references>
      </pivotArea>
    </chartFormat>
    <chartFormat chart="10" format="430">
      <pivotArea type="data" outline="0" fieldPosition="0">
        <references count="2">
          <reference field="4294967294" count="1" selected="0">
            <x v="7"/>
          </reference>
          <reference field="2" count="1" selected="0">
            <x v="1"/>
          </reference>
        </references>
      </pivotArea>
    </chartFormat>
    <chartFormat chart="10" format="431">
      <pivotArea type="data" outline="0" fieldPosition="0">
        <references count="2">
          <reference field="4294967294" count="1" selected="0">
            <x v="7"/>
          </reference>
          <reference field="2" count="1" selected="0">
            <x v="2"/>
          </reference>
        </references>
      </pivotArea>
    </chartFormat>
    <chartFormat chart="10" format="432">
      <pivotArea type="data" outline="0" fieldPosition="0">
        <references count="2">
          <reference field="4294967294" count="1" selected="0">
            <x v="7"/>
          </reference>
          <reference field="2" count="1" selected="0">
            <x v="3"/>
          </reference>
        </references>
      </pivotArea>
    </chartFormat>
    <chartFormat chart="10" format="433">
      <pivotArea type="data" outline="0" fieldPosition="0">
        <references count="2">
          <reference field="4294967294" count="1" selected="0">
            <x v="7"/>
          </reference>
          <reference field="2" count="1" selected="0">
            <x v="4"/>
          </reference>
        </references>
      </pivotArea>
    </chartFormat>
    <chartFormat chart="10" format="434">
      <pivotArea type="data" outline="0" fieldPosition="0">
        <references count="2">
          <reference field="4294967294" count="1" selected="0">
            <x v="7"/>
          </reference>
          <reference field="2" count="1" selected="0">
            <x v="5"/>
          </reference>
        </references>
      </pivotArea>
    </chartFormat>
    <chartFormat chart="10" format="435">
      <pivotArea type="data" outline="0" fieldPosition="0">
        <references count="2">
          <reference field="4294967294" count="1" selected="0">
            <x v="7"/>
          </reference>
          <reference field="2" count="1" selected="0">
            <x v="6"/>
          </reference>
        </references>
      </pivotArea>
    </chartFormat>
    <chartFormat chart="10" format="436">
      <pivotArea type="data" outline="0" fieldPosition="0">
        <references count="2">
          <reference field="4294967294" count="1" selected="0">
            <x v="7"/>
          </reference>
          <reference field="2" count="1" selected="0">
            <x v="7"/>
          </reference>
        </references>
      </pivotArea>
    </chartFormat>
    <chartFormat chart="10" format="437">
      <pivotArea type="data" outline="0" fieldPosition="0">
        <references count="2">
          <reference field="4294967294" count="1" selected="0">
            <x v="7"/>
          </reference>
          <reference field="2" count="1" selected="0">
            <x v="8"/>
          </reference>
        </references>
      </pivotArea>
    </chartFormat>
    <chartFormat chart="10" format="438">
      <pivotArea type="data" outline="0" fieldPosition="0">
        <references count="2">
          <reference field="4294967294" count="1" selected="0">
            <x v="7"/>
          </reference>
          <reference field="2" count="1" selected="0">
            <x v="9"/>
          </reference>
        </references>
      </pivotArea>
    </chartFormat>
    <chartFormat chart="10" format="439">
      <pivotArea type="data" outline="0" fieldPosition="0">
        <references count="2">
          <reference field="4294967294" count="1" selected="0">
            <x v="7"/>
          </reference>
          <reference field="2" count="1" selected="0">
            <x v="10"/>
          </reference>
        </references>
      </pivotArea>
    </chartFormat>
    <chartFormat chart="10" format="440">
      <pivotArea type="data" outline="0" fieldPosition="0">
        <references count="2">
          <reference field="4294967294" count="1" selected="0">
            <x v="7"/>
          </reference>
          <reference field="2" count="1" selected="0">
            <x v="11"/>
          </reference>
        </references>
      </pivotArea>
    </chartFormat>
    <chartFormat chart="10" format="441">
      <pivotArea type="data" outline="0" fieldPosition="0">
        <references count="2">
          <reference field="4294967294" count="1" selected="0">
            <x v="7"/>
          </reference>
          <reference field="2" count="1" selected="0">
            <x v="12"/>
          </reference>
        </references>
      </pivotArea>
    </chartFormat>
    <chartFormat chart="10" format="442">
      <pivotArea type="data" outline="0" fieldPosition="0">
        <references count="2">
          <reference field="4294967294" count="1" selected="0">
            <x v="7"/>
          </reference>
          <reference field="2" count="1" selected="0">
            <x v="13"/>
          </reference>
        </references>
      </pivotArea>
    </chartFormat>
    <chartFormat chart="10" format="443">
      <pivotArea type="data" outline="0" fieldPosition="0">
        <references count="2">
          <reference field="4294967294" count="1" selected="0">
            <x v="7"/>
          </reference>
          <reference field="2" count="1" selected="0">
            <x v="14"/>
          </reference>
        </references>
      </pivotArea>
    </chartFormat>
    <chartFormat chart="10" format="444">
      <pivotArea type="data" outline="0" fieldPosition="0">
        <references count="2">
          <reference field="4294967294" count="1" selected="0">
            <x v="7"/>
          </reference>
          <reference field="2" count="1" selected="0">
            <x v="15"/>
          </reference>
        </references>
      </pivotArea>
    </chartFormat>
    <chartFormat chart="10" format="445">
      <pivotArea type="data" outline="0" fieldPosition="0">
        <references count="2">
          <reference field="4294967294" count="1" selected="0">
            <x v="7"/>
          </reference>
          <reference field="2" count="1" selected="0">
            <x v="16"/>
          </reference>
        </references>
      </pivotArea>
    </chartFormat>
    <chartFormat chart="10" format="446">
      <pivotArea type="data" outline="0" fieldPosition="0">
        <references count="2">
          <reference field="4294967294" count="1" selected="0">
            <x v="7"/>
          </reference>
          <reference field="2" count="1" selected="0">
            <x v="17"/>
          </reference>
        </references>
      </pivotArea>
    </chartFormat>
    <chartFormat chart="10" format="447">
      <pivotArea type="data" outline="0" fieldPosition="0">
        <references count="2">
          <reference field="4294967294" count="1" selected="0">
            <x v="7"/>
          </reference>
          <reference field="2" count="1" selected="0">
            <x v="18"/>
          </reference>
        </references>
      </pivotArea>
    </chartFormat>
    <chartFormat chart="10" format="448">
      <pivotArea type="data" outline="0" fieldPosition="0">
        <references count="2">
          <reference field="4294967294" count="1" selected="0">
            <x v="7"/>
          </reference>
          <reference field="2" count="1" selected="0">
            <x v="19"/>
          </reference>
        </references>
      </pivotArea>
    </chartFormat>
    <chartFormat chart="10" format="449">
      <pivotArea type="data" outline="0" fieldPosition="0">
        <references count="2">
          <reference field="4294967294" count="1" selected="0">
            <x v="7"/>
          </reference>
          <reference field="2" count="1" selected="0">
            <x v="20"/>
          </reference>
        </references>
      </pivotArea>
    </chartFormat>
    <chartFormat chart="10" format="450">
      <pivotArea type="data" outline="0" fieldPosition="0">
        <references count="2">
          <reference field="4294967294" count="1" selected="0">
            <x v="7"/>
          </reference>
          <reference field="2" count="1" selected="0">
            <x v="21"/>
          </reference>
        </references>
      </pivotArea>
    </chartFormat>
    <chartFormat chart="10" format="451">
      <pivotArea type="data" outline="0" fieldPosition="0">
        <references count="2">
          <reference field="4294967294" count="1" selected="0">
            <x v="7"/>
          </reference>
          <reference field="2" count="1" selected="0">
            <x v="22"/>
          </reference>
        </references>
      </pivotArea>
    </chartFormat>
    <chartFormat chart="10" format="452">
      <pivotArea type="data" outline="0" fieldPosition="0">
        <references count="2">
          <reference field="4294967294" count="1" selected="0">
            <x v="7"/>
          </reference>
          <reference field="2" count="1" selected="0">
            <x v="23"/>
          </reference>
        </references>
      </pivotArea>
    </chartFormat>
    <chartFormat chart="10" format="453">
      <pivotArea type="data" outline="0" fieldPosition="0">
        <references count="2">
          <reference field="4294967294" count="1" selected="0">
            <x v="7"/>
          </reference>
          <reference field="2" count="1" selected="0">
            <x v="24"/>
          </reference>
        </references>
      </pivotArea>
    </chartFormat>
    <chartFormat chart="10" format="454">
      <pivotArea type="data" outline="0" fieldPosition="0">
        <references count="2">
          <reference field="4294967294" count="1" selected="0">
            <x v="7"/>
          </reference>
          <reference field="2" count="1" selected="0">
            <x v="25"/>
          </reference>
        </references>
      </pivotArea>
    </chartFormat>
    <chartFormat chart="10" format="455">
      <pivotArea type="data" outline="0" fieldPosition="0">
        <references count="2">
          <reference field="4294967294" count="1" selected="0">
            <x v="7"/>
          </reference>
          <reference field="2" count="1" selected="0">
            <x v="2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CC43448-D649-47F0-8F4D-3619BF1CD781}"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7" firstHeaderRow="0" firstDataRow="1" firstDataCol="1"/>
  <pivotFields count="59">
    <pivotField axis="axisRow" showAll="0">
      <items count="14">
        <item x="0"/>
        <item x="1"/>
        <item x="2"/>
        <item x="3"/>
        <item x="4"/>
        <item x="5"/>
        <item x="6"/>
        <item x="7"/>
        <item x="8"/>
        <item x="9"/>
        <item x="10"/>
        <item x="12"/>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Average of Hoàn thành" fld="51" subtotal="average" baseField="0" baseItem="0" numFmtId="9"/>
    <dataField name="Sum of Chi phí MKT" fld="53" baseField="0" baseItem="0"/>
    <dataField name="Count of Đại lý" fld="2" subtotal="count" baseField="0" baseItem="0"/>
  </dataFields>
  <formats count="1">
    <format dxfId="0">
      <pivotArea outline="0" collapsedLevelsAreSubtotals="1"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66FEE5-FFEE-4BD4-8B6C-335AD4892B13}" name="PivotTable1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0">
  <location ref="Z8:AA3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Chi phí MKT" fld="53" baseField="0" baseItem="0"/>
  </dataFields>
  <formats count="2">
    <format dxfId="6">
      <pivotArea outline="0" collapsedLevelsAreSubtotals="1" fieldPosition="0"/>
    </format>
    <format dxfId="5">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2FD44-68CF-40AF-B374-625D10623D5A}" name="PivotTable1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9">
  <location ref="J106:X107" firstHeaderRow="0" firstDataRow="1" firstDataCol="0"/>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Gifts" fld="24" baseField="2" baseItem="0"/>
    <dataField name="Car club/Sponsor" fld="25" baseField="2" baseItem="0"/>
    <dataField name="E mail" fld="20" baseField="2" baseItem="0"/>
    <dataField name="Google Adwords" fld="15" baseField="2" baseItem="0"/>
    <dataField name="Facebook" fld="16" baseField="2" baseItem="0"/>
    <dataField name="TV/Radio" fld="22" baseField="2" baseItem="0"/>
    <dataField name="Biển bảng/OOH" fld="21" baseField="2" baseItem="0"/>
    <dataField name="SMS" fld="19" baseField="0" baseItem="14"/>
    <dataField name="Online banner" fld="14" baseField="2" baseItem="0"/>
    <dataField name="Zalo" fld="18" baseField="2" baseItem="0"/>
    <dataField name="Print Ads/ PR" fld="23" baseField="2" baseItem="0"/>
    <dataField name="Youtube" fld="17" baseField="2" baseItem="0"/>
    <dataField name="Sự kiện(lái thử/ roadshow)" fld="13" baseField="2" baseItem="0"/>
    <dataField name="KH Showroom" fld="12" baseField="2" baseItem="0"/>
    <dataField name="Khác" fld="26" baseField="2" baseItem="0"/>
  </dataFields>
  <chartFormats count="43">
    <chartFormat chart="6" format="0" series="1">
      <pivotArea type="data" outline="0" fieldPosition="0">
        <references count="1">
          <reference field="4294967294" count="1" selected="0">
            <x v="12"/>
          </reference>
        </references>
      </pivotArea>
    </chartFormat>
    <chartFormat chart="6" format="1" series="1">
      <pivotArea type="data" outline="0" fieldPosition="0">
        <references count="1">
          <reference field="4294967294" count="1" selected="0">
            <x v="13"/>
          </reference>
        </references>
      </pivotArea>
    </chartFormat>
    <chartFormat chart="6" format="2" series="1">
      <pivotArea type="data" outline="0" fieldPosition="0">
        <references count="1">
          <reference field="4294967294" count="1" selected="0">
            <x v="8"/>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11"/>
          </reference>
        </references>
      </pivotArea>
    </chartFormat>
    <chartFormat chart="6" format="6" series="1">
      <pivotArea type="data" outline="0" fieldPosition="0">
        <references count="1">
          <reference field="4294967294" count="1" selected="0">
            <x v="9"/>
          </reference>
        </references>
      </pivotArea>
    </chartFormat>
    <chartFormat chart="6" format="7"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6"/>
          </reference>
        </references>
      </pivotArea>
    </chartFormat>
    <chartFormat chart="6" format="9" series="1">
      <pivotArea type="data" outline="0" fieldPosition="0">
        <references count="1">
          <reference field="4294967294" count="1" selected="0">
            <x v="5"/>
          </reference>
        </references>
      </pivotArea>
    </chartFormat>
    <chartFormat chart="6" format="10" series="1">
      <pivotArea type="data" outline="0" fieldPosition="0">
        <references count="1">
          <reference field="4294967294" count="1" selected="0">
            <x v="10"/>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6" format="13" series="1">
      <pivotArea type="data" outline="0" fieldPosition="0">
        <references count="1">
          <reference field="4294967294" count="1" selected="0">
            <x v="14"/>
          </reference>
        </references>
      </pivotArea>
    </chartFormat>
    <chartFormat chart="10" format="28" series="1">
      <pivotArea type="data" outline="0" fieldPosition="0">
        <references count="1">
          <reference field="4294967294" count="1" selected="0">
            <x v="12"/>
          </reference>
        </references>
      </pivotArea>
    </chartFormat>
    <chartFormat chart="10" format="29" series="1">
      <pivotArea type="data" outline="0" fieldPosition="0">
        <references count="1">
          <reference field="4294967294" count="1" selected="0">
            <x v="13"/>
          </reference>
        </references>
      </pivotArea>
    </chartFormat>
    <chartFormat chart="10" format="30" series="1">
      <pivotArea type="data" outline="0" fieldPosition="0">
        <references count="1">
          <reference field="4294967294" count="1" selected="0">
            <x v="8"/>
          </reference>
        </references>
      </pivotArea>
    </chartFormat>
    <chartFormat chart="10" format="31" series="1">
      <pivotArea type="data" outline="0" fieldPosition="0">
        <references count="1">
          <reference field="4294967294" count="1" selected="0">
            <x v="3"/>
          </reference>
        </references>
      </pivotArea>
    </chartFormat>
    <chartFormat chart="10" format="32" series="1">
      <pivotArea type="data" outline="0" fieldPosition="0">
        <references count="1">
          <reference field="4294967294" count="1" selected="0">
            <x v="4"/>
          </reference>
        </references>
      </pivotArea>
    </chartFormat>
    <chartFormat chart="10" format="33" series="1">
      <pivotArea type="data" outline="0" fieldPosition="0">
        <references count="1">
          <reference field="4294967294" count="1" selected="0">
            <x v="11"/>
          </reference>
        </references>
      </pivotArea>
    </chartFormat>
    <chartFormat chart="10" format="34" series="1">
      <pivotArea type="data" outline="0" fieldPosition="0">
        <references count="1">
          <reference field="4294967294" count="1" selected="0">
            <x v="9"/>
          </reference>
        </references>
      </pivotArea>
    </chartFormat>
    <chartFormat chart="10" format="35" series="1">
      <pivotArea type="data" outline="0" fieldPosition="0">
        <references count="1">
          <reference field="4294967294" count="1" selected="0">
            <x v="2"/>
          </reference>
        </references>
      </pivotArea>
    </chartFormat>
    <chartFormat chart="10" format="36" series="1">
      <pivotArea type="data" outline="0" fieldPosition="0">
        <references count="1">
          <reference field="4294967294" count="1" selected="0">
            <x v="6"/>
          </reference>
        </references>
      </pivotArea>
    </chartFormat>
    <chartFormat chart="10" format="37" series="1">
      <pivotArea type="data" outline="0" fieldPosition="0">
        <references count="1">
          <reference field="4294967294" count="1" selected="0">
            <x v="5"/>
          </reference>
        </references>
      </pivotArea>
    </chartFormat>
    <chartFormat chart="10" format="38" series="1">
      <pivotArea type="data" outline="0" fieldPosition="0">
        <references count="1">
          <reference field="4294967294" count="1" selected="0">
            <x v="10"/>
          </reference>
        </references>
      </pivotArea>
    </chartFormat>
    <chartFormat chart="10" format="39" series="1">
      <pivotArea type="data" outline="0" fieldPosition="0">
        <references count="1">
          <reference field="4294967294" count="1" selected="0">
            <x v="0"/>
          </reference>
        </references>
      </pivotArea>
    </chartFormat>
    <chartFormat chart="10" format="40" series="1">
      <pivotArea type="data" outline="0" fieldPosition="0">
        <references count="1">
          <reference field="4294967294" count="1" selected="0">
            <x v="1"/>
          </reference>
        </references>
      </pivotArea>
    </chartFormat>
    <chartFormat chart="10" format="41" series="1">
      <pivotArea type="data" outline="0" fieldPosition="0">
        <references count="1">
          <reference field="4294967294" count="1" selected="0">
            <x v="14"/>
          </reference>
        </references>
      </pivotArea>
    </chartFormat>
    <chartFormat chart="11" format="0" series="1">
      <pivotArea type="data" outline="0" fieldPosition="0">
        <references count="1">
          <reference field="4294967294" count="1" selected="0">
            <x v="12"/>
          </reference>
        </references>
      </pivotArea>
    </chartFormat>
    <chartFormat chart="11" format="1" series="1">
      <pivotArea type="data" outline="0" fieldPosition="0">
        <references count="1">
          <reference field="4294967294" count="1" selected="0">
            <x v="13"/>
          </reference>
        </references>
      </pivotArea>
    </chartFormat>
    <chartFormat chart="11" format="2" series="1">
      <pivotArea type="data" outline="0" fieldPosition="0">
        <references count="1">
          <reference field="4294967294" count="1" selected="0">
            <x v="8"/>
          </reference>
        </references>
      </pivotArea>
    </chartFormat>
    <chartFormat chart="11" format="3" series="1">
      <pivotArea type="data" outline="0" fieldPosition="0">
        <references count="1">
          <reference field="4294967294" count="1" selected="0">
            <x v="3"/>
          </reference>
        </references>
      </pivotArea>
    </chartFormat>
    <chartFormat chart="11" format="4" series="1">
      <pivotArea type="data" outline="0" fieldPosition="0">
        <references count="1">
          <reference field="4294967294" count="1" selected="0">
            <x v="4"/>
          </reference>
        </references>
      </pivotArea>
    </chartFormat>
    <chartFormat chart="11" format="5" series="1">
      <pivotArea type="data" outline="0" fieldPosition="0">
        <references count="1">
          <reference field="4294967294" count="1" selected="0">
            <x v="11"/>
          </reference>
        </references>
      </pivotArea>
    </chartFormat>
    <chartFormat chart="11" format="6" series="1">
      <pivotArea type="data" outline="0" fieldPosition="0">
        <references count="1">
          <reference field="4294967294" count="1" selected="0">
            <x v="9"/>
          </reference>
        </references>
      </pivotArea>
    </chartFormat>
    <chartFormat chart="11" format="7" series="1">
      <pivotArea type="data" outline="0" fieldPosition="0">
        <references count="1">
          <reference field="4294967294" count="1" selected="0">
            <x v="2"/>
          </reference>
        </references>
      </pivotArea>
    </chartFormat>
    <chartFormat chart="11" format="8" series="1">
      <pivotArea type="data" outline="0" fieldPosition="0">
        <references count="1">
          <reference field="4294967294" count="1" selected="0">
            <x v="6"/>
          </reference>
        </references>
      </pivotArea>
    </chartFormat>
    <chartFormat chart="11" format="9" series="1">
      <pivotArea type="data" outline="0" fieldPosition="0">
        <references count="1">
          <reference field="4294967294" count="1" selected="0">
            <x v="5"/>
          </reference>
        </references>
      </pivotArea>
    </chartFormat>
    <chartFormat chart="11" format="10" series="1">
      <pivotArea type="data" outline="0" fieldPosition="0">
        <references count="1">
          <reference field="4294967294" count="1" selected="0">
            <x v="10"/>
          </reference>
        </references>
      </pivotArea>
    </chartFormat>
    <chartFormat chart="11"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14"/>
          </reference>
        </references>
      </pivotArea>
    </chartFormat>
    <chartFormat chart="11" format="14" series="1">
      <pivotArea type="data" outline="0" fieldPosition="0">
        <references count="1">
          <reference field="4294967294"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3E8A31-B452-4551-A22D-80D1BB349114}"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location ref="D139:E165"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Average of Chí phí TB của HĐ MKT" fld="45" subtotal="average" baseField="2" baseItem="0"/>
  </dataFields>
  <formats count="3">
    <format dxfId="9">
      <pivotArea outline="0" collapsedLevelsAreSubtotals="1" fieldPosition="0"/>
    </format>
    <format dxfId="8">
      <pivotArea collapsedLevelsAreSubtotals="1" fieldPosition="0">
        <references count="1">
          <reference field="2" count="26">
            <x v="0"/>
            <x v="1"/>
            <x v="2"/>
            <x v="3"/>
            <x v="4"/>
            <x v="5"/>
            <x v="6"/>
            <x v="7"/>
            <x v="8"/>
            <x v="9"/>
            <x v="10"/>
            <x v="11"/>
            <x v="12"/>
            <x v="13"/>
            <x v="14"/>
            <x v="15"/>
            <x v="16"/>
            <x v="17"/>
            <x v="18"/>
            <x v="19"/>
            <x v="20"/>
            <x v="21"/>
            <x v="22"/>
            <x v="23"/>
            <x v="24"/>
            <x v="25"/>
          </reference>
        </references>
      </pivotArea>
    </format>
    <format dxfId="7">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779859-FFAB-4F3C-A8F2-0D7427C899CD}" name="PivotTable2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E70:I75" firstHeaderRow="0" firstDataRow="1" firstDataCol="1"/>
  <pivotFields count="59">
    <pivotField showAll="0">
      <items count="14">
        <item x="0"/>
        <item x="1"/>
        <item x="2"/>
        <item x="3"/>
        <item x="4"/>
        <item x="5"/>
        <item x="6"/>
        <item x="7"/>
        <item x="8"/>
        <item x="9"/>
        <item x="10"/>
        <item x="11"/>
        <item x="12"/>
        <item t="default"/>
      </items>
    </pivotField>
    <pivotField axis="axisRow" showAll="0">
      <items count="5">
        <item x="2"/>
        <item x="1"/>
        <item x="0"/>
        <item x="3"/>
        <item t="default"/>
      </items>
    </pivotField>
    <pivotField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5">
    <i>
      <x/>
    </i>
    <i>
      <x v="1"/>
    </i>
    <i>
      <x v="2"/>
    </i>
    <i>
      <x v="3"/>
    </i>
    <i t="grand">
      <x/>
    </i>
  </rowItems>
  <colFields count="1">
    <field x="-2"/>
  </colFields>
  <colItems count="4">
    <i>
      <x/>
    </i>
    <i i="1">
      <x v="1"/>
    </i>
    <i i="2">
      <x v="2"/>
    </i>
    <i i="3">
      <x v="3"/>
    </i>
  </colItems>
  <dataFields count="4">
    <dataField name="Sum of Data Kênh MKT" fld="27" baseField="0" baseItem="0"/>
    <dataField name="HĐ_MKT" fld="47" baseField="2" baseItem="0"/>
    <dataField name="Sum of Ty le chuyen doi" fld="57" baseField="0" baseItem="0" numFmtId="9"/>
    <dataField name="Sum of Đóng góp MKT" fld="56" baseField="0" baseItem="0" numFmtId="9"/>
  </dataFields>
  <formats count="3">
    <format dxfId="12">
      <pivotArea outline="0" collapsedLevelsAreSubtotals="1" fieldPosition="0"/>
    </format>
    <format dxfId="11">
      <pivotArea outline="0" collapsedLevelsAreSubtotals="1" fieldPosition="0">
        <references count="1">
          <reference field="4294967294" count="1" selected="0">
            <x v="3"/>
          </reference>
        </references>
      </pivotArea>
    </format>
    <format dxfId="10">
      <pivotArea outline="0" collapsedLevelsAreSubtotals="1" fieldPosition="0">
        <references count="1">
          <reference field="4294967294" count="1" selected="0">
            <x v="2"/>
          </reference>
        </references>
      </pivotArea>
    </format>
  </formats>
  <chartFormats count="1">
    <chartFormat chart="12"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EA2B5A-CAE1-433E-B0AC-F5972C7EEC6C}" name="PivotTable1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7">
  <location ref="AE19:AS45" firstHeaderRow="0"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Biển bảng/ OOH" fld="37" subtotal="count" baseField="2" baseItem="0"/>
    <dataField name="SMS brandname" fld="35" subtotal="count" baseField="2" baseItem="0"/>
    <dataField name="Direct mail" fld="36" subtotal="count" baseField="2" baseItem="0"/>
    <dataField name="Facebook Ads" fld="32" subtotal="count" baseField="2" baseItem="0"/>
    <dataField name="Google Adwords" fld="31" subtotal="count" baseField="2" baseItem="0"/>
    <dataField name="Youtube" fld="33" subtotal="count" baseField="2" baseItem="0"/>
    <dataField name="Zalo" fld="34" subtotal="count" baseField="2" baseItem="0"/>
    <dataField name="Online banner" fld="30" subtotal="count" baseField="2" baseItem="0"/>
    <dataField name="Offline (Event,Lái thử...)" fld="29" subtotal="count" baseField="2" baseItem="0"/>
    <dataField name="Car club/Sponsorship" fld="41" subtotal="count" baseField="2" baseItem="0"/>
    <dataField name="TV/Radio" fld="38" subtotal="count" baseField="2" baseItem="0"/>
    <dataField name="Print Ads/ PR Articles" fld="39" subtotal="count" baseField="2" baseItem="0"/>
    <dataField name="CSR" fld="40" subtotal="count" baseField="2" baseItem="0"/>
    <dataField name="Khác" fld="42" subtotal="count" baseField="2" baseItem="0"/>
  </dataFields>
  <chartFormats count="28">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 chart="13" format="7" series="1">
      <pivotArea type="data" outline="0" fieldPosition="0">
        <references count="1">
          <reference field="4294967294" count="1" selected="0">
            <x v="7"/>
          </reference>
        </references>
      </pivotArea>
    </chartFormat>
    <chartFormat chart="13" format="8" series="1">
      <pivotArea type="data" outline="0" fieldPosition="0">
        <references count="1">
          <reference field="4294967294" count="1" selected="0">
            <x v="8"/>
          </reference>
        </references>
      </pivotArea>
    </chartFormat>
    <chartFormat chart="13" format="9" series="1">
      <pivotArea type="data" outline="0" fieldPosition="0">
        <references count="1">
          <reference field="4294967294" count="1" selected="0">
            <x v="9"/>
          </reference>
        </references>
      </pivotArea>
    </chartFormat>
    <chartFormat chart="13" format="10" series="1">
      <pivotArea type="data" outline="0" fieldPosition="0">
        <references count="1">
          <reference field="4294967294" count="1" selected="0">
            <x v="10"/>
          </reference>
        </references>
      </pivotArea>
    </chartFormat>
    <chartFormat chart="13" format="11" series="1">
      <pivotArea type="data" outline="0" fieldPosition="0">
        <references count="1">
          <reference field="4294967294" count="1" selected="0">
            <x v="11"/>
          </reference>
        </references>
      </pivotArea>
    </chartFormat>
    <chartFormat chart="13" format="12" series="1">
      <pivotArea type="data" outline="0" fieldPosition="0">
        <references count="1">
          <reference field="4294967294" count="1" selected="0">
            <x v="12"/>
          </reference>
        </references>
      </pivotArea>
    </chartFormat>
    <chartFormat chart="13" format="13" series="1">
      <pivotArea type="data" outline="0" fieldPosition="0">
        <references count="1">
          <reference field="4294967294" count="1" selected="0">
            <x v="13"/>
          </reference>
        </references>
      </pivotArea>
    </chartFormat>
    <chartFormat chart="16" format="28" series="1">
      <pivotArea type="data" outline="0" fieldPosition="0">
        <references count="1">
          <reference field="4294967294" count="1" selected="0">
            <x v="0"/>
          </reference>
        </references>
      </pivotArea>
    </chartFormat>
    <chartFormat chart="16" format="29" series="1">
      <pivotArea type="data" outline="0" fieldPosition="0">
        <references count="1">
          <reference field="4294967294" count="1" selected="0">
            <x v="1"/>
          </reference>
        </references>
      </pivotArea>
    </chartFormat>
    <chartFormat chart="16" format="30" series="1">
      <pivotArea type="data" outline="0" fieldPosition="0">
        <references count="1">
          <reference field="4294967294" count="1" selected="0">
            <x v="2"/>
          </reference>
        </references>
      </pivotArea>
    </chartFormat>
    <chartFormat chart="16" format="31" series="1">
      <pivotArea type="data" outline="0" fieldPosition="0">
        <references count="1">
          <reference field="4294967294" count="1" selected="0">
            <x v="3"/>
          </reference>
        </references>
      </pivotArea>
    </chartFormat>
    <chartFormat chart="16" format="32" series="1">
      <pivotArea type="data" outline="0" fieldPosition="0">
        <references count="1">
          <reference field="4294967294" count="1" selected="0">
            <x v="4"/>
          </reference>
        </references>
      </pivotArea>
    </chartFormat>
    <chartFormat chart="16" format="33" series="1">
      <pivotArea type="data" outline="0" fieldPosition="0">
        <references count="1">
          <reference field="4294967294" count="1" selected="0">
            <x v="5"/>
          </reference>
        </references>
      </pivotArea>
    </chartFormat>
    <chartFormat chart="16" format="34" series="1">
      <pivotArea type="data" outline="0" fieldPosition="0">
        <references count="1">
          <reference field="4294967294" count="1" selected="0">
            <x v="6"/>
          </reference>
        </references>
      </pivotArea>
    </chartFormat>
    <chartFormat chart="16" format="35" series="1">
      <pivotArea type="data" outline="0" fieldPosition="0">
        <references count="1">
          <reference field="4294967294" count="1" selected="0">
            <x v="7"/>
          </reference>
        </references>
      </pivotArea>
    </chartFormat>
    <chartFormat chart="16" format="36" series="1">
      <pivotArea type="data" outline="0" fieldPosition="0">
        <references count="1">
          <reference field="4294967294" count="1" selected="0">
            <x v="8"/>
          </reference>
        </references>
      </pivotArea>
    </chartFormat>
    <chartFormat chart="16" format="37" series="1">
      <pivotArea type="data" outline="0" fieldPosition="0">
        <references count="1">
          <reference field="4294967294" count="1" selected="0">
            <x v="9"/>
          </reference>
        </references>
      </pivotArea>
    </chartFormat>
    <chartFormat chart="16" format="38" series="1">
      <pivotArea type="data" outline="0" fieldPosition="0">
        <references count="1">
          <reference field="4294967294" count="1" selected="0">
            <x v="10"/>
          </reference>
        </references>
      </pivotArea>
    </chartFormat>
    <chartFormat chart="16" format="39" series="1">
      <pivotArea type="data" outline="0" fieldPosition="0">
        <references count="1">
          <reference field="4294967294" count="1" selected="0">
            <x v="11"/>
          </reference>
        </references>
      </pivotArea>
    </chartFormat>
    <chartFormat chart="16" format="40" series="1">
      <pivotArea type="data" outline="0" fieldPosition="0">
        <references count="1">
          <reference field="4294967294" count="1" selected="0">
            <x v="12"/>
          </reference>
        </references>
      </pivotArea>
    </chartFormat>
    <chartFormat chart="16" format="41" series="1">
      <pivotArea type="data" outline="0" fieldPosition="0">
        <references count="1">
          <reference field="4294967294" count="1" selected="0">
            <x v="1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613300-2845-4829-800F-007E45756D23}" name="PivotTable1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1">
  <location ref="A173:C476" firstHeaderRow="0" firstDataRow="1" firstDataCol="1"/>
  <pivotFields count="59">
    <pivotField axis="axisRow" showAll="0">
      <items count="14">
        <item x="0"/>
        <item x="1"/>
        <item x="2"/>
        <item x="3"/>
        <item x="4"/>
        <item x="5"/>
        <item x="6"/>
        <item x="7"/>
        <item x="8"/>
        <item x="9"/>
        <item x="10"/>
        <item x="12"/>
        <item x="11"/>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0"/>
    <field x="2"/>
  </rowFields>
  <rowItems count="303">
    <i>
      <x/>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1"/>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2"/>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3"/>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4"/>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5"/>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6"/>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7"/>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8"/>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9"/>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10"/>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x v="11"/>
    </i>
    <i r="1">
      <x v="26"/>
    </i>
    <i>
      <x v="12"/>
    </i>
    <i r="1">
      <x/>
    </i>
    <i r="1">
      <x v="1"/>
    </i>
    <i r="1">
      <x v="2"/>
    </i>
    <i r="1">
      <x v="3"/>
    </i>
    <i r="1">
      <x v="4"/>
    </i>
    <i r="1">
      <x v="5"/>
    </i>
    <i r="1">
      <x v="6"/>
    </i>
    <i r="1">
      <x v="7"/>
    </i>
    <i r="1">
      <x v="8"/>
    </i>
    <i r="1">
      <x v="9"/>
    </i>
    <i r="1">
      <x v="10"/>
    </i>
    <i r="1">
      <x v="11"/>
    </i>
    <i r="1">
      <x v="12"/>
    </i>
    <i r="1">
      <x v="13"/>
    </i>
    <i r="1">
      <x v="14"/>
    </i>
    <i r="1">
      <x v="15"/>
    </i>
    <i r="1">
      <x v="16"/>
    </i>
    <i r="1">
      <x v="17"/>
    </i>
    <i r="1">
      <x v="20"/>
    </i>
    <i r="1">
      <x v="21"/>
    </i>
    <i r="1">
      <x v="22"/>
    </i>
    <i r="1">
      <x v="23"/>
    </i>
    <i r="1">
      <x v="24"/>
    </i>
    <i r="1">
      <x v="25"/>
    </i>
    <i t="grand">
      <x/>
    </i>
  </rowItems>
  <colFields count="1">
    <field x="-2"/>
  </colFields>
  <colItems count="2">
    <i>
      <x/>
    </i>
    <i i="1">
      <x v="1"/>
    </i>
  </colItems>
  <dataFields count="2">
    <dataField name="Sum of HĐ MKT" fld="47" baseField="2" baseItem="3"/>
    <dataField name="Sum of Ty le chuyen doi" fld="57" baseField="0" baseItem="0" numFmtId="9"/>
  </dataFields>
  <formats count="3">
    <format dxfId="15">
      <pivotArea outline="0" collapsedLevelsAreSubtotals="1" fieldPosition="0"/>
    </format>
    <format dxfId="14">
      <pivotArea grandRow="1" outline="0" collapsedLevelsAreSubtotals="1" fieldPosition="0"/>
    </format>
    <format dxfId="13">
      <pivotArea outline="0" collapsedLevelsAreSubtotals="1" fieldPosition="0">
        <references count="1">
          <reference field="4294967294" count="1" selected="0">
            <x v="1"/>
          </reference>
        </references>
      </pivotArea>
    </format>
  </formats>
  <chartFormats count="4">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EFD42C-2D14-4286-98A3-2BD5F65CBA7F}"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1">
  <location ref="V8:W34" firstHeaderRow="1" firstDataRow="1" firstDataCol="1"/>
  <pivotFields count="59">
    <pivotField showAll="0">
      <items count="14">
        <item x="0"/>
        <item x="1"/>
        <item x="2"/>
        <item x="3"/>
        <item x="4"/>
        <item x="5"/>
        <item x="6"/>
        <item x="7"/>
        <item x="8"/>
        <item x="9"/>
        <item x="10"/>
        <item x="11"/>
        <item x="12"/>
        <item t="default"/>
      </items>
    </pivotField>
    <pivotField showAll="0">
      <items count="5">
        <item x="2"/>
        <item x="1"/>
        <item x="0"/>
        <item x="3"/>
        <item t="default"/>
      </items>
    </pivotField>
    <pivotField axis="axisRow" showAll="0">
      <items count="28">
        <item x="0"/>
        <item x="1"/>
        <item x="2"/>
        <item x="3"/>
        <item x="4"/>
        <item x="5"/>
        <item x="6"/>
        <item x="7"/>
        <item x="8"/>
        <item x="9"/>
        <item x="10"/>
        <item x="11"/>
        <item x="12"/>
        <item x="13"/>
        <item x="14"/>
        <item x="15"/>
        <item x="16"/>
        <item x="17"/>
        <item m="1" x="26"/>
        <item m="1" x="25"/>
        <item x="18"/>
        <item x="19"/>
        <item x="20"/>
        <item x="21"/>
        <item x="22"/>
        <item x="23"/>
        <item x="2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20"/>
    </i>
    <i>
      <x v="21"/>
    </i>
    <i>
      <x v="22"/>
    </i>
    <i>
      <x v="23"/>
    </i>
    <i>
      <x v="24"/>
    </i>
    <i>
      <x v="25"/>
    </i>
    <i>
      <x v="26"/>
    </i>
    <i t="grand">
      <x/>
    </i>
  </rowItems>
  <colItems count="1">
    <i/>
  </colItems>
  <dataFields count="1">
    <dataField name="Sum of Chtrình MKT" fld="11" baseField="0" baseItem="0" numFmtId="171"/>
  </dataFields>
  <formats count="2">
    <format dxfId="17">
      <pivotArea outline="0" collapsedLevelsAreSubtotals="1" fieldPosition="0"/>
    </format>
    <format dxfId="16">
      <pivotArea dataOnly="0" labelOnly="1" outline="0" axis="axisValues" fieldPosition="0"/>
    </format>
  </formats>
  <chartFormats count="16">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2"/>
          </reference>
        </references>
      </pivotArea>
    </chartFormat>
    <chartFormat chart="26" format="4">
      <pivotArea type="data" outline="0" fieldPosition="0">
        <references count="2">
          <reference field="4294967294" count="1" selected="0">
            <x v="0"/>
          </reference>
          <reference field="2" count="1" selected="0">
            <x v="21"/>
          </reference>
        </references>
      </pivotArea>
    </chartFormat>
    <chartFormat chart="26" format="5">
      <pivotArea type="data" outline="0" fieldPosition="0">
        <references count="2">
          <reference field="4294967294" count="1" selected="0">
            <x v="0"/>
          </reference>
          <reference field="2" count="1" selected="0">
            <x v="17"/>
          </reference>
        </references>
      </pivotArea>
    </chartFormat>
    <chartFormat chart="26" format="6">
      <pivotArea type="data" outline="0" fieldPosition="0">
        <references count="2">
          <reference field="4294967294" count="1" selected="0">
            <x v="0"/>
          </reference>
          <reference field="2" count="1" selected="0">
            <x v="7"/>
          </reference>
        </references>
      </pivotArea>
    </chartFormat>
    <chartFormat chart="26" format="7">
      <pivotArea type="data" outline="0" fieldPosition="0">
        <references count="2">
          <reference field="4294967294" count="1" selected="0">
            <x v="0"/>
          </reference>
          <reference field="2" count="1" selected="0">
            <x v="6"/>
          </reference>
        </references>
      </pivotArea>
    </chartFormat>
    <chartFormat chart="26" format="8">
      <pivotArea type="data" outline="0" fieldPosition="0">
        <references count="2">
          <reference field="4294967294" count="1" selected="0">
            <x v="0"/>
          </reference>
          <reference field="2" count="1" selected="0">
            <x v="5"/>
          </reference>
        </references>
      </pivotArea>
    </chartFormat>
    <chartFormat chart="26" format="9">
      <pivotArea type="data" outline="0" fieldPosition="0">
        <references count="2">
          <reference field="4294967294" count="1" selected="0">
            <x v="0"/>
          </reference>
          <reference field="2" count="1" selected="0">
            <x v="11"/>
          </reference>
        </references>
      </pivotArea>
    </chartFormat>
    <chartFormat chart="26" format="10">
      <pivotArea type="data" outline="0" fieldPosition="0">
        <references count="2">
          <reference field="4294967294" count="1" selected="0">
            <x v="0"/>
          </reference>
          <reference field="2" count="1" selected="0">
            <x v="16"/>
          </reference>
        </references>
      </pivotArea>
    </chartFormat>
    <chartFormat chart="26" format="11">
      <pivotArea type="data" outline="0" fieldPosition="0">
        <references count="2">
          <reference field="4294967294" count="1" selected="0">
            <x v="0"/>
          </reference>
          <reference field="2" count="1" selected="0">
            <x v="23"/>
          </reference>
        </references>
      </pivotArea>
    </chartFormat>
    <chartFormat chart="26" format="12">
      <pivotArea type="data" outline="0" fieldPosition="0">
        <references count="2">
          <reference field="4294967294" count="1" selected="0">
            <x v="0"/>
          </reference>
          <reference field="2" count="1" selected="0">
            <x v="24"/>
          </reference>
        </references>
      </pivotArea>
    </chartFormat>
    <chartFormat chart="26" format="13">
      <pivotArea type="data" outline="0" fieldPosition="0">
        <references count="2">
          <reference field="4294967294" count="1" selected="0">
            <x v="0"/>
          </reference>
          <reference field="2" count="1" selected="0">
            <x v="4"/>
          </reference>
        </references>
      </pivotArea>
    </chartFormat>
    <chartFormat chart="26" format="14">
      <pivotArea type="data" outline="0" fieldPosition="0">
        <references count="2">
          <reference field="4294967294" count="1" selected="0">
            <x v="0"/>
          </reference>
          <reference field="2" count="1" selected="0">
            <x v="12"/>
          </reference>
        </references>
      </pivotArea>
    </chartFormat>
    <chartFormat chart="26" format="15">
      <pivotArea type="data" outline="0" fieldPosition="0">
        <references count="2">
          <reference field="4294967294" count="1" selected="0">
            <x v="0"/>
          </reference>
          <reference field="2" count="1" selected="0">
            <x v="14"/>
          </reference>
        </references>
      </pivotArea>
    </chartFormat>
    <chartFormat chart="26" format="16">
      <pivotArea type="data" outline="0" fieldPosition="0">
        <references count="2">
          <reference field="4294967294" count="1" selected="0">
            <x v="0"/>
          </reference>
          <reference field="2"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2CB4DBD1-887A-45B1-B2E6-FC3F26636BF5}" sourceName="Tháng">
  <pivotTables>
    <pivotTable tabId="43" name="PivotTable5"/>
    <pivotTable tabId="43" name="PivotTable6"/>
    <pivotTable tabId="43" name="PivotTable7"/>
    <pivotTable tabId="43" name="PivotTable9"/>
    <pivotTable tabId="43" name="PivotTable10"/>
    <pivotTable tabId="43" name="PivotTable12"/>
    <pivotTable tabId="43" name="PivotTable13"/>
    <pivotTable tabId="43" name="PivotTable1"/>
    <pivotTable tabId="43" name="PivotTable8"/>
    <pivotTable tabId="43" name="PivotTable15"/>
    <pivotTable tabId="43" name="PivotTable17"/>
    <pivotTable tabId="43" name="PivotTable2"/>
    <pivotTable tabId="43" name="PivotTable4"/>
    <pivotTable tabId="43" name="PivotTable14"/>
    <pivotTable tabId="43" name="PivotTable16"/>
    <pivotTable tabId="43" name="PivotTable20"/>
    <pivotTable tabId="43" name="PivotTable11"/>
    <pivotTable tabId="43" name="PivotTable18"/>
    <pivotTable tabId="43" name="PivotTable3"/>
    <pivotTable tabId="43" name="PivotTable19"/>
    <pivotTable tabId="43" name="PivotTable21"/>
  </pivotTables>
  <data>
    <tabular pivotCacheId="1384976558">
      <items count="13">
        <i x="0" s="1"/>
        <i x="1" s="1"/>
        <i x="2" s="1"/>
        <i x="3" s="1"/>
        <i x="4" s="1"/>
        <i x="5" s="1"/>
        <i x="6" s="1"/>
        <i x="7" s="1"/>
        <i x="8" s="1"/>
        <i x="9" s="1"/>
        <i x="10" s="1"/>
        <i x="11" s="1"/>
        <i x="1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u_vực" xr10:uid="{D3E714A6-F2C0-4524-9DCD-E1D64FEB7E1F}" sourceName="Khu vực">
  <pivotTables>
    <pivotTable tabId="43" name="PivotTable5"/>
    <pivotTable tabId="43" name="PivotTable6"/>
    <pivotTable tabId="43" name="PivotTable7"/>
    <pivotTable tabId="43" name="PivotTable9"/>
    <pivotTable tabId="43" name="PivotTable10"/>
    <pivotTable tabId="43" name="PivotTable12"/>
    <pivotTable tabId="43" name="PivotTable13"/>
    <pivotTable tabId="43" name="PivotTable1"/>
    <pivotTable tabId="43" name="PivotTable8"/>
    <pivotTable tabId="43" name="PivotTable15"/>
    <pivotTable tabId="43" name="PivotTable17"/>
    <pivotTable tabId="43" name="PivotTable2"/>
    <pivotTable tabId="43" name="PivotTable4"/>
    <pivotTable tabId="43" name="PivotTable14"/>
    <pivotTable tabId="43" name="PivotTable16"/>
    <pivotTable tabId="43" name="PivotTable20"/>
    <pivotTable tabId="43" name="PivotTable11"/>
    <pivotTable tabId="43" name="PivotTable18"/>
    <pivotTable tabId="43" name="PivotTable3"/>
    <pivotTable tabId="43" name="PivotTable19"/>
    <pivotTable tabId="43" name="PivotTable21"/>
  </pivotTables>
  <data>
    <tabular pivotCacheId="1384976558" sortOrder="descending">
      <items count="4">
        <i x="3" s="1"/>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Đại_lý" xr10:uid="{842CBBB7-C64E-484F-B935-2E909B5F13BE}" sourceName="Đại lý">
  <pivotTables>
    <pivotTable tabId="43" name="PivotTable5"/>
    <pivotTable tabId="43" name="PivotTable6"/>
    <pivotTable tabId="43" name="PivotTable7"/>
    <pivotTable tabId="43" name="PivotTable9"/>
    <pivotTable tabId="43" name="PivotTable10"/>
    <pivotTable tabId="43" name="PivotTable12"/>
    <pivotTable tabId="43" name="PivotTable13"/>
    <pivotTable tabId="43" name="PivotTable1"/>
    <pivotTable tabId="43" name="PivotTable8"/>
    <pivotTable tabId="43" name="PivotTable15"/>
    <pivotTable tabId="43" name="PivotTable17"/>
    <pivotTable tabId="43" name="PivotTable2"/>
    <pivotTable tabId="43" name="PivotTable4"/>
    <pivotTable tabId="43" name="PivotTable14"/>
    <pivotTable tabId="43" name="PivotTable16"/>
    <pivotTable tabId="43" name="PivotTable20"/>
    <pivotTable tabId="43" name="PivotTable11"/>
    <pivotTable tabId="43" name="PivotTable18"/>
    <pivotTable tabId="43" name="PivotTable3"/>
    <pivotTable tabId="43" name="PivotTable19"/>
    <pivotTable tabId="43" name="PivotTable21"/>
  </pivotTables>
  <data>
    <tabular pivotCacheId="1384976558">
      <items count="27">
        <i x="0" s="1"/>
        <i x="1" s="1"/>
        <i x="2" s="1"/>
        <i x="3" s="1"/>
        <i x="4" s="1"/>
        <i x="5" s="1"/>
        <i x="6" s="1"/>
        <i x="7" s="1"/>
        <i x="8" s="1"/>
        <i x="9" s="1"/>
        <i x="10" s="1"/>
        <i x="11" s="1"/>
        <i x="12" s="1"/>
        <i x="13" s="1"/>
        <i x="14" s="1"/>
        <i x="15" s="1"/>
        <i x="16" s="1"/>
        <i x="17" s="1"/>
        <i x="18" s="1"/>
        <i x="19" s="1"/>
        <i x="20" s="1"/>
        <i x="21" s="1"/>
        <i x="22" s="1"/>
        <i x="23" s="1"/>
        <i x="24" s="1"/>
        <i x="26" s="1" nd="1"/>
        <i x="2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áng" xr10:uid="{A0DB5DE0-3AF2-4560-8845-C9692D0DEF39}" cache="Slicer_Tháng" caption="Tháng" columnCount="3" rowHeight="251883"/>
  <slicer name="Khu vực" xr10:uid="{90F3B146-5E0D-4053-8B4B-8875854D8B7A}" cache="Slicer_Khu_vực" caption="Khu vực" rowHeight="251883"/>
  <slicer name="Đại lý" xr10:uid="{8BBF6632-B636-4CF2-AC14-835A5EB80A4C}" cache="Slicer_Đại_lý" caption="Đại lý"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4.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9"/>
  <sheetViews>
    <sheetView topLeftCell="A3" workbookViewId="0">
      <selection activeCell="A8" sqref="A8"/>
    </sheetView>
  </sheetViews>
  <sheetFormatPr defaultRowHeight="14.4"/>
  <cols>
    <col min="1" max="1" width="5.6640625" style="5" customWidth="1"/>
    <col min="2" max="2" width="22.88671875" customWidth="1"/>
    <col min="16" max="16" width="13.88671875" customWidth="1"/>
    <col min="17" max="18" width="20.6640625" customWidth="1"/>
  </cols>
  <sheetData>
    <row r="2" spans="1:18" s="5" customFormat="1" ht="22.5" customHeight="1">
      <c r="A2" s="6"/>
      <c r="B2" s="7"/>
      <c r="C2" s="7"/>
      <c r="D2" s="8"/>
      <c r="E2" s="263" t="s">
        <v>0</v>
      </c>
      <c r="F2" s="264"/>
      <c r="G2" s="265"/>
      <c r="H2" s="16"/>
      <c r="I2" s="266" t="s">
        <v>1</v>
      </c>
      <c r="J2" s="267"/>
      <c r="K2" s="267"/>
      <c r="L2" s="267"/>
      <c r="M2" s="267"/>
      <c r="N2" s="267"/>
      <c r="O2" s="267"/>
      <c r="P2" s="268"/>
      <c r="Q2" s="7"/>
      <c r="R2" s="8"/>
    </row>
    <row r="3" spans="1:18" s="5" customFormat="1" ht="55.2">
      <c r="A3" s="2" t="s">
        <v>2</v>
      </c>
      <c r="B3" s="3" t="s">
        <v>3</v>
      </c>
      <c r="C3" s="3" t="s">
        <v>4</v>
      </c>
      <c r="D3" s="3" t="s">
        <v>5</v>
      </c>
      <c r="E3" s="15" t="s">
        <v>6</v>
      </c>
      <c r="F3" s="15" t="s">
        <v>7</v>
      </c>
      <c r="G3" s="15" t="s">
        <v>8</v>
      </c>
      <c r="H3" s="17" t="s">
        <v>9</v>
      </c>
      <c r="I3" s="17" t="s">
        <v>10</v>
      </c>
      <c r="J3" s="17" t="s">
        <v>11</v>
      </c>
      <c r="K3" s="17" t="s">
        <v>12</v>
      </c>
      <c r="L3" s="17" t="s">
        <v>13</v>
      </c>
      <c r="M3" s="17" t="s">
        <v>14</v>
      </c>
      <c r="N3" s="17" t="s">
        <v>15</v>
      </c>
      <c r="O3" s="17" t="s">
        <v>16</v>
      </c>
      <c r="P3" s="18" t="s">
        <v>17</v>
      </c>
      <c r="Q3" s="4" t="s">
        <v>18</v>
      </c>
      <c r="R3" s="4" t="s">
        <v>19</v>
      </c>
    </row>
    <row r="4" spans="1:18" s="1" customFormat="1" ht="28.5" customHeight="1">
      <c r="A4" s="11">
        <v>1</v>
      </c>
      <c r="B4" s="9" t="s">
        <v>20</v>
      </c>
      <c r="C4" s="9" t="s">
        <v>21</v>
      </c>
      <c r="D4" s="12">
        <v>130</v>
      </c>
      <c r="E4" s="12">
        <v>17</v>
      </c>
      <c r="F4" s="12">
        <v>90</v>
      </c>
      <c r="G4" s="12">
        <v>23</v>
      </c>
      <c r="H4" s="12">
        <v>3</v>
      </c>
      <c r="I4" s="12">
        <v>50</v>
      </c>
      <c r="J4" s="12">
        <v>15</v>
      </c>
      <c r="K4" s="12">
        <v>2</v>
      </c>
      <c r="L4" s="12">
        <v>1</v>
      </c>
      <c r="M4" s="12">
        <v>0</v>
      </c>
      <c r="N4" s="12">
        <v>0</v>
      </c>
      <c r="O4" s="12">
        <v>0</v>
      </c>
      <c r="P4" s="12">
        <v>62</v>
      </c>
      <c r="Q4" s="9" t="s">
        <v>22</v>
      </c>
      <c r="R4" s="9" t="s">
        <v>23</v>
      </c>
    </row>
    <row r="5" spans="1:18" s="1" customFormat="1" ht="28.5" customHeight="1">
      <c r="A5" s="11">
        <v>2</v>
      </c>
      <c r="B5" s="9" t="s">
        <v>24</v>
      </c>
      <c r="C5" s="9" t="s">
        <v>21</v>
      </c>
      <c r="D5" s="12">
        <v>123</v>
      </c>
      <c r="E5" s="12">
        <v>16</v>
      </c>
      <c r="F5" s="12">
        <v>72</v>
      </c>
      <c r="G5" s="12">
        <v>35</v>
      </c>
      <c r="H5" s="12">
        <v>1</v>
      </c>
      <c r="I5" s="12">
        <v>26</v>
      </c>
      <c r="J5" s="12">
        <v>97</v>
      </c>
      <c r="K5" s="12">
        <v>0</v>
      </c>
      <c r="L5" s="12">
        <v>0</v>
      </c>
      <c r="M5" s="12">
        <v>0</v>
      </c>
      <c r="N5" s="12">
        <v>0</v>
      </c>
      <c r="O5" s="12">
        <v>0</v>
      </c>
      <c r="P5" s="12">
        <v>0</v>
      </c>
      <c r="Q5" s="9" t="s">
        <v>25</v>
      </c>
      <c r="R5" s="9" t="s">
        <v>26</v>
      </c>
    </row>
    <row r="6" spans="1:18" s="1" customFormat="1" ht="28.5" customHeight="1">
      <c r="A6" s="11">
        <v>3</v>
      </c>
      <c r="B6" s="9" t="s">
        <v>27</v>
      </c>
      <c r="C6" s="9" t="s">
        <v>21</v>
      </c>
      <c r="D6" s="12">
        <v>63</v>
      </c>
      <c r="E6" s="13"/>
      <c r="F6" s="13"/>
      <c r="G6" s="12"/>
      <c r="H6" s="12">
        <v>0</v>
      </c>
      <c r="I6" s="12">
        <v>0</v>
      </c>
      <c r="J6" s="12">
        <v>34</v>
      </c>
      <c r="K6" s="12">
        <v>0</v>
      </c>
      <c r="L6" s="12">
        <v>0</v>
      </c>
      <c r="M6" s="12">
        <v>0</v>
      </c>
      <c r="N6" s="12">
        <v>0</v>
      </c>
      <c r="O6" s="12">
        <v>0</v>
      </c>
      <c r="P6" s="12">
        <v>29</v>
      </c>
      <c r="Q6" s="9" t="s">
        <v>28</v>
      </c>
      <c r="R6" s="9" t="s">
        <v>29</v>
      </c>
    </row>
    <row r="7" spans="1:18" s="1" customFormat="1" ht="28.5" customHeight="1">
      <c r="A7" s="11">
        <v>4</v>
      </c>
      <c r="B7" s="9" t="s">
        <v>30</v>
      </c>
      <c r="C7" s="9" t="s">
        <v>21</v>
      </c>
      <c r="D7" s="12">
        <v>16</v>
      </c>
      <c r="E7" s="12">
        <v>3</v>
      </c>
      <c r="F7" s="12">
        <v>6</v>
      </c>
      <c r="G7" s="12">
        <v>7</v>
      </c>
      <c r="H7" s="12">
        <v>0</v>
      </c>
      <c r="I7" s="12">
        <v>16</v>
      </c>
      <c r="J7" s="12">
        <v>0</v>
      </c>
      <c r="K7" s="12">
        <v>0</v>
      </c>
      <c r="L7" s="12">
        <v>0</v>
      </c>
      <c r="M7" s="12">
        <v>0</v>
      </c>
      <c r="N7" s="12">
        <v>0</v>
      </c>
      <c r="O7" s="12">
        <v>0</v>
      </c>
      <c r="P7" s="12">
        <v>0</v>
      </c>
      <c r="Q7" s="9" t="s">
        <v>31</v>
      </c>
      <c r="R7" s="9" t="s">
        <v>32</v>
      </c>
    </row>
    <row r="8" spans="1:18" s="1" customFormat="1" ht="28.5" customHeight="1">
      <c r="A8" s="11">
        <v>5</v>
      </c>
      <c r="B8" s="9" t="s">
        <v>33</v>
      </c>
      <c r="C8" s="9" t="s">
        <v>21</v>
      </c>
      <c r="D8" s="12">
        <v>82</v>
      </c>
      <c r="E8" s="12">
        <v>2</v>
      </c>
      <c r="F8" s="12">
        <v>60</v>
      </c>
      <c r="G8" s="12">
        <v>20</v>
      </c>
      <c r="H8" s="12">
        <v>2</v>
      </c>
      <c r="I8" s="12">
        <v>32</v>
      </c>
      <c r="J8" s="12">
        <v>50</v>
      </c>
      <c r="K8" s="12">
        <v>0</v>
      </c>
      <c r="L8" s="12">
        <v>0</v>
      </c>
      <c r="M8" s="12">
        <v>0</v>
      </c>
      <c r="N8" s="12">
        <v>0</v>
      </c>
      <c r="O8" s="12">
        <v>0</v>
      </c>
      <c r="P8" s="12">
        <v>0</v>
      </c>
      <c r="Q8" s="9" t="s">
        <v>34</v>
      </c>
      <c r="R8" s="9" t="s">
        <v>35</v>
      </c>
    </row>
    <row r="9" spans="1:18" s="1" customFormat="1" ht="28.5" customHeight="1">
      <c r="A9" s="11">
        <v>6</v>
      </c>
      <c r="B9" s="9" t="s">
        <v>36</v>
      </c>
      <c r="C9" s="9" t="s">
        <v>21</v>
      </c>
      <c r="D9" s="12">
        <v>102</v>
      </c>
      <c r="E9" s="12">
        <v>18</v>
      </c>
      <c r="F9" s="12">
        <v>66</v>
      </c>
      <c r="G9" s="12">
        <v>18</v>
      </c>
      <c r="H9" s="12">
        <v>0</v>
      </c>
      <c r="I9" s="12">
        <v>50</v>
      </c>
      <c r="J9" s="12">
        <v>52</v>
      </c>
      <c r="K9" s="12">
        <v>0</v>
      </c>
      <c r="L9" s="12">
        <v>0</v>
      </c>
      <c r="M9" s="12">
        <v>0</v>
      </c>
      <c r="N9" s="12">
        <v>0</v>
      </c>
      <c r="O9" s="12">
        <v>0</v>
      </c>
      <c r="P9" s="12">
        <v>0</v>
      </c>
      <c r="Q9" s="9" t="s">
        <v>37</v>
      </c>
      <c r="R9" s="9" t="s">
        <v>38</v>
      </c>
    </row>
    <row r="10" spans="1:18" s="1" customFormat="1" ht="28.5" customHeight="1">
      <c r="A10" s="11">
        <v>7</v>
      </c>
      <c r="B10" s="9" t="s">
        <v>39</v>
      </c>
      <c r="C10" s="9" t="s">
        <v>21</v>
      </c>
      <c r="D10" s="12">
        <v>168</v>
      </c>
      <c r="E10" s="12">
        <v>55</v>
      </c>
      <c r="F10" s="12">
        <v>32</v>
      </c>
      <c r="G10" s="12">
        <v>81</v>
      </c>
      <c r="H10" s="12">
        <v>3</v>
      </c>
      <c r="I10" s="12">
        <v>5</v>
      </c>
      <c r="J10" s="12">
        <v>132</v>
      </c>
      <c r="K10" s="12">
        <v>17</v>
      </c>
      <c r="L10" s="12">
        <v>0</v>
      </c>
      <c r="M10" s="12">
        <v>0</v>
      </c>
      <c r="N10" s="12">
        <v>0</v>
      </c>
      <c r="O10" s="12">
        <v>0</v>
      </c>
      <c r="P10" s="12">
        <v>14</v>
      </c>
      <c r="Q10" s="9" t="s">
        <v>40</v>
      </c>
      <c r="R10" s="9" t="s">
        <v>41</v>
      </c>
    </row>
    <row r="11" spans="1:18" s="1" customFormat="1" ht="28.5" customHeight="1">
      <c r="A11" s="11">
        <v>8</v>
      </c>
      <c r="B11" s="9" t="s">
        <v>42</v>
      </c>
      <c r="C11" s="9" t="s">
        <v>21</v>
      </c>
      <c r="D11" s="12">
        <v>102</v>
      </c>
      <c r="E11" s="12">
        <v>0</v>
      </c>
      <c r="F11" s="12">
        <v>57</v>
      </c>
      <c r="G11" s="12">
        <v>44</v>
      </c>
      <c r="H11" s="12">
        <v>0</v>
      </c>
      <c r="I11" s="12">
        <v>0</v>
      </c>
      <c r="J11" s="12">
        <v>74</v>
      </c>
      <c r="K11" s="12">
        <v>28</v>
      </c>
      <c r="L11" s="12">
        <v>0</v>
      </c>
      <c r="M11" s="12">
        <v>0</v>
      </c>
      <c r="N11" s="12">
        <v>0</v>
      </c>
      <c r="O11" s="12">
        <v>0</v>
      </c>
      <c r="P11" s="12">
        <v>0</v>
      </c>
      <c r="Q11" s="9" t="s">
        <v>43</v>
      </c>
      <c r="R11" s="9" t="s">
        <v>44</v>
      </c>
    </row>
    <row r="12" spans="1:18" s="1" customFormat="1" ht="28.5" customHeight="1">
      <c r="A12" s="11">
        <v>9</v>
      </c>
      <c r="B12" s="9" t="s">
        <v>45</v>
      </c>
      <c r="C12" s="9" t="s">
        <v>21</v>
      </c>
      <c r="D12" s="12">
        <v>95</v>
      </c>
      <c r="E12" s="12">
        <v>1</v>
      </c>
      <c r="F12" s="12">
        <v>74</v>
      </c>
      <c r="G12" s="12">
        <v>20</v>
      </c>
      <c r="H12" s="12">
        <v>1</v>
      </c>
      <c r="I12" s="12">
        <v>30</v>
      </c>
      <c r="J12" s="12">
        <v>65</v>
      </c>
      <c r="K12" s="12">
        <v>0</v>
      </c>
      <c r="L12" s="12">
        <v>0</v>
      </c>
      <c r="M12" s="12">
        <v>0</v>
      </c>
      <c r="N12" s="12">
        <v>0</v>
      </c>
      <c r="O12" s="12">
        <v>0</v>
      </c>
      <c r="P12" s="12">
        <v>0</v>
      </c>
      <c r="Q12" s="9" t="s">
        <v>46</v>
      </c>
      <c r="R12" s="9" t="s">
        <v>47</v>
      </c>
    </row>
    <row r="13" spans="1:18" s="1" customFormat="1" ht="28.5" customHeight="1">
      <c r="A13" s="11">
        <v>10</v>
      </c>
      <c r="B13" s="9" t="s">
        <v>48</v>
      </c>
      <c r="C13" s="9" t="s">
        <v>21</v>
      </c>
      <c r="D13" s="12">
        <v>54</v>
      </c>
      <c r="E13" s="12">
        <v>4</v>
      </c>
      <c r="F13" s="12">
        <v>43</v>
      </c>
      <c r="G13" s="12">
        <v>7</v>
      </c>
      <c r="H13" s="13"/>
      <c r="I13" s="12">
        <v>8</v>
      </c>
      <c r="J13" s="12">
        <v>25</v>
      </c>
      <c r="K13" s="12">
        <v>0</v>
      </c>
      <c r="L13" s="12">
        <v>10</v>
      </c>
      <c r="M13" s="12">
        <v>0</v>
      </c>
      <c r="N13" s="12">
        <v>0</v>
      </c>
      <c r="O13" s="12">
        <v>0</v>
      </c>
      <c r="P13" s="12">
        <v>11</v>
      </c>
      <c r="Q13" s="9" t="s">
        <v>31</v>
      </c>
      <c r="R13" s="9" t="s">
        <v>49</v>
      </c>
    </row>
    <row r="14" spans="1:18" s="1" customFormat="1" ht="28.5" customHeight="1">
      <c r="A14" s="11">
        <v>11</v>
      </c>
      <c r="B14" s="9" t="s">
        <v>50</v>
      </c>
      <c r="C14" s="9" t="s">
        <v>51</v>
      </c>
      <c r="D14" s="12">
        <v>30</v>
      </c>
      <c r="E14" s="12">
        <v>5</v>
      </c>
      <c r="F14" s="12">
        <v>23</v>
      </c>
      <c r="G14" s="12">
        <v>2</v>
      </c>
      <c r="H14" s="12">
        <v>4</v>
      </c>
      <c r="I14" s="12">
        <v>6</v>
      </c>
      <c r="J14" s="12">
        <v>23</v>
      </c>
      <c r="K14" s="12">
        <v>0</v>
      </c>
      <c r="L14" s="12">
        <v>0</v>
      </c>
      <c r="M14" s="12">
        <v>0</v>
      </c>
      <c r="N14" s="12">
        <v>1</v>
      </c>
      <c r="O14" s="12">
        <v>0</v>
      </c>
      <c r="P14" s="12">
        <v>0</v>
      </c>
      <c r="Q14" s="9" t="s">
        <v>52</v>
      </c>
      <c r="R14" s="9" t="s">
        <v>53</v>
      </c>
    </row>
    <row r="15" spans="1:18" s="1" customFormat="1" ht="28.5" customHeight="1">
      <c r="A15" s="11">
        <v>12</v>
      </c>
      <c r="B15" s="9" t="s">
        <v>54</v>
      </c>
      <c r="C15" s="9" t="s">
        <v>51</v>
      </c>
      <c r="D15" s="12">
        <v>69</v>
      </c>
      <c r="E15" s="12">
        <v>24</v>
      </c>
      <c r="F15" s="12">
        <v>42</v>
      </c>
      <c r="G15" s="12">
        <v>2</v>
      </c>
      <c r="H15" s="12">
        <v>4</v>
      </c>
      <c r="I15" s="12">
        <v>8</v>
      </c>
      <c r="J15" s="12">
        <v>46</v>
      </c>
      <c r="K15" s="12">
        <v>1</v>
      </c>
      <c r="L15" s="12">
        <v>13</v>
      </c>
      <c r="M15" s="12">
        <v>0</v>
      </c>
      <c r="N15" s="12">
        <v>1</v>
      </c>
      <c r="O15" s="12">
        <v>0</v>
      </c>
      <c r="P15" s="12">
        <v>0</v>
      </c>
      <c r="Q15" s="9" t="s">
        <v>55</v>
      </c>
      <c r="R15" s="9" t="s">
        <v>56</v>
      </c>
    </row>
    <row r="16" spans="1:18" s="1" customFormat="1" ht="28.5" customHeight="1">
      <c r="A16" s="11">
        <v>13</v>
      </c>
      <c r="B16" s="9" t="s">
        <v>57</v>
      </c>
      <c r="C16" s="9" t="s">
        <v>51</v>
      </c>
      <c r="D16" s="12">
        <v>86</v>
      </c>
      <c r="E16" s="12">
        <v>42</v>
      </c>
      <c r="F16" s="12">
        <v>34</v>
      </c>
      <c r="G16" s="12">
        <v>10</v>
      </c>
      <c r="H16" s="12">
        <v>11</v>
      </c>
      <c r="I16" s="12">
        <v>6</v>
      </c>
      <c r="J16" s="12">
        <v>3</v>
      </c>
      <c r="K16" s="12">
        <v>2</v>
      </c>
      <c r="L16" s="12">
        <v>0</v>
      </c>
      <c r="M16" s="12">
        <v>0</v>
      </c>
      <c r="N16" s="12">
        <v>60</v>
      </c>
      <c r="O16" s="12">
        <v>0</v>
      </c>
      <c r="P16" s="12">
        <v>15</v>
      </c>
      <c r="Q16" s="9" t="s">
        <v>58</v>
      </c>
      <c r="R16" s="9" t="s">
        <v>59</v>
      </c>
    </row>
    <row r="17" spans="1:18" s="1" customFormat="1" ht="28.5" customHeight="1">
      <c r="A17" s="11">
        <v>14</v>
      </c>
      <c r="B17" s="9" t="s">
        <v>60</v>
      </c>
      <c r="C17" s="9" t="s">
        <v>51</v>
      </c>
      <c r="D17" s="12">
        <v>60</v>
      </c>
      <c r="E17" s="12">
        <v>15</v>
      </c>
      <c r="F17" s="12">
        <v>38</v>
      </c>
      <c r="G17" s="12">
        <v>7</v>
      </c>
      <c r="H17" s="12">
        <v>0</v>
      </c>
      <c r="I17" s="12">
        <v>3</v>
      </c>
      <c r="J17" s="12">
        <v>36</v>
      </c>
      <c r="K17" s="12">
        <v>11</v>
      </c>
      <c r="L17" s="12">
        <v>0</v>
      </c>
      <c r="M17" s="12">
        <v>0</v>
      </c>
      <c r="N17" s="12">
        <v>0</v>
      </c>
      <c r="O17" s="12">
        <v>0</v>
      </c>
      <c r="P17" s="12">
        <v>10</v>
      </c>
      <c r="Q17" s="9" t="s">
        <v>61</v>
      </c>
      <c r="R17" s="9" t="s">
        <v>62</v>
      </c>
    </row>
    <row r="18" spans="1:18" s="1" customFormat="1" ht="28.5" customHeight="1">
      <c r="A18" s="11">
        <v>15</v>
      </c>
      <c r="B18" s="9" t="s">
        <v>63</v>
      </c>
      <c r="C18" s="9" t="s">
        <v>51</v>
      </c>
      <c r="D18" s="12">
        <v>206</v>
      </c>
      <c r="E18" s="12">
        <v>39</v>
      </c>
      <c r="F18" s="12">
        <v>154</v>
      </c>
      <c r="G18" s="12">
        <v>13</v>
      </c>
      <c r="H18" s="12">
        <v>32</v>
      </c>
      <c r="I18" s="12">
        <v>33</v>
      </c>
      <c r="J18" s="12">
        <v>11</v>
      </c>
      <c r="K18" s="12">
        <v>0</v>
      </c>
      <c r="L18" s="12">
        <v>100</v>
      </c>
      <c r="M18" s="12">
        <v>0</v>
      </c>
      <c r="N18" s="12">
        <v>0</v>
      </c>
      <c r="O18" s="12">
        <v>0</v>
      </c>
      <c r="P18" s="12">
        <v>62</v>
      </c>
      <c r="Q18" s="9" t="s">
        <v>64</v>
      </c>
      <c r="R18" s="9" t="s">
        <v>65</v>
      </c>
    </row>
    <row r="19" spans="1:18" s="1" customFormat="1" ht="28.5" customHeight="1">
      <c r="A19" s="11">
        <v>16</v>
      </c>
      <c r="B19" s="9" t="s">
        <v>66</v>
      </c>
      <c r="C19" s="9" t="s">
        <v>51</v>
      </c>
      <c r="D19" s="12">
        <v>180</v>
      </c>
      <c r="E19" s="12">
        <v>4</v>
      </c>
      <c r="F19" s="12">
        <v>101</v>
      </c>
      <c r="G19" s="12">
        <v>75</v>
      </c>
      <c r="H19" s="12">
        <v>0</v>
      </c>
      <c r="I19" s="12">
        <v>2</v>
      </c>
      <c r="J19" s="12">
        <v>14</v>
      </c>
      <c r="K19" s="12">
        <v>0</v>
      </c>
      <c r="L19" s="12">
        <v>125</v>
      </c>
      <c r="M19" s="12">
        <v>0</v>
      </c>
      <c r="N19" s="12">
        <v>39</v>
      </c>
      <c r="O19" s="12">
        <v>0</v>
      </c>
      <c r="P19" s="12">
        <v>0</v>
      </c>
      <c r="Q19" s="9" t="s">
        <v>67</v>
      </c>
      <c r="R19" s="9" t="s">
        <v>68</v>
      </c>
    </row>
    <row r="20" spans="1:18" s="1" customFormat="1" ht="28.5" customHeight="1">
      <c r="A20" s="11">
        <v>17</v>
      </c>
      <c r="B20" s="9" t="s">
        <v>69</v>
      </c>
      <c r="C20" s="9" t="s">
        <v>70</v>
      </c>
      <c r="D20" s="12">
        <v>78</v>
      </c>
      <c r="E20" s="12">
        <v>7</v>
      </c>
      <c r="F20" s="12">
        <v>52</v>
      </c>
      <c r="G20" s="12">
        <v>19</v>
      </c>
      <c r="H20" s="12">
        <v>4</v>
      </c>
      <c r="I20" s="12">
        <v>12</v>
      </c>
      <c r="J20" s="12">
        <v>43</v>
      </c>
      <c r="K20" s="12">
        <v>0</v>
      </c>
      <c r="L20" s="12">
        <v>0</v>
      </c>
      <c r="M20" s="12">
        <v>0</v>
      </c>
      <c r="N20" s="12">
        <v>0</v>
      </c>
      <c r="O20" s="12">
        <v>0</v>
      </c>
      <c r="P20" s="12">
        <v>23</v>
      </c>
      <c r="Q20" s="9" t="s">
        <v>71</v>
      </c>
      <c r="R20" s="9" t="s">
        <v>72</v>
      </c>
    </row>
    <row r="21" spans="1:18" s="1" customFormat="1" ht="28.5" customHeight="1">
      <c r="A21" s="11">
        <v>18</v>
      </c>
      <c r="B21" s="9" t="s">
        <v>73</v>
      </c>
      <c r="C21" s="9" t="s">
        <v>70</v>
      </c>
      <c r="D21" s="12">
        <v>15</v>
      </c>
      <c r="E21" s="12">
        <v>2</v>
      </c>
      <c r="F21" s="12">
        <v>13</v>
      </c>
      <c r="G21" s="12">
        <v>1</v>
      </c>
      <c r="H21" s="12">
        <v>0</v>
      </c>
      <c r="I21" s="12">
        <v>3</v>
      </c>
      <c r="J21" s="12">
        <v>10</v>
      </c>
      <c r="K21" s="12">
        <v>0</v>
      </c>
      <c r="L21" s="12">
        <v>2</v>
      </c>
      <c r="M21" s="12">
        <v>0</v>
      </c>
      <c r="N21" s="12">
        <v>0</v>
      </c>
      <c r="O21" s="12">
        <v>0</v>
      </c>
      <c r="P21" s="12">
        <v>1</v>
      </c>
      <c r="Q21" s="9" t="s">
        <v>74</v>
      </c>
      <c r="R21" s="9" t="s">
        <v>75</v>
      </c>
    </row>
    <row r="22" spans="1:18" s="1" customFormat="1" ht="28.5" customHeight="1">
      <c r="A22" s="11">
        <v>19</v>
      </c>
      <c r="B22" s="9" t="s">
        <v>76</v>
      </c>
      <c r="C22" s="9" t="s">
        <v>70</v>
      </c>
      <c r="D22" s="12">
        <v>30</v>
      </c>
      <c r="E22" s="12">
        <v>7</v>
      </c>
      <c r="F22" s="12">
        <v>13</v>
      </c>
      <c r="G22" s="12">
        <v>10</v>
      </c>
      <c r="H22" s="12">
        <v>0</v>
      </c>
      <c r="I22" s="12">
        <v>4</v>
      </c>
      <c r="J22" s="12">
        <v>26</v>
      </c>
      <c r="K22" s="12">
        <v>0</v>
      </c>
      <c r="L22" s="12">
        <v>0</v>
      </c>
      <c r="M22" s="12">
        <v>0</v>
      </c>
      <c r="N22" s="12">
        <v>0</v>
      </c>
      <c r="O22" s="12">
        <v>0</v>
      </c>
      <c r="P22" s="12">
        <v>0</v>
      </c>
      <c r="Q22" s="9" t="s">
        <v>77</v>
      </c>
      <c r="R22" s="9" t="s">
        <v>78</v>
      </c>
    </row>
    <row r="23" spans="1:18" s="1" customFormat="1" ht="28.5" customHeight="1">
      <c r="A23" s="11">
        <v>20</v>
      </c>
      <c r="B23" s="10" t="s">
        <v>79</v>
      </c>
      <c r="C23" s="9" t="s">
        <v>70</v>
      </c>
      <c r="D23" s="14">
        <v>92</v>
      </c>
      <c r="E23" s="14">
        <v>21</v>
      </c>
      <c r="F23" s="14">
        <v>34</v>
      </c>
      <c r="G23" s="14">
        <v>37</v>
      </c>
      <c r="H23" s="14">
        <v>3</v>
      </c>
      <c r="I23" s="14">
        <v>5</v>
      </c>
      <c r="J23" s="14">
        <v>4</v>
      </c>
      <c r="K23" s="14">
        <v>0</v>
      </c>
      <c r="L23" s="14">
        <v>0</v>
      </c>
      <c r="M23" s="14">
        <v>0</v>
      </c>
      <c r="N23" s="14">
        <v>41</v>
      </c>
      <c r="O23" s="14">
        <v>0</v>
      </c>
      <c r="P23" s="14">
        <v>42</v>
      </c>
      <c r="Q23" s="9" t="s">
        <v>80</v>
      </c>
      <c r="R23" s="9" t="s">
        <v>81</v>
      </c>
    </row>
    <row r="24" spans="1:18" s="1" customFormat="1" ht="28.5" customHeight="1">
      <c r="A24" s="11">
        <v>21</v>
      </c>
      <c r="B24" s="10" t="s">
        <v>82</v>
      </c>
      <c r="C24" s="9" t="s">
        <v>70</v>
      </c>
      <c r="D24" s="14">
        <v>76</v>
      </c>
      <c r="E24" s="14">
        <v>59</v>
      </c>
      <c r="F24" s="14">
        <v>15</v>
      </c>
      <c r="G24" s="14">
        <v>2</v>
      </c>
      <c r="H24" s="14">
        <v>0</v>
      </c>
      <c r="I24" s="14">
        <v>8</v>
      </c>
      <c r="J24" s="14">
        <v>30</v>
      </c>
      <c r="K24" s="13"/>
      <c r="L24" s="14">
        <v>1</v>
      </c>
      <c r="M24" s="14">
        <v>1</v>
      </c>
      <c r="N24" s="14">
        <v>0</v>
      </c>
      <c r="O24" s="14">
        <v>0</v>
      </c>
      <c r="P24" s="14">
        <v>36</v>
      </c>
      <c r="Q24" s="9" t="s">
        <v>83</v>
      </c>
      <c r="R24" s="9" t="s">
        <v>84</v>
      </c>
    </row>
    <row r="25" spans="1:18" s="1" customFormat="1" ht="28.5" customHeight="1">
      <c r="A25" s="11">
        <v>22</v>
      </c>
      <c r="B25" s="10" t="s">
        <v>85</v>
      </c>
      <c r="C25" s="9" t="s">
        <v>70</v>
      </c>
      <c r="D25" s="14">
        <v>6</v>
      </c>
      <c r="E25" s="14">
        <v>0</v>
      </c>
      <c r="F25" s="14">
        <v>5</v>
      </c>
      <c r="G25" s="14">
        <v>1</v>
      </c>
      <c r="H25" s="14">
        <v>0</v>
      </c>
      <c r="I25" s="14">
        <v>1</v>
      </c>
      <c r="J25" s="14">
        <v>4</v>
      </c>
      <c r="K25" s="14">
        <v>0</v>
      </c>
      <c r="L25" s="14">
        <v>0</v>
      </c>
      <c r="M25" s="14">
        <v>0</v>
      </c>
      <c r="N25" s="14">
        <v>0</v>
      </c>
      <c r="O25" s="14">
        <v>0</v>
      </c>
      <c r="P25" s="14">
        <v>1</v>
      </c>
      <c r="Q25" s="9" t="s">
        <v>31</v>
      </c>
      <c r="R25" s="9" t="s">
        <v>75</v>
      </c>
    </row>
    <row r="26" spans="1:18" s="1" customFormat="1" ht="28.5" customHeight="1">
      <c r="A26" s="11">
        <v>23</v>
      </c>
      <c r="B26" s="10" t="s">
        <v>86</v>
      </c>
      <c r="C26" s="9" t="s">
        <v>70</v>
      </c>
      <c r="D26" s="14">
        <v>48</v>
      </c>
      <c r="E26" s="14">
        <v>16</v>
      </c>
      <c r="F26" s="14">
        <v>32</v>
      </c>
      <c r="G26" s="14">
        <v>0</v>
      </c>
      <c r="H26" s="14">
        <v>0</v>
      </c>
      <c r="I26" s="14">
        <v>6</v>
      </c>
      <c r="J26" s="14">
        <v>18</v>
      </c>
      <c r="K26" s="14">
        <v>0</v>
      </c>
      <c r="L26" s="14">
        <v>0</v>
      </c>
      <c r="M26" s="14">
        <v>8</v>
      </c>
      <c r="N26" s="14">
        <v>0</v>
      </c>
      <c r="O26" s="14">
        <v>0</v>
      </c>
      <c r="P26" s="14">
        <v>16</v>
      </c>
      <c r="Q26" s="9" t="s">
        <v>31</v>
      </c>
      <c r="R26" s="9" t="s">
        <v>87</v>
      </c>
    </row>
    <row r="27" spans="1:18" s="1" customFormat="1" ht="28.5" customHeight="1">
      <c r="A27" s="11">
        <v>24</v>
      </c>
      <c r="B27" s="10" t="s">
        <v>88</v>
      </c>
      <c r="C27" s="9" t="s">
        <v>70</v>
      </c>
      <c r="D27" s="14">
        <v>39</v>
      </c>
      <c r="E27" s="14">
        <v>2</v>
      </c>
      <c r="F27" s="14">
        <v>17</v>
      </c>
      <c r="G27" s="14">
        <v>20</v>
      </c>
      <c r="H27" s="14">
        <v>0</v>
      </c>
      <c r="I27" s="14">
        <v>13</v>
      </c>
      <c r="J27" s="14">
        <v>25</v>
      </c>
      <c r="K27" s="14">
        <v>0</v>
      </c>
      <c r="L27" s="14">
        <v>1</v>
      </c>
      <c r="M27" s="14">
        <v>0</v>
      </c>
      <c r="N27" s="14">
        <v>0</v>
      </c>
      <c r="O27" s="14">
        <v>0</v>
      </c>
      <c r="P27" s="14">
        <v>0</v>
      </c>
      <c r="Q27" s="9" t="s">
        <v>31</v>
      </c>
      <c r="R27" s="9" t="s">
        <v>89</v>
      </c>
    </row>
    <row r="28" spans="1:18" s="1" customFormat="1" ht="28.5" customHeight="1">
      <c r="A28" s="11">
        <v>25</v>
      </c>
      <c r="B28" s="10" t="s">
        <v>90</v>
      </c>
      <c r="C28" s="9" t="s">
        <v>70</v>
      </c>
      <c r="D28" s="14">
        <v>26</v>
      </c>
      <c r="E28" s="14">
        <v>0</v>
      </c>
      <c r="F28" s="14">
        <v>26</v>
      </c>
      <c r="G28" s="14">
        <v>0</v>
      </c>
      <c r="H28" s="14">
        <v>0</v>
      </c>
      <c r="I28" s="14">
        <v>0</v>
      </c>
      <c r="J28" s="14">
        <v>26</v>
      </c>
      <c r="K28" s="14">
        <v>0</v>
      </c>
      <c r="L28" s="14">
        <v>0</v>
      </c>
      <c r="M28" s="14">
        <v>0</v>
      </c>
      <c r="N28" s="14">
        <v>0</v>
      </c>
      <c r="O28" s="14">
        <v>0</v>
      </c>
      <c r="P28" s="14">
        <v>0</v>
      </c>
      <c r="Q28" s="9" t="s">
        <v>31</v>
      </c>
      <c r="R28" s="9" t="s">
        <v>91</v>
      </c>
    </row>
    <row r="29" spans="1:18" s="1" customFormat="1" ht="28.5" customHeight="1">
      <c r="A29" s="11">
        <v>26</v>
      </c>
      <c r="B29" s="10" t="s">
        <v>92</v>
      </c>
      <c r="C29" s="9" t="s">
        <v>70</v>
      </c>
      <c r="D29" s="14">
        <v>61</v>
      </c>
      <c r="E29" s="14">
        <v>14</v>
      </c>
      <c r="F29" s="14">
        <v>41</v>
      </c>
      <c r="G29" s="14">
        <v>6</v>
      </c>
      <c r="H29" s="14">
        <v>0</v>
      </c>
      <c r="I29" s="14">
        <v>44</v>
      </c>
      <c r="J29" s="14">
        <v>1</v>
      </c>
      <c r="K29" s="14">
        <v>0</v>
      </c>
      <c r="L29" s="14">
        <v>0</v>
      </c>
      <c r="M29" s="14">
        <v>0</v>
      </c>
      <c r="N29" s="14">
        <v>0</v>
      </c>
      <c r="O29" s="14">
        <v>0</v>
      </c>
      <c r="P29" s="14">
        <v>16</v>
      </c>
      <c r="Q29" s="9" t="s">
        <v>83</v>
      </c>
      <c r="R29" s="9" t="s">
        <v>93</v>
      </c>
    </row>
  </sheetData>
  <mergeCells count="2">
    <mergeCell ref="E2:G2"/>
    <mergeCell ref="I2:P2"/>
  </mergeCells>
  <phoneticPr fontId="2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8124-6CB7-4382-9D56-222C44DBDC5D}">
  <dimension ref="A1:BC293"/>
  <sheetViews>
    <sheetView topLeftCell="L1" zoomScale="48" zoomScaleNormal="48" workbookViewId="0">
      <pane ySplit="1" topLeftCell="A258" activePane="bottomLeft" state="frozen"/>
      <selection pane="bottomLeft" activeCell="V301" sqref="V301"/>
    </sheetView>
  </sheetViews>
  <sheetFormatPr defaultRowHeight="14.4"/>
  <cols>
    <col min="2" max="2" width="9.77734375" customWidth="1"/>
    <col min="3" max="3" width="20.5546875" customWidth="1"/>
    <col min="4" max="12" width="8.109375" customWidth="1"/>
    <col min="13" max="27" width="10.44140625" customWidth="1"/>
    <col min="28" max="43" width="8.109375" customWidth="1"/>
    <col min="44" max="44" width="10.109375" customWidth="1"/>
    <col min="45" max="45" width="8.109375" customWidth="1"/>
    <col min="46" max="46" width="11.88671875" customWidth="1"/>
    <col min="47" max="47" width="11.44140625" customWidth="1"/>
    <col min="48" max="48" width="12.88671875" customWidth="1"/>
    <col min="49" max="49" width="8.88671875" style="153" customWidth="1"/>
    <col min="50" max="50" width="8.88671875" style="129" customWidth="1"/>
    <col min="51" max="51" width="11.44140625" customWidth="1"/>
    <col min="52" max="52" width="11.109375" style="153" customWidth="1"/>
    <col min="53" max="53" width="11.6640625" style="153" customWidth="1"/>
    <col min="54" max="54" width="14.21875" customWidth="1"/>
    <col min="55" max="55" width="14" customWidth="1"/>
  </cols>
  <sheetData>
    <row r="1" spans="1:55" ht="83.4" thickBot="1">
      <c r="A1" s="125" t="s">
        <v>156</v>
      </c>
      <c r="B1" s="125" t="s">
        <v>140</v>
      </c>
      <c r="C1" s="126" t="s">
        <v>138</v>
      </c>
      <c r="D1" s="142" t="s">
        <v>162</v>
      </c>
      <c r="E1" s="142" t="s">
        <v>163</v>
      </c>
      <c r="F1" s="142" t="s">
        <v>164</v>
      </c>
      <c r="G1" s="143" t="s">
        <v>165</v>
      </c>
      <c r="H1" s="142" t="s">
        <v>145</v>
      </c>
      <c r="I1" s="142" t="s">
        <v>167</v>
      </c>
      <c r="J1" s="142" t="s">
        <v>166</v>
      </c>
      <c r="K1" s="143" t="s">
        <v>146</v>
      </c>
      <c r="L1" s="144" t="s">
        <v>173</v>
      </c>
      <c r="M1" s="146" t="s">
        <v>181</v>
      </c>
      <c r="N1" s="145" t="s">
        <v>180</v>
      </c>
      <c r="O1" s="145" t="s">
        <v>182</v>
      </c>
      <c r="P1" s="145" t="s">
        <v>183</v>
      </c>
      <c r="Q1" s="145" t="s">
        <v>184</v>
      </c>
      <c r="R1" s="145" t="s">
        <v>185</v>
      </c>
      <c r="S1" s="145" t="s">
        <v>186</v>
      </c>
      <c r="T1" s="145" t="s">
        <v>187</v>
      </c>
      <c r="U1" s="145" t="s">
        <v>188</v>
      </c>
      <c r="V1" s="145" t="s">
        <v>189</v>
      </c>
      <c r="W1" s="145" t="s">
        <v>190</v>
      </c>
      <c r="X1" s="145" t="s">
        <v>191</v>
      </c>
      <c r="Y1" s="145" t="s">
        <v>192</v>
      </c>
      <c r="Z1" s="145" t="s">
        <v>193</v>
      </c>
      <c r="AA1" s="146" t="s">
        <v>194</v>
      </c>
      <c r="AB1" s="147" t="s">
        <v>210</v>
      </c>
      <c r="AC1" s="146" t="s">
        <v>196</v>
      </c>
      <c r="AD1" s="145" t="s">
        <v>195</v>
      </c>
      <c r="AE1" s="145" t="s">
        <v>197</v>
      </c>
      <c r="AF1" s="145" t="s">
        <v>198</v>
      </c>
      <c r="AG1" s="145" t="s">
        <v>199</v>
      </c>
      <c r="AH1" s="145" t="s">
        <v>200</v>
      </c>
      <c r="AI1" s="145" t="s">
        <v>201</v>
      </c>
      <c r="AJ1" s="145" t="s">
        <v>202</v>
      </c>
      <c r="AK1" s="145" t="s">
        <v>203</v>
      </c>
      <c r="AL1" s="145" t="s">
        <v>204</v>
      </c>
      <c r="AM1" s="145" t="s">
        <v>205</v>
      </c>
      <c r="AN1" s="145" t="s">
        <v>206</v>
      </c>
      <c r="AO1" s="145" t="s">
        <v>207</v>
      </c>
      <c r="AP1" s="145" t="s">
        <v>208</v>
      </c>
      <c r="AQ1" s="146" t="s">
        <v>209</v>
      </c>
      <c r="AR1" s="131" t="s">
        <v>223</v>
      </c>
      <c r="AS1" s="132" t="s">
        <v>219</v>
      </c>
      <c r="AT1" s="132" t="s">
        <v>221</v>
      </c>
      <c r="AU1" s="142" t="s">
        <v>157</v>
      </c>
      <c r="AV1" s="142" t="s">
        <v>159</v>
      </c>
      <c r="AW1" s="152" t="s">
        <v>161</v>
      </c>
      <c r="AX1" s="148" t="s">
        <v>160</v>
      </c>
      <c r="AY1" s="143" t="s">
        <v>174</v>
      </c>
      <c r="AZ1" s="152" t="s">
        <v>141</v>
      </c>
      <c r="BA1" s="152" t="s">
        <v>142</v>
      </c>
      <c r="BB1" s="142" t="s">
        <v>158</v>
      </c>
      <c r="BC1" s="143" t="s">
        <v>168</v>
      </c>
    </row>
    <row r="2" spans="1:55" ht="21">
      <c r="A2">
        <v>1</v>
      </c>
      <c r="B2" s="120" t="s">
        <v>70</v>
      </c>
      <c r="C2" s="116" t="s">
        <v>69</v>
      </c>
      <c r="D2" s="180">
        <v>1</v>
      </c>
      <c r="E2" s="180">
        <v>1</v>
      </c>
      <c r="F2" s="180">
        <v>1</v>
      </c>
      <c r="G2" s="180"/>
      <c r="H2" s="180">
        <v>1</v>
      </c>
      <c r="I2" s="180"/>
      <c r="J2" s="180"/>
      <c r="K2" s="180">
        <v>1</v>
      </c>
      <c r="L2" s="180">
        <f>SUM(D2:K2)</f>
        <v>5</v>
      </c>
      <c r="M2" s="181"/>
      <c r="N2" s="182"/>
      <c r="O2" s="182">
        <v>0</v>
      </c>
      <c r="P2" s="182">
        <v>22</v>
      </c>
      <c r="Q2" s="182">
        <v>48</v>
      </c>
      <c r="R2" s="182">
        <v>0</v>
      </c>
      <c r="S2" s="182">
        <v>5</v>
      </c>
      <c r="T2" s="182">
        <v>0</v>
      </c>
      <c r="U2" s="182">
        <v>0</v>
      </c>
      <c r="V2" s="182">
        <v>0</v>
      </c>
      <c r="W2" s="181"/>
      <c r="X2" s="182">
        <v>0</v>
      </c>
      <c r="Y2" s="182">
        <v>0</v>
      </c>
      <c r="Z2" s="181"/>
      <c r="AA2" s="182">
        <v>34</v>
      </c>
      <c r="AB2" s="183">
        <f>SUM(N2:AA2)</f>
        <v>109</v>
      </c>
      <c r="AC2" s="181"/>
      <c r="AD2" s="183"/>
      <c r="AE2" s="183"/>
      <c r="AF2" s="183">
        <v>5</v>
      </c>
      <c r="AG2" s="183">
        <v>7</v>
      </c>
      <c r="AH2" s="183"/>
      <c r="AI2" s="183">
        <v>1</v>
      </c>
      <c r="AJ2" s="183"/>
      <c r="AK2" s="183"/>
      <c r="AL2" s="183"/>
      <c r="AM2" s="181"/>
      <c r="AN2" s="183"/>
      <c r="AO2" s="183"/>
      <c r="AP2" s="181"/>
      <c r="AQ2" s="183">
        <v>2</v>
      </c>
      <c r="AR2" s="149">
        <f t="shared" ref="AR2:AR65" si="0">(SUM(AD2:AI2)+AQ2)*1000</f>
        <v>15000</v>
      </c>
      <c r="AS2" s="150">
        <f t="shared" ref="AS2:AS65" si="1">COUNTIF(AD2:AQ2,"&gt;0")</f>
        <v>4</v>
      </c>
      <c r="AT2" s="150">
        <f>AR2/AV2</f>
        <v>1875</v>
      </c>
      <c r="AU2" s="183">
        <f>AB2</f>
        <v>109</v>
      </c>
      <c r="AV2" s="183">
        <v>8</v>
      </c>
      <c r="AW2" s="135">
        <f>AV2/AU2</f>
        <v>7.3394495412844041E-2</v>
      </c>
      <c r="AX2" s="184">
        <v>46</v>
      </c>
      <c r="AY2" s="136">
        <f t="shared" ref="AY2:AY64" si="2">AV2/SUM(AV2+AX2)</f>
        <v>0.14814814814814814</v>
      </c>
      <c r="AZ2" s="185">
        <v>1</v>
      </c>
      <c r="BA2" s="185">
        <v>1</v>
      </c>
      <c r="BB2" s="137">
        <v>15000</v>
      </c>
      <c r="BC2" s="138">
        <v>12748668</v>
      </c>
    </row>
    <row r="3" spans="1:55" ht="31.2" customHeight="1">
      <c r="A3">
        <v>1</v>
      </c>
      <c r="B3" s="121" t="s">
        <v>21</v>
      </c>
      <c r="C3" s="117" t="s">
        <v>36</v>
      </c>
      <c r="D3" s="181"/>
      <c r="E3" s="181"/>
      <c r="F3" s="181"/>
      <c r="G3" s="181"/>
      <c r="H3" s="181"/>
      <c r="I3" s="181"/>
      <c r="J3" s="181"/>
      <c r="K3" s="181"/>
      <c r="L3" s="180">
        <f t="shared" ref="L3:L66" si="3">SUM(D3:K3)</f>
        <v>0</v>
      </c>
      <c r="M3" s="181"/>
      <c r="N3" s="182"/>
      <c r="O3" s="182"/>
      <c r="P3" s="182"/>
      <c r="Q3" s="182"/>
      <c r="R3" s="182"/>
      <c r="S3" s="182"/>
      <c r="T3" s="182"/>
      <c r="U3" s="182"/>
      <c r="V3" s="182"/>
      <c r="W3" s="181"/>
      <c r="X3" s="182"/>
      <c r="Y3" s="182"/>
      <c r="Z3" s="181"/>
      <c r="AA3" s="182"/>
      <c r="AB3" s="183">
        <f t="shared" ref="AB3:AB66" si="4">SUM(N3:AA3)</f>
        <v>0</v>
      </c>
      <c r="AC3" s="181"/>
      <c r="AD3" s="182"/>
      <c r="AE3" s="182"/>
      <c r="AF3" s="182"/>
      <c r="AG3" s="182"/>
      <c r="AH3" s="182"/>
      <c r="AI3" s="182"/>
      <c r="AJ3" s="182"/>
      <c r="AK3" s="182"/>
      <c r="AL3" s="182"/>
      <c r="AM3" s="181"/>
      <c r="AN3" s="182"/>
      <c r="AO3" s="182"/>
      <c r="AP3" s="181"/>
      <c r="AQ3" s="182"/>
      <c r="AR3" s="149">
        <f t="shared" si="0"/>
        <v>0</v>
      </c>
      <c r="AS3" s="150">
        <f t="shared" si="1"/>
        <v>0</v>
      </c>
      <c r="AT3" s="150"/>
      <c r="AU3" s="183">
        <f t="shared" ref="AU3:AU66" si="5">AB3</f>
        <v>0</v>
      </c>
      <c r="AV3" s="183">
        <v>0</v>
      </c>
      <c r="AW3" s="135" t="e">
        <f>AV3/AU3</f>
        <v>#DIV/0!</v>
      </c>
      <c r="AX3" s="184">
        <v>0</v>
      </c>
      <c r="AY3" s="136">
        <v>0</v>
      </c>
      <c r="AZ3" s="185">
        <v>0</v>
      </c>
      <c r="BA3" s="185">
        <v>0</v>
      </c>
      <c r="BB3" s="137">
        <v>0</v>
      </c>
      <c r="BC3" s="138">
        <v>0</v>
      </c>
    </row>
    <row r="4" spans="1:55" ht="21">
      <c r="A4">
        <v>1</v>
      </c>
      <c r="B4" s="121" t="s">
        <v>139</v>
      </c>
      <c r="C4" s="117" t="s">
        <v>149</v>
      </c>
      <c r="D4" s="180">
        <v>1</v>
      </c>
      <c r="E4" s="180"/>
      <c r="F4" s="180"/>
      <c r="G4" s="180"/>
      <c r="H4" s="180">
        <v>1</v>
      </c>
      <c r="I4" s="180">
        <v>2</v>
      </c>
      <c r="J4" s="180"/>
      <c r="K4" s="180">
        <v>1</v>
      </c>
      <c r="L4" s="180">
        <f t="shared" si="3"/>
        <v>5</v>
      </c>
      <c r="M4" s="181"/>
      <c r="N4" s="182">
        <v>80</v>
      </c>
      <c r="O4" s="182"/>
      <c r="P4" s="182">
        <v>83</v>
      </c>
      <c r="Q4" s="182">
        <v>49</v>
      </c>
      <c r="R4" s="182"/>
      <c r="S4" s="182"/>
      <c r="T4" s="182"/>
      <c r="U4" s="182"/>
      <c r="V4" s="182"/>
      <c r="W4" s="181"/>
      <c r="X4" s="182"/>
      <c r="Y4" s="182"/>
      <c r="Z4" s="181"/>
      <c r="AA4" s="182"/>
      <c r="AB4" s="183">
        <f t="shared" si="4"/>
        <v>212</v>
      </c>
      <c r="AC4" s="181"/>
      <c r="AD4" s="183">
        <v>20</v>
      </c>
      <c r="AE4" s="183">
        <v>10</v>
      </c>
      <c r="AF4" s="183">
        <v>20</v>
      </c>
      <c r="AG4" s="183">
        <v>10</v>
      </c>
      <c r="AH4" s="183">
        <v>5</v>
      </c>
      <c r="AI4" s="183"/>
      <c r="AJ4" s="183">
        <v>3</v>
      </c>
      <c r="AK4" s="183"/>
      <c r="AL4" s="183"/>
      <c r="AM4" s="181"/>
      <c r="AN4" s="183"/>
      <c r="AO4" s="183"/>
      <c r="AP4" s="181"/>
      <c r="AQ4" s="183"/>
      <c r="AR4" s="149">
        <f t="shared" si="0"/>
        <v>65000</v>
      </c>
      <c r="AS4" s="150">
        <f t="shared" si="1"/>
        <v>6</v>
      </c>
      <c r="AT4" s="150">
        <f t="shared" ref="AT4:AT66" si="6">AR4/AV4</f>
        <v>2826.086956521739</v>
      </c>
      <c r="AU4" s="183">
        <f t="shared" si="5"/>
        <v>212</v>
      </c>
      <c r="AV4" s="183">
        <v>23</v>
      </c>
      <c r="AW4" s="135">
        <f t="shared" ref="AW4:AW12" si="7">AV4/AU4</f>
        <v>0.10849056603773585</v>
      </c>
      <c r="AX4" s="184">
        <v>91</v>
      </c>
      <c r="AY4" s="136">
        <f t="shared" si="2"/>
        <v>0.20175438596491227</v>
      </c>
      <c r="AZ4" s="185">
        <v>1.08</v>
      </c>
      <c r="BA4" s="185">
        <v>1</v>
      </c>
      <c r="BB4" s="137">
        <v>68000</v>
      </c>
      <c r="BC4" s="138">
        <v>62373602</v>
      </c>
    </row>
    <row r="5" spans="1:55" ht="21">
      <c r="A5">
        <v>1</v>
      </c>
      <c r="B5" s="121" t="s">
        <v>70</v>
      </c>
      <c r="C5" s="117" t="s">
        <v>90</v>
      </c>
      <c r="D5" s="180"/>
      <c r="E5" s="180">
        <v>1</v>
      </c>
      <c r="F5" s="180">
        <v>2</v>
      </c>
      <c r="G5" s="180">
        <v>1</v>
      </c>
      <c r="H5" s="180"/>
      <c r="I5" s="180"/>
      <c r="J5" s="180">
        <v>1</v>
      </c>
      <c r="K5" s="180">
        <v>1</v>
      </c>
      <c r="L5" s="180">
        <f t="shared" si="3"/>
        <v>6</v>
      </c>
      <c r="M5" s="181"/>
      <c r="N5" s="182">
        <v>0</v>
      </c>
      <c r="O5" s="182">
        <v>0</v>
      </c>
      <c r="P5" s="182">
        <v>17</v>
      </c>
      <c r="Q5" s="182">
        <v>65</v>
      </c>
      <c r="R5" s="182">
        <v>0</v>
      </c>
      <c r="S5" s="182">
        <v>7</v>
      </c>
      <c r="T5" s="182">
        <v>7</v>
      </c>
      <c r="U5" s="182">
        <v>0</v>
      </c>
      <c r="V5" s="182">
        <v>0</v>
      </c>
      <c r="W5" s="181"/>
      <c r="X5" s="182">
        <v>0</v>
      </c>
      <c r="Y5" s="182">
        <v>0</v>
      </c>
      <c r="Z5" s="181"/>
      <c r="AA5" s="182">
        <v>25</v>
      </c>
      <c r="AB5" s="183">
        <f t="shared" si="4"/>
        <v>121</v>
      </c>
      <c r="AC5" s="181"/>
      <c r="AD5" s="183"/>
      <c r="AE5" s="183"/>
      <c r="AF5" s="183">
        <v>3</v>
      </c>
      <c r="AG5" s="183">
        <v>43</v>
      </c>
      <c r="AH5" s="183"/>
      <c r="AI5" s="183"/>
      <c r="AJ5" s="183"/>
      <c r="AK5" s="183"/>
      <c r="AL5" s="183"/>
      <c r="AM5" s="181"/>
      <c r="AN5" s="183"/>
      <c r="AO5" s="183"/>
      <c r="AP5" s="181"/>
      <c r="AQ5" s="183">
        <v>1</v>
      </c>
      <c r="AR5" s="149">
        <f t="shared" si="0"/>
        <v>47000</v>
      </c>
      <c r="AS5" s="150">
        <f t="shared" si="1"/>
        <v>3</v>
      </c>
      <c r="AT5" s="150">
        <f t="shared" si="6"/>
        <v>15666.666666666666</v>
      </c>
      <c r="AU5" s="183">
        <f t="shared" si="5"/>
        <v>121</v>
      </c>
      <c r="AV5" s="183">
        <v>3</v>
      </c>
      <c r="AW5" s="135">
        <f t="shared" si="7"/>
        <v>2.4793388429752067E-2</v>
      </c>
      <c r="AX5" s="184">
        <v>22</v>
      </c>
      <c r="AY5" s="136">
        <f t="shared" si="2"/>
        <v>0.12</v>
      </c>
      <c r="AZ5" s="185">
        <v>0.7</v>
      </c>
      <c r="BA5" s="185">
        <v>0.25</v>
      </c>
      <c r="BB5" s="137">
        <v>47000</v>
      </c>
      <c r="BC5" s="138">
        <v>1506676</v>
      </c>
    </row>
    <row r="6" spans="1:55" ht="21">
      <c r="A6">
        <v>1</v>
      </c>
      <c r="B6" s="121" t="s">
        <v>70</v>
      </c>
      <c r="C6" s="117" t="s">
        <v>79</v>
      </c>
      <c r="D6" s="180">
        <v>3</v>
      </c>
      <c r="E6" s="180"/>
      <c r="F6" s="180">
        <v>2</v>
      </c>
      <c r="G6" s="180"/>
      <c r="H6" s="180"/>
      <c r="I6" s="180">
        <v>1</v>
      </c>
      <c r="J6" s="180"/>
      <c r="K6" s="180">
        <v>1</v>
      </c>
      <c r="L6" s="180">
        <f t="shared" si="3"/>
        <v>7</v>
      </c>
      <c r="M6" s="181"/>
      <c r="N6" s="182">
        <v>0</v>
      </c>
      <c r="O6" s="182">
        <v>0</v>
      </c>
      <c r="P6" s="182">
        <v>5</v>
      </c>
      <c r="Q6" s="182">
        <v>32</v>
      </c>
      <c r="R6" s="182">
        <v>0</v>
      </c>
      <c r="S6" s="182">
        <v>0</v>
      </c>
      <c r="T6" s="182">
        <v>0</v>
      </c>
      <c r="U6" s="182">
        <v>0</v>
      </c>
      <c r="V6" s="182">
        <v>0</v>
      </c>
      <c r="W6" s="181"/>
      <c r="X6" s="182">
        <v>0</v>
      </c>
      <c r="Y6" s="182">
        <v>0</v>
      </c>
      <c r="Z6" s="181"/>
      <c r="AA6" s="182">
        <v>20</v>
      </c>
      <c r="AB6" s="183">
        <f t="shared" si="4"/>
        <v>57</v>
      </c>
      <c r="AC6" s="181"/>
      <c r="AD6" s="183"/>
      <c r="AE6" s="183">
        <v>5</v>
      </c>
      <c r="AF6" s="183"/>
      <c r="AG6" s="183">
        <v>10</v>
      </c>
      <c r="AH6" s="183">
        <v>5</v>
      </c>
      <c r="AI6" s="183"/>
      <c r="AJ6" s="183">
        <v>1</v>
      </c>
      <c r="AK6" s="183"/>
      <c r="AL6" s="183"/>
      <c r="AM6" s="181"/>
      <c r="AN6" s="183"/>
      <c r="AO6" s="183"/>
      <c r="AP6" s="181"/>
      <c r="AQ6" s="183"/>
      <c r="AR6" s="149">
        <f t="shared" si="0"/>
        <v>20000</v>
      </c>
      <c r="AS6" s="150">
        <f t="shared" si="1"/>
        <v>4</v>
      </c>
      <c r="AT6" s="150">
        <f t="shared" si="6"/>
        <v>20000</v>
      </c>
      <c r="AU6" s="183">
        <f t="shared" si="5"/>
        <v>57</v>
      </c>
      <c r="AV6" s="183">
        <v>1</v>
      </c>
      <c r="AW6" s="135">
        <f t="shared" si="7"/>
        <v>1.7543859649122806E-2</v>
      </c>
      <c r="AX6" s="184">
        <v>36</v>
      </c>
      <c r="AY6" s="136">
        <f t="shared" si="2"/>
        <v>2.7027027027027029E-2</v>
      </c>
      <c r="AZ6" s="185">
        <v>1</v>
      </c>
      <c r="BA6" s="185">
        <v>1</v>
      </c>
      <c r="BB6" s="137">
        <v>21000</v>
      </c>
      <c r="BC6" s="138">
        <v>6584741</v>
      </c>
    </row>
    <row r="7" spans="1:55" ht="21">
      <c r="A7">
        <v>1</v>
      </c>
      <c r="B7" s="121" t="s">
        <v>139</v>
      </c>
      <c r="C7" s="117" t="s">
        <v>60</v>
      </c>
      <c r="D7" s="180">
        <v>2</v>
      </c>
      <c r="E7" s="180"/>
      <c r="F7" s="180">
        <v>1</v>
      </c>
      <c r="G7" s="180"/>
      <c r="H7" s="180"/>
      <c r="I7" s="180">
        <v>1</v>
      </c>
      <c r="J7" s="180"/>
      <c r="K7" s="180"/>
      <c r="L7" s="180">
        <f t="shared" si="3"/>
        <v>4</v>
      </c>
      <c r="M7" s="181"/>
      <c r="N7" s="182">
        <v>128</v>
      </c>
      <c r="O7" s="182">
        <v>5</v>
      </c>
      <c r="P7" s="182">
        <v>5</v>
      </c>
      <c r="Q7" s="182">
        <v>24</v>
      </c>
      <c r="R7" s="182"/>
      <c r="S7" s="182">
        <v>36</v>
      </c>
      <c r="T7" s="182"/>
      <c r="U7" s="182"/>
      <c r="V7" s="182">
        <v>3</v>
      </c>
      <c r="W7" s="181"/>
      <c r="X7" s="182"/>
      <c r="Y7" s="182"/>
      <c r="Z7" s="181"/>
      <c r="AA7" s="182"/>
      <c r="AB7" s="183">
        <f t="shared" si="4"/>
        <v>201</v>
      </c>
      <c r="AC7" s="181"/>
      <c r="AD7" s="186">
        <v>28</v>
      </c>
      <c r="AE7" s="186">
        <v>10</v>
      </c>
      <c r="AF7" s="186">
        <v>10</v>
      </c>
      <c r="AG7" s="186">
        <v>6</v>
      </c>
      <c r="AH7" s="186"/>
      <c r="AI7" s="186">
        <v>10</v>
      </c>
      <c r="AJ7" s="186">
        <v>1</v>
      </c>
      <c r="AK7" s="186"/>
      <c r="AL7" s="186">
        <v>4</v>
      </c>
      <c r="AM7" s="181"/>
      <c r="AN7" s="186">
        <v>10</v>
      </c>
      <c r="AO7" s="186">
        <v>40</v>
      </c>
      <c r="AP7" s="181"/>
      <c r="AQ7" s="186"/>
      <c r="AR7" s="149">
        <f t="shared" si="0"/>
        <v>64000</v>
      </c>
      <c r="AS7" s="150">
        <f t="shared" si="1"/>
        <v>9</v>
      </c>
      <c r="AT7" s="150">
        <f t="shared" si="6"/>
        <v>6400</v>
      </c>
      <c r="AU7" s="183">
        <f t="shared" si="5"/>
        <v>201</v>
      </c>
      <c r="AV7" s="183">
        <v>10</v>
      </c>
      <c r="AW7" s="135">
        <f t="shared" si="7"/>
        <v>4.975124378109453E-2</v>
      </c>
      <c r="AX7" s="184">
        <v>265</v>
      </c>
      <c r="AY7" s="136">
        <f t="shared" si="2"/>
        <v>3.6363636363636362E-2</v>
      </c>
      <c r="AZ7" s="185">
        <v>1.23</v>
      </c>
      <c r="BA7" s="185">
        <v>1</v>
      </c>
      <c r="BB7" s="137">
        <v>119000</v>
      </c>
      <c r="BC7" s="138">
        <v>50661339</v>
      </c>
    </row>
    <row r="8" spans="1:55" ht="21">
      <c r="A8">
        <v>1</v>
      </c>
      <c r="B8" s="121" t="s">
        <v>139</v>
      </c>
      <c r="C8" s="117" t="s">
        <v>57</v>
      </c>
      <c r="D8" s="180">
        <v>1</v>
      </c>
      <c r="E8" s="180">
        <v>1</v>
      </c>
      <c r="F8" s="180"/>
      <c r="G8" s="180"/>
      <c r="H8" s="180">
        <v>1</v>
      </c>
      <c r="I8" s="180"/>
      <c r="J8" s="180"/>
      <c r="K8" s="180">
        <v>1</v>
      </c>
      <c r="L8" s="180">
        <f t="shared" si="3"/>
        <v>4</v>
      </c>
      <c r="M8" s="181"/>
      <c r="N8" s="182"/>
      <c r="O8" s="182">
        <v>5</v>
      </c>
      <c r="P8" s="182">
        <v>45</v>
      </c>
      <c r="Q8" s="182">
        <v>9</v>
      </c>
      <c r="R8" s="182"/>
      <c r="S8" s="182"/>
      <c r="T8" s="182"/>
      <c r="U8" s="182"/>
      <c r="V8" s="182"/>
      <c r="W8" s="181"/>
      <c r="X8" s="182"/>
      <c r="Y8" s="182"/>
      <c r="Z8" s="181"/>
      <c r="AA8" s="182"/>
      <c r="AB8" s="183">
        <f t="shared" si="4"/>
        <v>59</v>
      </c>
      <c r="AC8" s="181"/>
      <c r="AD8" s="182"/>
      <c r="AE8" s="182">
        <v>6</v>
      </c>
      <c r="AF8" s="182">
        <v>15</v>
      </c>
      <c r="AG8" s="182">
        <v>6</v>
      </c>
      <c r="AH8" s="182"/>
      <c r="AI8" s="182"/>
      <c r="AJ8" s="182"/>
      <c r="AK8" s="182"/>
      <c r="AL8" s="182"/>
      <c r="AM8" s="181"/>
      <c r="AN8" s="182">
        <v>10</v>
      </c>
      <c r="AO8" s="182"/>
      <c r="AP8" s="181"/>
      <c r="AQ8" s="182"/>
      <c r="AR8" s="149">
        <f t="shared" si="0"/>
        <v>27000</v>
      </c>
      <c r="AS8" s="150">
        <f t="shared" si="1"/>
        <v>4</v>
      </c>
      <c r="AT8" s="150">
        <f>AR8/AV8</f>
        <v>9000</v>
      </c>
      <c r="AU8" s="183">
        <f t="shared" si="5"/>
        <v>59</v>
      </c>
      <c r="AV8" s="183">
        <v>3</v>
      </c>
      <c r="AW8" s="135">
        <f t="shared" si="7"/>
        <v>5.0847457627118647E-2</v>
      </c>
      <c r="AX8" s="184">
        <v>118</v>
      </c>
      <c r="AY8" s="136">
        <f t="shared" si="2"/>
        <v>2.4793388429752067E-2</v>
      </c>
      <c r="AZ8" s="185">
        <v>1</v>
      </c>
      <c r="BA8" s="185">
        <v>1</v>
      </c>
      <c r="BB8" s="137">
        <v>37000</v>
      </c>
      <c r="BC8" s="138">
        <v>23443935</v>
      </c>
    </row>
    <row r="9" spans="1:55" ht="21">
      <c r="A9">
        <v>1</v>
      </c>
      <c r="B9" s="121" t="s">
        <v>139</v>
      </c>
      <c r="C9" s="117" t="s">
        <v>66</v>
      </c>
      <c r="D9" s="180">
        <v>1</v>
      </c>
      <c r="E9" s="180">
        <v>2</v>
      </c>
      <c r="F9" s="180"/>
      <c r="G9" s="180"/>
      <c r="H9" s="180">
        <v>1</v>
      </c>
      <c r="I9" s="180"/>
      <c r="J9" s="180"/>
      <c r="K9" s="180">
        <v>1</v>
      </c>
      <c r="L9" s="180">
        <f t="shared" si="3"/>
        <v>5</v>
      </c>
      <c r="M9" s="181"/>
      <c r="N9" s="182"/>
      <c r="O9" s="182">
        <v>17</v>
      </c>
      <c r="P9" s="182">
        <v>78</v>
      </c>
      <c r="Q9" s="182">
        <v>55</v>
      </c>
      <c r="R9" s="182"/>
      <c r="S9" s="182"/>
      <c r="T9" s="182"/>
      <c r="U9" s="182"/>
      <c r="V9" s="182"/>
      <c r="W9" s="181"/>
      <c r="X9" s="182"/>
      <c r="Y9" s="182"/>
      <c r="Z9" s="181"/>
      <c r="AA9" s="182">
        <v>11</v>
      </c>
      <c r="AB9" s="183">
        <f t="shared" si="4"/>
        <v>161</v>
      </c>
      <c r="AC9" s="181"/>
      <c r="AD9" s="183"/>
      <c r="AE9" s="183">
        <v>20</v>
      </c>
      <c r="AF9" s="183">
        <v>30</v>
      </c>
      <c r="AG9" s="183">
        <v>35</v>
      </c>
      <c r="AH9" s="183">
        <v>5</v>
      </c>
      <c r="AI9" s="183"/>
      <c r="AJ9" s="183"/>
      <c r="AK9" s="183"/>
      <c r="AL9" s="183">
        <v>40</v>
      </c>
      <c r="AM9" s="181"/>
      <c r="AN9" s="183"/>
      <c r="AO9" s="183"/>
      <c r="AP9" s="181"/>
      <c r="AQ9" s="183"/>
      <c r="AR9" s="149">
        <f t="shared" si="0"/>
        <v>90000</v>
      </c>
      <c r="AS9" s="150">
        <f t="shared" si="1"/>
        <v>5</v>
      </c>
      <c r="AT9" s="150">
        <f t="shared" si="6"/>
        <v>5000</v>
      </c>
      <c r="AU9" s="183">
        <f t="shared" si="5"/>
        <v>161</v>
      </c>
      <c r="AV9" s="183">
        <v>18</v>
      </c>
      <c r="AW9" s="135">
        <f t="shared" si="7"/>
        <v>0.11180124223602485</v>
      </c>
      <c r="AX9" s="184">
        <v>31</v>
      </c>
      <c r="AY9" s="136">
        <f t="shared" si="2"/>
        <v>0.36734693877551022</v>
      </c>
      <c r="AZ9" s="185">
        <v>1.18</v>
      </c>
      <c r="BA9" s="185">
        <v>1</v>
      </c>
      <c r="BB9" s="137">
        <v>130000</v>
      </c>
      <c r="BC9" s="138">
        <v>13345236</v>
      </c>
    </row>
    <row r="10" spans="1:55" ht="21">
      <c r="A10">
        <v>1</v>
      </c>
      <c r="B10" s="121" t="s">
        <v>70</v>
      </c>
      <c r="C10" s="117" t="s">
        <v>82</v>
      </c>
      <c r="D10" s="180">
        <v>1</v>
      </c>
      <c r="E10" s="180"/>
      <c r="F10" s="180"/>
      <c r="G10" s="180"/>
      <c r="H10" s="180"/>
      <c r="I10" s="180">
        <v>1</v>
      </c>
      <c r="J10" s="180"/>
      <c r="K10" s="180">
        <v>2</v>
      </c>
      <c r="L10" s="180">
        <f t="shared" si="3"/>
        <v>4</v>
      </c>
      <c r="M10" s="181"/>
      <c r="N10" s="182">
        <v>6</v>
      </c>
      <c r="O10" s="182">
        <v>14</v>
      </c>
      <c r="P10" s="182">
        <v>34</v>
      </c>
      <c r="Q10" s="182">
        <v>90</v>
      </c>
      <c r="R10" s="182">
        <v>19</v>
      </c>
      <c r="S10" s="182">
        <v>15</v>
      </c>
      <c r="T10" s="182">
        <v>10</v>
      </c>
      <c r="U10" s="182">
        <v>0</v>
      </c>
      <c r="V10" s="182">
        <v>8</v>
      </c>
      <c r="W10" s="181"/>
      <c r="X10" s="182">
        <v>0</v>
      </c>
      <c r="Y10" s="182">
        <v>0</v>
      </c>
      <c r="Z10" s="181"/>
      <c r="AA10" s="182">
        <v>1</v>
      </c>
      <c r="AB10" s="183">
        <f t="shared" si="4"/>
        <v>197</v>
      </c>
      <c r="AC10" s="181"/>
      <c r="AD10" s="183">
        <v>10</v>
      </c>
      <c r="AE10" s="183">
        <v>7</v>
      </c>
      <c r="AF10" s="183">
        <v>10</v>
      </c>
      <c r="AG10" s="183">
        <v>20</v>
      </c>
      <c r="AH10" s="183">
        <v>7</v>
      </c>
      <c r="AI10" s="183">
        <v>3</v>
      </c>
      <c r="AJ10" s="183">
        <v>3</v>
      </c>
      <c r="AK10" s="183"/>
      <c r="AL10" s="183">
        <v>40</v>
      </c>
      <c r="AM10" s="181"/>
      <c r="AN10" s="183"/>
      <c r="AO10" s="183"/>
      <c r="AP10" s="181"/>
      <c r="AQ10" s="183">
        <v>10</v>
      </c>
      <c r="AR10" s="149">
        <f t="shared" si="0"/>
        <v>67000</v>
      </c>
      <c r="AS10" s="150">
        <f t="shared" si="1"/>
        <v>9</v>
      </c>
      <c r="AT10" s="150">
        <f t="shared" si="6"/>
        <v>3350</v>
      </c>
      <c r="AU10" s="183">
        <f t="shared" si="5"/>
        <v>197</v>
      </c>
      <c r="AV10" s="183">
        <v>20</v>
      </c>
      <c r="AW10" s="135">
        <f t="shared" si="7"/>
        <v>0.10152284263959391</v>
      </c>
      <c r="AX10" s="184">
        <v>12</v>
      </c>
      <c r="AY10" s="136">
        <f t="shared" si="2"/>
        <v>0.625</v>
      </c>
      <c r="AZ10" s="185">
        <v>0.9</v>
      </c>
      <c r="BA10" s="185">
        <v>0.75</v>
      </c>
      <c r="BB10" s="137">
        <v>110000</v>
      </c>
      <c r="BC10" s="138">
        <v>2388730</v>
      </c>
    </row>
    <row r="11" spans="1:55" ht="21">
      <c r="A11">
        <v>1</v>
      </c>
      <c r="B11" s="121" t="s">
        <v>21</v>
      </c>
      <c r="C11" s="117" t="s">
        <v>48</v>
      </c>
      <c r="D11" s="180"/>
      <c r="E11" s="180">
        <v>2</v>
      </c>
      <c r="F11" s="180">
        <v>1</v>
      </c>
      <c r="G11" s="180"/>
      <c r="H11" s="180"/>
      <c r="I11" s="180"/>
      <c r="J11" s="180"/>
      <c r="K11" s="180">
        <v>1</v>
      </c>
      <c r="L11" s="180">
        <f t="shared" si="3"/>
        <v>4</v>
      </c>
      <c r="M11" s="181"/>
      <c r="N11" s="182">
        <v>0</v>
      </c>
      <c r="O11" s="182">
        <v>15</v>
      </c>
      <c r="P11" s="182">
        <v>66</v>
      </c>
      <c r="Q11" s="182">
        <v>118</v>
      </c>
      <c r="R11" s="182">
        <v>20</v>
      </c>
      <c r="S11" s="182">
        <v>3</v>
      </c>
      <c r="T11" s="182">
        <v>0</v>
      </c>
      <c r="U11" s="182">
        <v>0</v>
      </c>
      <c r="V11" s="182">
        <v>0</v>
      </c>
      <c r="W11" s="181"/>
      <c r="X11" s="182">
        <v>0</v>
      </c>
      <c r="Y11" s="182">
        <v>0</v>
      </c>
      <c r="Z11" s="181"/>
      <c r="AA11" s="182">
        <v>16</v>
      </c>
      <c r="AB11" s="183">
        <f t="shared" si="4"/>
        <v>238</v>
      </c>
      <c r="AC11" s="181"/>
      <c r="AD11" s="182"/>
      <c r="AE11" s="182">
        <v>15</v>
      </c>
      <c r="AF11" s="182">
        <v>20</v>
      </c>
      <c r="AG11" s="182">
        <v>16</v>
      </c>
      <c r="AH11" s="182">
        <v>5</v>
      </c>
      <c r="AI11" s="182">
        <v>5</v>
      </c>
      <c r="AJ11" s="182">
        <v>1</v>
      </c>
      <c r="AK11" s="182"/>
      <c r="AL11" s="182"/>
      <c r="AM11" s="181"/>
      <c r="AN11" s="182"/>
      <c r="AO11" s="182"/>
      <c r="AP11" s="181"/>
      <c r="AQ11" s="182"/>
      <c r="AR11" s="149">
        <f t="shared" si="0"/>
        <v>61000</v>
      </c>
      <c r="AS11" s="150">
        <f t="shared" si="1"/>
        <v>6</v>
      </c>
      <c r="AT11" s="150">
        <f t="shared" si="6"/>
        <v>15250</v>
      </c>
      <c r="AU11" s="183">
        <f t="shared" si="5"/>
        <v>238</v>
      </c>
      <c r="AV11" s="183">
        <v>4</v>
      </c>
      <c r="AW11" s="135">
        <f t="shared" si="7"/>
        <v>1.680672268907563E-2</v>
      </c>
      <c r="AX11" s="184">
        <v>105</v>
      </c>
      <c r="AY11" s="136">
        <f t="shared" si="2"/>
        <v>3.669724770642202E-2</v>
      </c>
      <c r="AZ11" s="185">
        <v>0.9</v>
      </c>
      <c r="BA11" s="185">
        <v>0.75</v>
      </c>
      <c r="BB11" s="137">
        <v>62000</v>
      </c>
      <c r="BC11" s="138">
        <v>3945265</v>
      </c>
    </row>
    <row r="12" spans="1:55" ht="21">
      <c r="A12">
        <v>1</v>
      </c>
      <c r="B12" s="121" t="s">
        <v>70</v>
      </c>
      <c r="C12" s="117" t="s">
        <v>76</v>
      </c>
      <c r="D12" s="180">
        <v>1</v>
      </c>
      <c r="E12" s="180"/>
      <c r="F12" s="180"/>
      <c r="G12" s="180"/>
      <c r="H12" s="180">
        <v>1</v>
      </c>
      <c r="I12" s="180"/>
      <c r="J12" s="180"/>
      <c r="K12" s="180">
        <v>1</v>
      </c>
      <c r="L12" s="180">
        <f t="shared" si="3"/>
        <v>3</v>
      </c>
      <c r="M12" s="181"/>
      <c r="N12" s="182">
        <v>0</v>
      </c>
      <c r="O12" s="182">
        <v>0</v>
      </c>
      <c r="P12" s="182">
        <v>26</v>
      </c>
      <c r="Q12" s="182">
        <v>28</v>
      </c>
      <c r="R12" s="182">
        <v>0</v>
      </c>
      <c r="S12" s="182">
        <v>0</v>
      </c>
      <c r="T12" s="182">
        <v>0</v>
      </c>
      <c r="U12" s="182">
        <v>0</v>
      </c>
      <c r="V12" s="182">
        <v>0</v>
      </c>
      <c r="W12" s="181"/>
      <c r="X12" s="182">
        <v>0</v>
      </c>
      <c r="Y12" s="182">
        <v>0</v>
      </c>
      <c r="Z12" s="181"/>
      <c r="AA12" s="182">
        <v>0</v>
      </c>
      <c r="AB12" s="183">
        <f t="shared" si="4"/>
        <v>54</v>
      </c>
      <c r="AC12" s="181"/>
      <c r="AD12" s="183"/>
      <c r="AE12" s="183"/>
      <c r="AF12" s="183">
        <v>11</v>
      </c>
      <c r="AG12" s="183">
        <v>7</v>
      </c>
      <c r="AH12" s="183"/>
      <c r="AI12" s="183"/>
      <c r="AJ12" s="183"/>
      <c r="AK12" s="183"/>
      <c r="AL12" s="183"/>
      <c r="AM12" s="181"/>
      <c r="AN12" s="183"/>
      <c r="AO12" s="183"/>
      <c r="AP12" s="181"/>
      <c r="AQ12" s="183"/>
      <c r="AR12" s="149">
        <f t="shared" si="0"/>
        <v>18000</v>
      </c>
      <c r="AS12" s="150">
        <f t="shared" si="1"/>
        <v>2</v>
      </c>
      <c r="AT12" s="150">
        <f t="shared" si="6"/>
        <v>2571.4285714285716</v>
      </c>
      <c r="AU12" s="183">
        <f t="shared" si="5"/>
        <v>54</v>
      </c>
      <c r="AV12" s="183">
        <v>7</v>
      </c>
      <c r="AW12" s="135">
        <f t="shared" si="7"/>
        <v>0.12962962962962962</v>
      </c>
      <c r="AX12" s="184">
        <v>30</v>
      </c>
      <c r="AY12" s="136">
        <f t="shared" si="2"/>
        <v>0.1891891891891892</v>
      </c>
      <c r="AZ12" s="185">
        <v>1</v>
      </c>
      <c r="BA12" s="185">
        <v>1</v>
      </c>
      <c r="BB12" s="137">
        <v>18000</v>
      </c>
      <c r="BC12" s="138">
        <v>10724104</v>
      </c>
    </row>
    <row r="13" spans="1:55" ht="21">
      <c r="A13">
        <v>1</v>
      </c>
      <c r="B13" s="121" t="s">
        <v>21</v>
      </c>
      <c r="C13" s="117" t="s">
        <v>27</v>
      </c>
      <c r="D13" s="180">
        <v>2</v>
      </c>
      <c r="E13" s="180"/>
      <c r="F13" s="180">
        <v>2</v>
      </c>
      <c r="G13" s="180"/>
      <c r="H13" s="180"/>
      <c r="I13" s="180"/>
      <c r="J13" s="180"/>
      <c r="K13" s="180"/>
      <c r="L13" s="180">
        <f t="shared" si="3"/>
        <v>4</v>
      </c>
      <c r="M13" s="181"/>
      <c r="N13" s="187"/>
      <c r="O13" s="187"/>
      <c r="P13" s="187"/>
      <c r="Q13" s="182">
        <v>47</v>
      </c>
      <c r="R13" s="182">
        <v>56</v>
      </c>
      <c r="S13" s="187"/>
      <c r="T13" s="187"/>
      <c r="U13" s="187"/>
      <c r="V13" s="187"/>
      <c r="W13" s="181"/>
      <c r="X13" s="187"/>
      <c r="Y13" s="187"/>
      <c r="Z13" s="181"/>
      <c r="AA13" s="187"/>
      <c r="AB13" s="183">
        <f t="shared" si="4"/>
        <v>103</v>
      </c>
      <c r="AC13" s="181"/>
      <c r="AD13" s="182"/>
      <c r="AE13" s="182"/>
      <c r="AF13" s="182"/>
      <c r="AG13" s="182">
        <v>30</v>
      </c>
      <c r="AH13" s="182">
        <v>25</v>
      </c>
      <c r="AI13" s="182"/>
      <c r="AJ13" s="182"/>
      <c r="AK13" s="182"/>
      <c r="AL13" s="182"/>
      <c r="AM13" s="181"/>
      <c r="AN13" s="182"/>
      <c r="AO13" s="182"/>
      <c r="AP13" s="181"/>
      <c r="AQ13" s="182"/>
      <c r="AR13" s="149">
        <f t="shared" si="0"/>
        <v>55000</v>
      </c>
      <c r="AS13" s="150">
        <f t="shared" si="1"/>
        <v>2</v>
      </c>
      <c r="AT13" s="150">
        <v>0</v>
      </c>
      <c r="AU13" s="183">
        <f t="shared" si="5"/>
        <v>103</v>
      </c>
      <c r="AV13" s="183">
        <v>1</v>
      </c>
      <c r="AW13" s="135">
        <f>AV13/AU13</f>
        <v>9.7087378640776691E-3</v>
      </c>
      <c r="AX13" s="184">
        <v>0</v>
      </c>
      <c r="AY13" s="136">
        <v>0</v>
      </c>
      <c r="AZ13" s="185">
        <v>0.83</v>
      </c>
      <c r="BA13" s="185">
        <v>0.5</v>
      </c>
      <c r="BB13" s="137">
        <v>55000</v>
      </c>
      <c r="BC13" s="138">
        <v>5285371</v>
      </c>
    </row>
    <row r="14" spans="1:55" ht="21">
      <c r="A14">
        <v>1</v>
      </c>
      <c r="B14" s="121" t="s">
        <v>70</v>
      </c>
      <c r="C14" s="117" t="s">
        <v>73</v>
      </c>
      <c r="D14" s="180">
        <v>1</v>
      </c>
      <c r="E14" s="180">
        <v>1</v>
      </c>
      <c r="F14" s="180"/>
      <c r="G14" s="180"/>
      <c r="H14" s="180">
        <v>1</v>
      </c>
      <c r="I14" s="180"/>
      <c r="J14" s="180"/>
      <c r="K14" s="180">
        <v>1</v>
      </c>
      <c r="L14" s="180">
        <f t="shared" si="3"/>
        <v>4</v>
      </c>
      <c r="M14" s="181"/>
      <c r="N14" s="182">
        <v>0</v>
      </c>
      <c r="O14" s="182">
        <v>0</v>
      </c>
      <c r="P14" s="182">
        <v>21</v>
      </c>
      <c r="Q14" s="182">
        <v>35</v>
      </c>
      <c r="R14" s="182">
        <v>0</v>
      </c>
      <c r="S14" s="182">
        <v>7</v>
      </c>
      <c r="T14" s="182">
        <v>0</v>
      </c>
      <c r="U14" s="182">
        <v>0</v>
      </c>
      <c r="V14" s="182">
        <v>0</v>
      </c>
      <c r="W14" s="181"/>
      <c r="X14" s="182">
        <v>0</v>
      </c>
      <c r="Y14" s="182">
        <v>0</v>
      </c>
      <c r="Z14" s="181"/>
      <c r="AA14" s="182">
        <v>19</v>
      </c>
      <c r="AB14" s="183">
        <f t="shared" si="4"/>
        <v>82</v>
      </c>
      <c r="AC14" s="181"/>
      <c r="AD14" s="183">
        <v>25</v>
      </c>
      <c r="AE14" s="183"/>
      <c r="AF14" s="183">
        <v>6</v>
      </c>
      <c r="AG14" s="183">
        <v>25</v>
      </c>
      <c r="AH14" s="183"/>
      <c r="AI14" s="183"/>
      <c r="AJ14" s="183"/>
      <c r="AK14" s="183"/>
      <c r="AL14" s="183"/>
      <c r="AM14" s="181"/>
      <c r="AN14" s="183"/>
      <c r="AO14" s="183"/>
      <c r="AP14" s="181"/>
      <c r="AQ14" s="183">
        <v>5</v>
      </c>
      <c r="AR14" s="149">
        <f t="shared" si="0"/>
        <v>61000</v>
      </c>
      <c r="AS14" s="150">
        <f t="shared" si="1"/>
        <v>4</v>
      </c>
      <c r="AT14" s="150">
        <f t="shared" si="6"/>
        <v>12200</v>
      </c>
      <c r="AU14" s="183">
        <f t="shared" si="5"/>
        <v>82</v>
      </c>
      <c r="AV14" s="183">
        <v>5</v>
      </c>
      <c r="AW14" s="135">
        <f>AV14/AU14</f>
        <v>6.097560975609756E-2</v>
      </c>
      <c r="AX14" s="184">
        <v>24</v>
      </c>
      <c r="AY14" s="136">
        <f t="shared" si="2"/>
        <v>0.17241379310344829</v>
      </c>
      <c r="AZ14" s="185">
        <v>0.9</v>
      </c>
      <c r="BA14" s="185">
        <v>0.75</v>
      </c>
      <c r="BB14" s="137">
        <v>61000</v>
      </c>
      <c r="BC14" s="138">
        <v>6785586</v>
      </c>
    </row>
    <row r="15" spans="1:55" ht="32.4" customHeight="1">
      <c r="A15">
        <v>1</v>
      </c>
      <c r="B15" s="121" t="s">
        <v>21</v>
      </c>
      <c r="C15" s="117" t="s">
        <v>30</v>
      </c>
      <c r="D15" s="181"/>
      <c r="E15" s="181"/>
      <c r="F15" s="181"/>
      <c r="G15" s="181"/>
      <c r="H15" s="181"/>
      <c r="I15" s="181"/>
      <c r="J15" s="181"/>
      <c r="K15" s="181"/>
      <c r="L15" s="180">
        <f t="shared" si="3"/>
        <v>0</v>
      </c>
      <c r="M15" s="181"/>
      <c r="N15" s="182"/>
      <c r="O15" s="182"/>
      <c r="P15" s="182"/>
      <c r="Q15" s="182"/>
      <c r="R15" s="182"/>
      <c r="S15" s="182"/>
      <c r="T15" s="182"/>
      <c r="U15" s="182"/>
      <c r="V15" s="182"/>
      <c r="W15" s="181"/>
      <c r="X15" s="182"/>
      <c r="Y15" s="182"/>
      <c r="Z15" s="181"/>
      <c r="AA15" s="182"/>
      <c r="AB15" s="183">
        <f t="shared" si="4"/>
        <v>0</v>
      </c>
      <c r="AC15" s="181"/>
      <c r="AD15" s="182"/>
      <c r="AE15" s="182"/>
      <c r="AF15" s="182"/>
      <c r="AG15" s="182"/>
      <c r="AH15" s="182"/>
      <c r="AI15" s="182"/>
      <c r="AJ15" s="182"/>
      <c r="AK15" s="182"/>
      <c r="AL15" s="182"/>
      <c r="AM15" s="181"/>
      <c r="AN15" s="182"/>
      <c r="AO15" s="182"/>
      <c r="AP15" s="181"/>
      <c r="AQ15" s="182"/>
      <c r="AR15" s="149">
        <f t="shared" si="0"/>
        <v>0</v>
      </c>
      <c r="AS15" s="150">
        <f t="shared" si="1"/>
        <v>0</v>
      </c>
      <c r="AT15" s="150">
        <v>0</v>
      </c>
      <c r="AU15" s="183">
        <f t="shared" si="5"/>
        <v>0</v>
      </c>
      <c r="AV15" s="183">
        <v>0</v>
      </c>
      <c r="AW15" s="135" t="e">
        <f>AV15/AU15</f>
        <v>#DIV/0!</v>
      </c>
      <c r="AX15" s="184">
        <v>0</v>
      </c>
      <c r="AY15" s="136">
        <v>0</v>
      </c>
      <c r="AZ15" s="185">
        <v>0</v>
      </c>
      <c r="BA15" s="185">
        <v>0</v>
      </c>
      <c r="BB15" s="137">
        <v>0</v>
      </c>
      <c r="BC15" s="138">
        <v>0</v>
      </c>
    </row>
    <row r="16" spans="1:55" ht="21">
      <c r="A16">
        <v>1</v>
      </c>
      <c r="B16" s="121" t="s">
        <v>70</v>
      </c>
      <c r="C16" s="117" t="s">
        <v>85</v>
      </c>
      <c r="D16" s="180">
        <v>2</v>
      </c>
      <c r="E16" s="180">
        <v>1</v>
      </c>
      <c r="F16" s="180"/>
      <c r="G16" s="180"/>
      <c r="H16" s="180">
        <v>1</v>
      </c>
      <c r="I16" s="180">
        <v>1</v>
      </c>
      <c r="J16" s="180">
        <v>1</v>
      </c>
      <c r="K16" s="180">
        <v>1</v>
      </c>
      <c r="L16" s="180">
        <f t="shared" si="3"/>
        <v>7</v>
      </c>
      <c r="M16" s="181"/>
      <c r="N16" s="182">
        <v>0</v>
      </c>
      <c r="O16" s="182">
        <v>21</v>
      </c>
      <c r="P16" s="182">
        <v>12</v>
      </c>
      <c r="Q16" s="182">
        <v>28</v>
      </c>
      <c r="R16" s="182">
        <v>0</v>
      </c>
      <c r="S16" s="182">
        <v>0</v>
      </c>
      <c r="T16" s="182">
        <v>4</v>
      </c>
      <c r="U16" s="182">
        <v>0</v>
      </c>
      <c r="V16" s="182">
        <v>0</v>
      </c>
      <c r="W16" s="181"/>
      <c r="X16" s="182">
        <v>0</v>
      </c>
      <c r="Y16" s="182">
        <v>0</v>
      </c>
      <c r="Z16" s="181"/>
      <c r="AA16" s="182">
        <v>10</v>
      </c>
      <c r="AB16" s="183">
        <f t="shared" si="4"/>
        <v>75</v>
      </c>
      <c r="AC16" s="181"/>
      <c r="AD16" s="183"/>
      <c r="AE16" s="183">
        <v>4</v>
      </c>
      <c r="AF16" s="183">
        <v>4</v>
      </c>
      <c r="AG16" s="183">
        <v>8</v>
      </c>
      <c r="AH16" s="183"/>
      <c r="AI16" s="183"/>
      <c r="AJ16" s="183"/>
      <c r="AK16" s="183"/>
      <c r="AL16" s="183"/>
      <c r="AM16" s="181"/>
      <c r="AN16" s="183"/>
      <c r="AO16" s="183"/>
      <c r="AP16" s="181"/>
      <c r="AQ16" s="183"/>
      <c r="AR16" s="149">
        <f t="shared" si="0"/>
        <v>16000</v>
      </c>
      <c r="AS16" s="150">
        <f t="shared" si="1"/>
        <v>3</v>
      </c>
      <c r="AT16" s="150">
        <f t="shared" si="6"/>
        <v>941.17647058823525</v>
      </c>
      <c r="AU16" s="183">
        <f t="shared" si="5"/>
        <v>75</v>
      </c>
      <c r="AV16" s="183">
        <v>17</v>
      </c>
      <c r="AW16" s="135">
        <f>AV16/AU16</f>
        <v>0.22666666666666666</v>
      </c>
      <c r="AX16" s="184">
        <v>58</v>
      </c>
      <c r="AY16" s="136">
        <f t="shared" si="2"/>
        <v>0.22666666666666666</v>
      </c>
      <c r="AZ16" s="185">
        <v>1</v>
      </c>
      <c r="BA16" s="185">
        <v>1</v>
      </c>
      <c r="BB16" s="137">
        <v>16000</v>
      </c>
      <c r="BC16" s="138">
        <v>21652058</v>
      </c>
    </row>
    <row r="17" spans="1:55" ht="21">
      <c r="A17">
        <v>1</v>
      </c>
      <c r="B17" s="121" t="s">
        <v>21</v>
      </c>
      <c r="C17" s="117" t="s">
        <v>45</v>
      </c>
      <c r="D17" s="180">
        <v>2</v>
      </c>
      <c r="E17" s="180"/>
      <c r="F17" s="180"/>
      <c r="G17" s="180"/>
      <c r="H17" s="180">
        <v>1</v>
      </c>
      <c r="I17" s="180">
        <v>2</v>
      </c>
      <c r="J17" s="180"/>
      <c r="K17" s="180">
        <v>1</v>
      </c>
      <c r="L17" s="180">
        <f t="shared" si="3"/>
        <v>6</v>
      </c>
      <c r="M17" s="181"/>
      <c r="N17" s="182">
        <v>0</v>
      </c>
      <c r="O17" s="182">
        <v>0</v>
      </c>
      <c r="P17" s="182">
        <v>54</v>
      </c>
      <c r="Q17" s="182">
        <v>18</v>
      </c>
      <c r="R17" s="182">
        <v>0</v>
      </c>
      <c r="S17" s="182">
        <v>0</v>
      </c>
      <c r="T17" s="182">
        <v>0</v>
      </c>
      <c r="U17" s="182">
        <v>0</v>
      </c>
      <c r="V17" s="182">
        <v>0</v>
      </c>
      <c r="W17" s="181"/>
      <c r="X17" s="182">
        <v>0</v>
      </c>
      <c r="Y17" s="182">
        <v>0</v>
      </c>
      <c r="Z17" s="181"/>
      <c r="AA17" s="182">
        <v>0</v>
      </c>
      <c r="AB17" s="183">
        <f t="shared" si="4"/>
        <v>72</v>
      </c>
      <c r="AC17" s="181"/>
      <c r="AD17" s="182"/>
      <c r="AE17" s="182">
        <v>23</v>
      </c>
      <c r="AF17" s="182">
        <v>60</v>
      </c>
      <c r="AG17" s="182">
        <v>80</v>
      </c>
      <c r="AH17" s="182"/>
      <c r="AI17" s="182"/>
      <c r="AJ17" s="182">
        <v>2</v>
      </c>
      <c r="AK17" s="182"/>
      <c r="AL17" s="182"/>
      <c r="AM17" s="181"/>
      <c r="AN17" s="182"/>
      <c r="AO17" s="182">
        <v>18</v>
      </c>
      <c r="AP17" s="181"/>
      <c r="AQ17" s="182">
        <v>5</v>
      </c>
      <c r="AR17" s="149">
        <f t="shared" si="0"/>
        <v>168000</v>
      </c>
      <c r="AS17" s="150">
        <f t="shared" si="1"/>
        <v>6</v>
      </c>
      <c r="AT17" s="150">
        <v>0</v>
      </c>
      <c r="AU17" s="183">
        <f t="shared" si="5"/>
        <v>72</v>
      </c>
      <c r="AV17" s="183">
        <v>2</v>
      </c>
      <c r="AW17" s="135">
        <f>AV17/AU17</f>
        <v>2.7777777777777776E-2</v>
      </c>
      <c r="AX17" s="184">
        <v>135</v>
      </c>
      <c r="AY17" s="136">
        <f t="shared" si="2"/>
        <v>1.4598540145985401E-2</v>
      </c>
      <c r="AZ17" s="185">
        <v>1</v>
      </c>
      <c r="BA17" s="185">
        <v>1</v>
      </c>
      <c r="BB17" s="137">
        <v>188000</v>
      </c>
      <c r="BC17" s="138">
        <v>9201764</v>
      </c>
    </row>
    <row r="18" spans="1:55" ht="21">
      <c r="A18">
        <v>1</v>
      </c>
      <c r="B18" s="121" t="s">
        <v>21</v>
      </c>
      <c r="C18" s="117" t="s">
        <v>20</v>
      </c>
      <c r="D18" s="180">
        <v>1</v>
      </c>
      <c r="E18" s="180"/>
      <c r="F18" s="180"/>
      <c r="G18" s="180"/>
      <c r="H18" s="180">
        <v>1</v>
      </c>
      <c r="I18" s="180"/>
      <c r="J18" s="180">
        <v>2</v>
      </c>
      <c r="K18" s="180">
        <v>2</v>
      </c>
      <c r="L18" s="180">
        <f t="shared" si="3"/>
        <v>6</v>
      </c>
      <c r="M18" s="181"/>
      <c r="N18" s="182">
        <v>0</v>
      </c>
      <c r="O18" s="182">
        <v>0</v>
      </c>
      <c r="P18" s="182">
        <v>100</v>
      </c>
      <c r="Q18" s="182">
        <v>52</v>
      </c>
      <c r="R18" s="182">
        <v>0</v>
      </c>
      <c r="S18" s="182">
        <v>3</v>
      </c>
      <c r="T18" s="182">
        <v>0</v>
      </c>
      <c r="U18" s="182">
        <v>0</v>
      </c>
      <c r="V18" s="182">
        <v>0</v>
      </c>
      <c r="W18" s="181"/>
      <c r="X18" s="182">
        <v>0</v>
      </c>
      <c r="Y18" s="182">
        <v>0</v>
      </c>
      <c r="Z18" s="181"/>
      <c r="AA18" s="182">
        <v>107</v>
      </c>
      <c r="AB18" s="183">
        <f t="shared" si="4"/>
        <v>262</v>
      </c>
      <c r="AC18" s="181"/>
      <c r="AD18" s="182">
        <v>37</v>
      </c>
      <c r="AE18" s="182">
        <v>12</v>
      </c>
      <c r="AF18" s="182">
        <v>70</v>
      </c>
      <c r="AG18" s="182">
        <v>17</v>
      </c>
      <c r="AH18" s="182">
        <v>8</v>
      </c>
      <c r="AI18" s="182"/>
      <c r="AJ18" s="182">
        <v>2</v>
      </c>
      <c r="AK18" s="182"/>
      <c r="AL18" s="182"/>
      <c r="AM18" s="181"/>
      <c r="AN18" s="182">
        <v>5</v>
      </c>
      <c r="AO18" s="182">
        <v>3</v>
      </c>
      <c r="AP18" s="181"/>
      <c r="AQ18" s="182">
        <v>17</v>
      </c>
      <c r="AR18" s="149">
        <f t="shared" si="0"/>
        <v>161000</v>
      </c>
      <c r="AS18" s="150">
        <f t="shared" si="1"/>
        <v>9</v>
      </c>
      <c r="AT18" s="150">
        <f t="shared" si="6"/>
        <v>32200</v>
      </c>
      <c r="AU18" s="183">
        <f t="shared" si="5"/>
        <v>262</v>
      </c>
      <c r="AV18" s="183">
        <v>5</v>
      </c>
      <c r="AW18" s="135">
        <f t="shared" ref="AW18:AW20" si="8">AV18/AU18</f>
        <v>1.9083969465648856E-2</v>
      </c>
      <c r="AX18" s="184">
        <v>109</v>
      </c>
      <c r="AY18" s="136">
        <f t="shared" si="2"/>
        <v>4.3859649122807015E-2</v>
      </c>
      <c r="AZ18" s="185">
        <v>1.46</v>
      </c>
      <c r="BA18" s="185">
        <v>1</v>
      </c>
      <c r="BB18" s="137">
        <v>171000</v>
      </c>
      <c r="BC18" s="138">
        <v>11909950</v>
      </c>
    </row>
    <row r="19" spans="1:55" ht="21">
      <c r="A19">
        <v>1</v>
      </c>
      <c r="B19" s="121" t="s">
        <v>139</v>
      </c>
      <c r="C19" s="117" t="s">
        <v>54</v>
      </c>
      <c r="D19" s="180">
        <v>3</v>
      </c>
      <c r="E19" s="180">
        <v>1</v>
      </c>
      <c r="F19" s="180">
        <v>1</v>
      </c>
      <c r="G19" s="180"/>
      <c r="H19" s="180"/>
      <c r="I19" s="180">
        <v>1</v>
      </c>
      <c r="J19" s="180"/>
      <c r="K19" s="180">
        <v>1</v>
      </c>
      <c r="L19" s="180">
        <f t="shared" si="3"/>
        <v>7</v>
      </c>
      <c r="M19" s="181"/>
      <c r="N19" s="182">
        <v>115</v>
      </c>
      <c r="O19" s="182">
        <v>33</v>
      </c>
      <c r="P19" s="182">
        <v>0</v>
      </c>
      <c r="Q19" s="182">
        <v>104</v>
      </c>
      <c r="R19" s="182"/>
      <c r="S19" s="182">
        <v>23</v>
      </c>
      <c r="T19" s="182"/>
      <c r="U19" s="182"/>
      <c r="V19" s="182"/>
      <c r="W19" s="181"/>
      <c r="X19" s="182"/>
      <c r="Y19" s="182"/>
      <c r="Z19" s="181"/>
      <c r="AA19" s="182"/>
      <c r="AB19" s="183">
        <f>SUM(N19:AA19)</f>
        <v>275</v>
      </c>
      <c r="AC19" s="181"/>
      <c r="AD19" s="183">
        <v>15</v>
      </c>
      <c r="AE19" s="183">
        <v>14</v>
      </c>
      <c r="AF19" s="183"/>
      <c r="AG19" s="183">
        <v>24</v>
      </c>
      <c r="AH19" s="183"/>
      <c r="AI19" s="183">
        <v>9</v>
      </c>
      <c r="AJ19" s="183"/>
      <c r="AK19" s="183"/>
      <c r="AL19" s="183"/>
      <c r="AM19" s="181"/>
      <c r="AN19" s="183"/>
      <c r="AO19" s="183"/>
      <c r="AP19" s="181"/>
      <c r="AQ19" s="183"/>
      <c r="AR19" s="149">
        <f t="shared" si="0"/>
        <v>62000</v>
      </c>
      <c r="AS19" s="150">
        <f t="shared" si="1"/>
        <v>4</v>
      </c>
      <c r="AT19" s="150">
        <f t="shared" si="6"/>
        <v>5166.666666666667</v>
      </c>
      <c r="AU19" s="183">
        <f t="shared" si="5"/>
        <v>275</v>
      </c>
      <c r="AV19" s="183">
        <v>12</v>
      </c>
      <c r="AW19" s="135">
        <f t="shared" si="8"/>
        <v>4.363636363636364E-2</v>
      </c>
      <c r="AX19" s="184">
        <v>215</v>
      </c>
      <c r="AY19" s="136">
        <f t="shared" si="2"/>
        <v>5.2863436123348019E-2</v>
      </c>
      <c r="AZ19" s="185">
        <v>1.02</v>
      </c>
      <c r="BA19" s="185">
        <v>1</v>
      </c>
      <c r="BB19" s="137">
        <v>62000</v>
      </c>
      <c r="BC19" s="138">
        <v>48335080</v>
      </c>
    </row>
    <row r="20" spans="1:55" ht="21">
      <c r="A20">
        <v>1</v>
      </c>
      <c r="B20" s="121" t="s">
        <v>21</v>
      </c>
      <c r="C20" s="117" t="s">
        <v>236</v>
      </c>
      <c r="D20" s="180">
        <v>2</v>
      </c>
      <c r="E20" s="180"/>
      <c r="F20" s="180">
        <v>1</v>
      </c>
      <c r="G20" s="180">
        <v>1</v>
      </c>
      <c r="H20" s="180"/>
      <c r="I20" s="180">
        <v>1</v>
      </c>
      <c r="J20" s="180">
        <v>1</v>
      </c>
      <c r="K20" s="180">
        <v>1</v>
      </c>
      <c r="L20" s="180">
        <f t="shared" si="3"/>
        <v>7</v>
      </c>
      <c r="M20" s="181"/>
      <c r="N20" s="183">
        <v>2</v>
      </c>
      <c r="O20" s="183">
        <v>8</v>
      </c>
      <c r="P20" s="183">
        <v>16</v>
      </c>
      <c r="Q20" s="183">
        <v>95</v>
      </c>
      <c r="R20" s="183">
        <v>0</v>
      </c>
      <c r="S20" s="183">
        <v>0</v>
      </c>
      <c r="T20" s="183">
        <v>0</v>
      </c>
      <c r="U20" s="183">
        <v>0</v>
      </c>
      <c r="V20" s="183">
        <v>0</v>
      </c>
      <c r="W20" s="181"/>
      <c r="X20" s="183">
        <v>0</v>
      </c>
      <c r="Y20" s="183">
        <v>0</v>
      </c>
      <c r="Z20" s="181"/>
      <c r="AA20" s="183">
        <v>0</v>
      </c>
      <c r="AB20" s="183"/>
      <c r="AC20" s="181"/>
      <c r="AD20" s="183">
        <v>50</v>
      </c>
      <c r="AE20" s="183"/>
      <c r="AF20" s="183">
        <v>10</v>
      </c>
      <c r="AG20" s="183">
        <v>26</v>
      </c>
      <c r="AH20" s="183"/>
      <c r="AI20" s="183"/>
      <c r="AJ20" s="183"/>
      <c r="AK20" s="183"/>
      <c r="AL20" s="183"/>
      <c r="AM20" s="181"/>
      <c r="AN20" s="183"/>
      <c r="AO20" s="183"/>
      <c r="AP20" s="181"/>
      <c r="AQ20" s="183"/>
      <c r="AR20" s="149">
        <f t="shared" si="0"/>
        <v>86000</v>
      </c>
      <c r="AS20" s="150">
        <f t="shared" si="1"/>
        <v>3</v>
      </c>
      <c r="AT20" s="150">
        <f t="shared" si="6"/>
        <v>8600</v>
      </c>
      <c r="AU20" s="183">
        <f t="shared" si="5"/>
        <v>0</v>
      </c>
      <c r="AV20" s="183">
        <v>10</v>
      </c>
      <c r="AW20" s="135" t="e">
        <f t="shared" si="8"/>
        <v>#DIV/0!</v>
      </c>
      <c r="AX20" s="184">
        <v>111</v>
      </c>
      <c r="AY20" s="136">
        <f t="shared" si="2"/>
        <v>8.2644628099173556E-2</v>
      </c>
      <c r="AZ20" s="185">
        <v>1</v>
      </c>
      <c r="BA20" s="185">
        <v>1</v>
      </c>
      <c r="BB20" s="137">
        <v>86000</v>
      </c>
      <c r="BC20" s="138">
        <v>12776369</v>
      </c>
    </row>
    <row r="21" spans="1:55" ht="21">
      <c r="A21">
        <v>1</v>
      </c>
      <c r="B21" s="121" t="s">
        <v>21</v>
      </c>
      <c r="C21" s="117" t="s">
        <v>236</v>
      </c>
      <c r="D21" s="180">
        <v>3</v>
      </c>
      <c r="E21" s="180"/>
      <c r="F21" s="180">
        <v>2</v>
      </c>
      <c r="G21" s="180"/>
      <c r="H21" s="180"/>
      <c r="I21" s="180"/>
      <c r="J21" s="180">
        <v>1</v>
      </c>
      <c r="K21" s="180">
        <v>1</v>
      </c>
      <c r="L21" s="180">
        <f t="shared" si="3"/>
        <v>7</v>
      </c>
      <c r="M21" s="181"/>
      <c r="N21" s="182">
        <v>0</v>
      </c>
      <c r="O21" s="182">
        <v>0</v>
      </c>
      <c r="P21" s="182">
        <v>30</v>
      </c>
      <c r="Q21" s="182">
        <v>30</v>
      </c>
      <c r="R21" s="182">
        <v>0</v>
      </c>
      <c r="S21" s="182">
        <v>4</v>
      </c>
      <c r="T21" s="182">
        <v>0</v>
      </c>
      <c r="U21" s="182">
        <v>0</v>
      </c>
      <c r="V21" s="182">
        <v>0</v>
      </c>
      <c r="W21" s="181"/>
      <c r="X21" s="182">
        <v>0</v>
      </c>
      <c r="Y21" s="182">
        <v>0</v>
      </c>
      <c r="Z21" s="181"/>
      <c r="AA21" s="182">
        <v>0</v>
      </c>
      <c r="AB21" s="183"/>
      <c r="AC21" s="181"/>
      <c r="AD21" s="182"/>
      <c r="AE21" s="182"/>
      <c r="AF21" s="182">
        <v>30</v>
      </c>
      <c r="AG21" s="182">
        <v>40</v>
      </c>
      <c r="AH21" s="182"/>
      <c r="AI21" s="182"/>
      <c r="AJ21" s="182"/>
      <c r="AK21" s="182"/>
      <c r="AL21" s="182"/>
      <c r="AM21" s="181"/>
      <c r="AN21" s="182"/>
      <c r="AO21" s="182"/>
      <c r="AP21" s="181"/>
      <c r="AQ21" s="182"/>
      <c r="AR21" s="149">
        <f t="shared" si="0"/>
        <v>70000</v>
      </c>
      <c r="AS21" s="150">
        <f t="shared" si="1"/>
        <v>2</v>
      </c>
      <c r="AT21" s="150">
        <v>0</v>
      </c>
      <c r="AU21" s="183">
        <f t="shared" si="5"/>
        <v>0</v>
      </c>
      <c r="AV21" s="183">
        <v>0</v>
      </c>
      <c r="AW21" s="135"/>
      <c r="AX21" s="184">
        <v>44</v>
      </c>
      <c r="AY21" s="136">
        <f t="shared" si="2"/>
        <v>0</v>
      </c>
      <c r="AZ21" s="185">
        <v>0.9</v>
      </c>
      <c r="BA21" s="185">
        <v>0.75</v>
      </c>
      <c r="BB21" s="137">
        <v>70000</v>
      </c>
      <c r="BC21" s="138">
        <v>2289302</v>
      </c>
    </row>
    <row r="22" spans="1:55" ht="21">
      <c r="A22">
        <v>1</v>
      </c>
      <c r="B22" s="121" t="s">
        <v>70</v>
      </c>
      <c r="C22" s="117" t="s">
        <v>86</v>
      </c>
      <c r="D22" s="180">
        <v>1</v>
      </c>
      <c r="E22" s="180">
        <v>2</v>
      </c>
      <c r="F22" s="180"/>
      <c r="G22" s="180">
        <v>1</v>
      </c>
      <c r="H22" s="180"/>
      <c r="I22" s="180"/>
      <c r="J22" s="180">
        <v>1</v>
      </c>
      <c r="K22" s="180"/>
      <c r="L22" s="180">
        <f t="shared" si="3"/>
        <v>5</v>
      </c>
      <c r="M22" s="181"/>
      <c r="N22" s="182">
        <v>0</v>
      </c>
      <c r="O22" s="182">
        <v>0</v>
      </c>
      <c r="P22" s="182">
        <v>31</v>
      </c>
      <c r="Q22" s="182">
        <v>31</v>
      </c>
      <c r="R22" s="182">
        <v>0</v>
      </c>
      <c r="S22" s="182">
        <v>35</v>
      </c>
      <c r="T22" s="182">
        <v>0</v>
      </c>
      <c r="U22" s="182">
        <v>0</v>
      </c>
      <c r="V22" s="182">
        <v>0</v>
      </c>
      <c r="W22" s="181"/>
      <c r="X22" s="182">
        <v>0</v>
      </c>
      <c r="Y22" s="182">
        <v>0</v>
      </c>
      <c r="Z22" s="181"/>
      <c r="AA22" s="182"/>
      <c r="AB22" s="183">
        <f>SUM(N22:AA22)</f>
        <v>97</v>
      </c>
      <c r="AC22" s="181"/>
      <c r="AD22" s="183"/>
      <c r="AE22" s="183">
        <v>2</v>
      </c>
      <c r="AF22" s="183">
        <v>9</v>
      </c>
      <c r="AG22" s="183">
        <v>13</v>
      </c>
      <c r="AH22" s="183">
        <v>1</v>
      </c>
      <c r="AI22" s="183"/>
      <c r="AJ22" s="183"/>
      <c r="AK22" s="183"/>
      <c r="AL22" s="183"/>
      <c r="AM22" s="181"/>
      <c r="AN22" s="183"/>
      <c r="AO22" s="183"/>
      <c r="AP22" s="181"/>
      <c r="AQ22" s="183"/>
      <c r="AR22" s="149">
        <f t="shared" si="0"/>
        <v>25000</v>
      </c>
      <c r="AS22" s="150">
        <f t="shared" si="1"/>
        <v>4</v>
      </c>
      <c r="AT22" s="150">
        <f t="shared" si="6"/>
        <v>12500</v>
      </c>
      <c r="AU22" s="183">
        <f>AB22</f>
        <v>97</v>
      </c>
      <c r="AV22" s="183">
        <v>2</v>
      </c>
      <c r="AW22" s="135">
        <f t="shared" ref="AW22:AW66" si="9">AV22/AU22</f>
        <v>2.0618556701030927E-2</v>
      </c>
      <c r="AX22" s="184">
        <v>87</v>
      </c>
      <c r="AY22" s="136">
        <f t="shared" si="2"/>
        <v>2.247191011235955E-2</v>
      </c>
      <c r="AZ22" s="185">
        <v>0.9</v>
      </c>
      <c r="BA22" s="185">
        <v>0.75</v>
      </c>
      <c r="BB22" s="137">
        <v>25000</v>
      </c>
      <c r="BC22" s="138">
        <v>8678445</v>
      </c>
    </row>
    <row r="23" spans="1:55" ht="21">
      <c r="A23">
        <v>1</v>
      </c>
      <c r="B23" s="121" t="s">
        <v>139</v>
      </c>
      <c r="C23" s="117" t="s">
        <v>50</v>
      </c>
      <c r="D23" s="180">
        <v>1</v>
      </c>
      <c r="E23" s="180">
        <v>1</v>
      </c>
      <c r="F23" s="180"/>
      <c r="G23" s="180"/>
      <c r="H23" s="180">
        <v>1</v>
      </c>
      <c r="I23" s="180">
        <v>2</v>
      </c>
      <c r="J23" s="180"/>
      <c r="K23" s="180">
        <v>1</v>
      </c>
      <c r="L23" s="180">
        <f t="shared" si="3"/>
        <v>6</v>
      </c>
      <c r="M23" s="181"/>
      <c r="N23" s="182"/>
      <c r="O23" s="182"/>
      <c r="P23" s="182">
        <v>5</v>
      </c>
      <c r="Q23" s="182">
        <v>103</v>
      </c>
      <c r="R23" s="182"/>
      <c r="S23" s="182">
        <v>18</v>
      </c>
      <c r="T23" s="182"/>
      <c r="U23" s="182"/>
      <c r="V23" s="182"/>
      <c r="W23" s="181"/>
      <c r="X23" s="182"/>
      <c r="Y23" s="182"/>
      <c r="Z23" s="181"/>
      <c r="AA23" s="182">
        <v>32</v>
      </c>
      <c r="AB23" s="183">
        <f t="shared" si="4"/>
        <v>158</v>
      </c>
      <c r="AC23" s="181"/>
      <c r="AD23" s="183"/>
      <c r="AE23" s="183">
        <v>5</v>
      </c>
      <c r="AF23" s="183">
        <v>9</v>
      </c>
      <c r="AG23" s="183">
        <v>20</v>
      </c>
      <c r="AH23" s="183"/>
      <c r="AI23" s="183">
        <v>9</v>
      </c>
      <c r="AJ23" s="183">
        <v>3</v>
      </c>
      <c r="AK23" s="183"/>
      <c r="AL23" s="183">
        <v>5</v>
      </c>
      <c r="AM23" s="181"/>
      <c r="AN23" s="183">
        <v>5</v>
      </c>
      <c r="AO23" s="183"/>
      <c r="AP23" s="181"/>
      <c r="AQ23" s="183"/>
      <c r="AR23" s="149">
        <f t="shared" si="0"/>
        <v>43000</v>
      </c>
      <c r="AS23" s="150">
        <f t="shared" si="1"/>
        <v>7</v>
      </c>
      <c r="AT23" s="150">
        <f t="shared" si="6"/>
        <v>3909.090909090909</v>
      </c>
      <c r="AU23" s="183">
        <f t="shared" si="5"/>
        <v>158</v>
      </c>
      <c r="AV23" s="183">
        <v>11</v>
      </c>
      <c r="AW23" s="135">
        <f t="shared" si="9"/>
        <v>6.9620253164556958E-2</v>
      </c>
      <c r="AX23" s="184">
        <v>32</v>
      </c>
      <c r="AY23" s="136">
        <f t="shared" si="2"/>
        <v>0.2558139534883721</v>
      </c>
      <c r="AZ23" s="185">
        <v>1.1399999999999999</v>
      </c>
      <c r="BA23" s="185">
        <v>1</v>
      </c>
      <c r="BB23" s="137">
        <v>56000</v>
      </c>
      <c r="BC23" s="138">
        <v>24719945</v>
      </c>
    </row>
    <row r="24" spans="1:55" ht="21">
      <c r="A24">
        <v>1</v>
      </c>
      <c r="B24" s="121" t="s">
        <v>70</v>
      </c>
      <c r="C24" s="117" t="s">
        <v>88</v>
      </c>
      <c r="D24" s="180">
        <v>1</v>
      </c>
      <c r="E24" s="180"/>
      <c r="F24" s="180">
        <v>1</v>
      </c>
      <c r="G24" s="180"/>
      <c r="H24" s="180">
        <v>1</v>
      </c>
      <c r="I24" s="180"/>
      <c r="J24" s="180">
        <v>1</v>
      </c>
      <c r="K24" s="180">
        <v>1</v>
      </c>
      <c r="L24" s="180">
        <f t="shared" si="3"/>
        <v>5</v>
      </c>
      <c r="M24" s="181"/>
      <c r="N24" s="182">
        <v>0</v>
      </c>
      <c r="O24" s="182">
        <v>0</v>
      </c>
      <c r="P24" s="182">
        <v>27</v>
      </c>
      <c r="Q24" s="182">
        <v>38</v>
      </c>
      <c r="R24" s="182">
        <v>0</v>
      </c>
      <c r="S24" s="182">
        <v>13</v>
      </c>
      <c r="T24" s="182">
        <v>0</v>
      </c>
      <c r="U24" s="182">
        <v>0</v>
      </c>
      <c r="V24" s="182">
        <v>0</v>
      </c>
      <c r="W24" s="181"/>
      <c r="X24" s="182">
        <v>0</v>
      </c>
      <c r="Y24" s="182">
        <v>0</v>
      </c>
      <c r="Z24" s="181"/>
      <c r="AA24" s="182">
        <v>0</v>
      </c>
      <c r="AB24" s="183">
        <f t="shared" si="4"/>
        <v>78</v>
      </c>
      <c r="AC24" s="181"/>
      <c r="AD24" s="183"/>
      <c r="AE24" s="183">
        <v>3</v>
      </c>
      <c r="AF24" s="183">
        <v>3</v>
      </c>
      <c r="AG24" s="183">
        <v>25</v>
      </c>
      <c r="AH24" s="183"/>
      <c r="AI24" s="183">
        <v>5</v>
      </c>
      <c r="AJ24" s="183"/>
      <c r="AK24" s="183"/>
      <c r="AL24" s="183"/>
      <c r="AM24" s="181"/>
      <c r="AN24" s="183"/>
      <c r="AO24" s="183"/>
      <c r="AP24" s="181"/>
      <c r="AQ24" s="183"/>
      <c r="AR24" s="149">
        <f t="shared" si="0"/>
        <v>36000</v>
      </c>
      <c r="AS24" s="150">
        <f t="shared" si="1"/>
        <v>4</v>
      </c>
      <c r="AT24" s="150">
        <f t="shared" si="6"/>
        <v>1333.3333333333333</v>
      </c>
      <c r="AU24" s="183">
        <f t="shared" si="5"/>
        <v>78</v>
      </c>
      <c r="AV24" s="183">
        <v>27</v>
      </c>
      <c r="AW24" s="135">
        <f t="shared" si="9"/>
        <v>0.34615384615384615</v>
      </c>
      <c r="AX24" s="184">
        <v>86</v>
      </c>
      <c r="AY24" s="136">
        <f t="shared" si="2"/>
        <v>0.23893805309734514</v>
      </c>
      <c r="AZ24" s="185">
        <v>1</v>
      </c>
      <c r="BA24" s="185">
        <v>1</v>
      </c>
      <c r="BB24" s="137">
        <v>36000</v>
      </c>
      <c r="BC24" s="138">
        <v>11256346</v>
      </c>
    </row>
    <row r="25" spans="1:55" ht="21">
      <c r="A25">
        <v>1</v>
      </c>
      <c r="B25" s="121" t="s">
        <v>21</v>
      </c>
      <c r="C25" s="117" t="s">
        <v>33</v>
      </c>
      <c r="D25" s="180">
        <v>1</v>
      </c>
      <c r="E25" s="180"/>
      <c r="F25" s="180">
        <v>1</v>
      </c>
      <c r="G25" s="180"/>
      <c r="H25" s="180"/>
      <c r="I25" s="180">
        <v>1</v>
      </c>
      <c r="J25" s="180"/>
      <c r="K25" s="180">
        <v>1</v>
      </c>
      <c r="L25" s="180">
        <f t="shared" si="3"/>
        <v>4</v>
      </c>
      <c r="M25" s="181"/>
      <c r="N25" s="183"/>
      <c r="O25" s="183"/>
      <c r="P25" s="183"/>
      <c r="Q25" s="183"/>
      <c r="R25" s="183"/>
      <c r="S25" s="183"/>
      <c r="T25" s="183"/>
      <c r="U25" s="183"/>
      <c r="V25" s="183"/>
      <c r="W25" s="181"/>
      <c r="X25" s="183"/>
      <c r="Y25" s="183"/>
      <c r="Z25" s="181"/>
      <c r="AA25" s="183"/>
      <c r="AB25" s="183">
        <f t="shared" si="4"/>
        <v>0</v>
      </c>
      <c r="AC25" s="181"/>
      <c r="AD25" s="183"/>
      <c r="AE25" s="183"/>
      <c r="AF25" s="183"/>
      <c r="AG25" s="183"/>
      <c r="AH25" s="183"/>
      <c r="AI25" s="183"/>
      <c r="AJ25" s="183"/>
      <c r="AK25" s="183"/>
      <c r="AL25" s="183"/>
      <c r="AM25" s="181"/>
      <c r="AN25" s="183"/>
      <c r="AO25" s="183"/>
      <c r="AP25" s="181"/>
      <c r="AQ25" s="183"/>
      <c r="AR25" s="149">
        <f t="shared" si="0"/>
        <v>0</v>
      </c>
      <c r="AS25" s="150">
        <f t="shared" si="1"/>
        <v>0</v>
      </c>
      <c r="AT25" s="150">
        <v>0</v>
      </c>
      <c r="AU25" s="183">
        <f t="shared" si="5"/>
        <v>0</v>
      </c>
      <c r="AV25" s="183">
        <v>11</v>
      </c>
      <c r="AW25" s="135"/>
      <c r="AX25" s="184">
        <v>0</v>
      </c>
      <c r="AY25" s="136">
        <v>0</v>
      </c>
      <c r="AZ25" s="185">
        <v>0.7</v>
      </c>
      <c r="BA25" s="185">
        <v>0.25</v>
      </c>
      <c r="BB25" s="137">
        <v>0</v>
      </c>
      <c r="BC25" s="138">
        <v>3101924</v>
      </c>
    </row>
    <row r="26" spans="1:55" ht="21">
      <c r="A26">
        <v>1</v>
      </c>
      <c r="B26" s="121" t="s">
        <v>21</v>
      </c>
      <c r="C26" s="117" t="s">
        <v>24</v>
      </c>
      <c r="D26" s="180">
        <v>1</v>
      </c>
      <c r="E26" s="180"/>
      <c r="F26" s="180"/>
      <c r="G26" s="180"/>
      <c r="H26" s="180">
        <v>1</v>
      </c>
      <c r="I26" s="180"/>
      <c r="J26" s="180"/>
      <c r="K26" s="180">
        <v>1</v>
      </c>
      <c r="L26" s="180">
        <f t="shared" si="3"/>
        <v>3</v>
      </c>
      <c r="M26" s="181"/>
      <c r="N26" s="182">
        <v>0</v>
      </c>
      <c r="O26" s="182">
        <v>0</v>
      </c>
      <c r="P26" s="182">
        <v>3</v>
      </c>
      <c r="Q26" s="182">
        <v>109</v>
      </c>
      <c r="R26" s="182">
        <v>0</v>
      </c>
      <c r="S26" s="182">
        <v>0</v>
      </c>
      <c r="T26" s="182">
        <v>0</v>
      </c>
      <c r="U26" s="182">
        <v>0</v>
      </c>
      <c r="V26" s="182">
        <v>0</v>
      </c>
      <c r="W26" s="181"/>
      <c r="X26" s="182">
        <v>0</v>
      </c>
      <c r="Y26" s="182">
        <v>0</v>
      </c>
      <c r="Z26" s="181"/>
      <c r="AA26" s="182">
        <v>21</v>
      </c>
      <c r="AB26" s="183">
        <f t="shared" si="4"/>
        <v>133</v>
      </c>
      <c r="AC26" s="181"/>
      <c r="AD26" s="182">
        <v>7</v>
      </c>
      <c r="AE26" s="182"/>
      <c r="AF26" s="182">
        <v>6</v>
      </c>
      <c r="AG26" s="182">
        <v>25</v>
      </c>
      <c r="AH26" s="182"/>
      <c r="AI26" s="182"/>
      <c r="AJ26" s="182">
        <v>1</v>
      </c>
      <c r="AK26" s="182"/>
      <c r="AL26" s="182"/>
      <c r="AM26" s="181"/>
      <c r="AN26" s="182">
        <v>3</v>
      </c>
      <c r="AO26" s="182"/>
      <c r="AP26" s="181"/>
      <c r="AQ26" s="182"/>
      <c r="AR26" s="149">
        <f t="shared" si="0"/>
        <v>38000</v>
      </c>
      <c r="AS26" s="150">
        <f t="shared" si="1"/>
        <v>5</v>
      </c>
      <c r="AT26" s="150">
        <f t="shared" si="6"/>
        <v>12666.666666666666</v>
      </c>
      <c r="AU26" s="183">
        <f t="shared" si="5"/>
        <v>133</v>
      </c>
      <c r="AV26" s="183">
        <v>3</v>
      </c>
      <c r="AW26" s="135">
        <f t="shared" si="9"/>
        <v>2.2556390977443608E-2</v>
      </c>
      <c r="AX26" s="184">
        <v>95</v>
      </c>
      <c r="AY26" s="136">
        <f t="shared" si="2"/>
        <v>3.0612244897959183E-2</v>
      </c>
      <c r="AZ26" s="185">
        <v>1.04</v>
      </c>
      <c r="BA26" s="185">
        <v>1</v>
      </c>
      <c r="BB26" s="137">
        <v>42000</v>
      </c>
      <c r="BC26" s="138">
        <v>6225927</v>
      </c>
    </row>
    <row r="27" spans="1:55" ht="21.6" thickBot="1">
      <c r="A27">
        <v>1</v>
      </c>
      <c r="B27" s="122" t="s">
        <v>70</v>
      </c>
      <c r="C27" s="118" t="s">
        <v>92</v>
      </c>
      <c r="D27" s="180">
        <v>1</v>
      </c>
      <c r="E27" s="180">
        <v>1</v>
      </c>
      <c r="F27" s="180"/>
      <c r="G27" s="180"/>
      <c r="H27" s="180">
        <v>1</v>
      </c>
      <c r="I27" s="180"/>
      <c r="J27" s="180"/>
      <c r="K27" s="180">
        <v>1</v>
      </c>
      <c r="L27" s="180">
        <f t="shared" si="3"/>
        <v>4</v>
      </c>
      <c r="M27" s="181"/>
      <c r="N27" s="182">
        <v>0</v>
      </c>
      <c r="O27" s="182">
        <v>4</v>
      </c>
      <c r="P27" s="182">
        <v>29</v>
      </c>
      <c r="Q27" s="182">
        <v>73</v>
      </c>
      <c r="R27" s="182">
        <v>0</v>
      </c>
      <c r="S27" s="182">
        <v>3</v>
      </c>
      <c r="T27" s="182">
        <v>0</v>
      </c>
      <c r="U27" s="182">
        <v>0</v>
      </c>
      <c r="V27" s="182">
        <v>0</v>
      </c>
      <c r="W27" s="181"/>
      <c r="X27" s="182">
        <v>0</v>
      </c>
      <c r="Y27" s="182">
        <v>0</v>
      </c>
      <c r="Z27" s="181"/>
      <c r="AA27" s="182"/>
      <c r="AB27" s="183">
        <f t="shared" si="4"/>
        <v>109</v>
      </c>
      <c r="AC27" s="181"/>
      <c r="AD27" s="183"/>
      <c r="AE27" s="183"/>
      <c r="AF27" s="183">
        <v>7</v>
      </c>
      <c r="AG27" s="183">
        <v>18</v>
      </c>
      <c r="AH27" s="183"/>
      <c r="AI27" s="183">
        <v>1</v>
      </c>
      <c r="AJ27" s="183"/>
      <c r="AK27" s="183"/>
      <c r="AL27" s="183"/>
      <c r="AM27" s="181"/>
      <c r="AN27" s="183"/>
      <c r="AO27" s="183"/>
      <c r="AP27" s="181"/>
      <c r="AQ27" s="183">
        <v>35</v>
      </c>
      <c r="AR27" s="149">
        <f t="shared" si="0"/>
        <v>61000</v>
      </c>
      <c r="AS27" s="150">
        <f t="shared" si="1"/>
        <v>4</v>
      </c>
      <c r="AT27" s="150">
        <f t="shared" si="6"/>
        <v>20333.333333333332</v>
      </c>
      <c r="AU27" s="183">
        <f t="shared" si="5"/>
        <v>109</v>
      </c>
      <c r="AV27" s="183">
        <v>3</v>
      </c>
      <c r="AW27" s="135">
        <f t="shared" si="9"/>
        <v>2.7522935779816515E-2</v>
      </c>
      <c r="AX27" s="184">
        <v>35</v>
      </c>
      <c r="AY27" s="136">
        <f t="shared" si="2"/>
        <v>7.8947368421052627E-2</v>
      </c>
      <c r="AZ27" s="185">
        <v>1.32</v>
      </c>
      <c r="BA27" s="185">
        <v>1</v>
      </c>
      <c r="BB27" s="137">
        <v>61000</v>
      </c>
      <c r="BC27" s="138">
        <v>6142643</v>
      </c>
    </row>
    <row r="28" spans="1:55" ht="21">
      <c r="A28">
        <v>2</v>
      </c>
      <c r="B28" s="120" t="s">
        <v>70</v>
      </c>
      <c r="C28" s="139" t="s">
        <v>69</v>
      </c>
      <c r="D28" s="188">
        <v>2</v>
      </c>
      <c r="E28" s="188">
        <v>1</v>
      </c>
      <c r="F28" s="188"/>
      <c r="G28" s="188">
        <v>1</v>
      </c>
      <c r="H28" s="188"/>
      <c r="I28" s="188">
        <v>1</v>
      </c>
      <c r="J28" s="188"/>
      <c r="K28" s="188">
        <v>1</v>
      </c>
      <c r="L28" s="180">
        <f t="shared" si="3"/>
        <v>6</v>
      </c>
      <c r="M28" s="181"/>
      <c r="N28" s="181">
        <v>37</v>
      </c>
      <c r="O28" s="181">
        <v>0</v>
      </c>
      <c r="P28" s="181">
        <v>18</v>
      </c>
      <c r="Q28" s="181">
        <v>108</v>
      </c>
      <c r="R28" s="181">
        <v>0</v>
      </c>
      <c r="S28" s="181">
        <v>6</v>
      </c>
      <c r="T28" s="181">
        <v>0</v>
      </c>
      <c r="U28" s="181">
        <v>0</v>
      </c>
      <c r="V28" s="181">
        <v>0</v>
      </c>
      <c r="W28" s="181">
        <v>0</v>
      </c>
      <c r="X28" s="181">
        <v>0</v>
      </c>
      <c r="Y28" s="181"/>
      <c r="Z28" s="181"/>
      <c r="AA28" s="181"/>
      <c r="AB28" s="183">
        <f t="shared" si="4"/>
        <v>169</v>
      </c>
      <c r="AC28" s="181"/>
      <c r="AD28" s="181"/>
      <c r="AE28" s="181"/>
      <c r="AF28" s="181">
        <v>6</v>
      </c>
      <c r="AG28" s="181">
        <v>7</v>
      </c>
      <c r="AH28" s="181"/>
      <c r="AI28" s="181">
        <v>1</v>
      </c>
      <c r="AJ28" s="181"/>
      <c r="AK28" s="181"/>
      <c r="AL28" s="181"/>
      <c r="AM28" s="181"/>
      <c r="AN28" s="181"/>
      <c r="AO28" s="181"/>
      <c r="AP28" s="181"/>
      <c r="AQ28" s="181">
        <v>2</v>
      </c>
      <c r="AR28" s="149">
        <f t="shared" si="0"/>
        <v>16000</v>
      </c>
      <c r="AS28" s="150">
        <f t="shared" si="1"/>
        <v>4</v>
      </c>
      <c r="AT28" s="150">
        <f t="shared" si="6"/>
        <v>1333.3333333333333</v>
      </c>
      <c r="AU28" s="183">
        <f t="shared" si="5"/>
        <v>169</v>
      </c>
      <c r="AV28" s="183">
        <v>12</v>
      </c>
      <c r="AW28" s="135">
        <f t="shared" si="9"/>
        <v>7.1005917159763315E-2</v>
      </c>
      <c r="AX28" s="184">
        <v>40</v>
      </c>
      <c r="AY28" s="136">
        <f t="shared" si="2"/>
        <v>0.23076923076923078</v>
      </c>
      <c r="AZ28" s="185">
        <v>1.64</v>
      </c>
      <c r="BA28" s="185">
        <v>1</v>
      </c>
      <c r="BB28" s="137">
        <v>16000</v>
      </c>
      <c r="BC28" s="138">
        <v>15043377</v>
      </c>
    </row>
    <row r="29" spans="1:55" ht="21">
      <c r="A29">
        <v>2</v>
      </c>
      <c r="B29" s="121" t="s">
        <v>21</v>
      </c>
      <c r="C29" s="140" t="s">
        <v>36</v>
      </c>
      <c r="D29" s="181"/>
      <c r="E29" s="181"/>
      <c r="F29" s="181"/>
      <c r="G29" s="181"/>
      <c r="H29" s="181"/>
      <c r="I29" s="181"/>
      <c r="J29" s="181"/>
      <c r="K29" s="181"/>
      <c r="L29" s="180">
        <f t="shared" si="3"/>
        <v>0</v>
      </c>
      <c r="M29" s="181"/>
      <c r="N29" s="180"/>
      <c r="O29" s="180"/>
      <c r="P29" s="180"/>
      <c r="Q29" s="180"/>
      <c r="R29" s="180"/>
      <c r="S29" s="180"/>
      <c r="T29" s="180"/>
      <c r="U29" s="180"/>
      <c r="V29" s="180"/>
      <c r="W29" s="180"/>
      <c r="X29" s="180"/>
      <c r="Y29" s="181"/>
      <c r="Z29" s="181"/>
      <c r="AA29" s="180"/>
      <c r="AB29" s="183">
        <f t="shared" si="4"/>
        <v>0</v>
      </c>
      <c r="AC29" s="181"/>
      <c r="AD29" s="180"/>
      <c r="AE29" s="180"/>
      <c r="AF29" s="180"/>
      <c r="AG29" s="180"/>
      <c r="AH29" s="180"/>
      <c r="AI29" s="180"/>
      <c r="AJ29" s="180"/>
      <c r="AK29" s="180"/>
      <c r="AL29" s="180"/>
      <c r="AM29" s="181"/>
      <c r="AN29" s="180"/>
      <c r="AO29" s="180"/>
      <c r="AP29" s="181"/>
      <c r="AQ29" s="180"/>
      <c r="AR29" s="149">
        <f t="shared" si="0"/>
        <v>0</v>
      </c>
      <c r="AS29" s="150">
        <f t="shared" si="1"/>
        <v>0</v>
      </c>
      <c r="AT29" s="150">
        <v>0</v>
      </c>
      <c r="AU29" s="183">
        <f t="shared" si="5"/>
        <v>0</v>
      </c>
      <c r="AV29" s="183">
        <v>0</v>
      </c>
      <c r="AW29" s="135"/>
      <c r="AX29" s="184">
        <v>0</v>
      </c>
      <c r="AY29" s="136">
        <v>0</v>
      </c>
      <c r="AZ29" s="185">
        <v>0</v>
      </c>
      <c r="BA29" s="185">
        <v>0</v>
      </c>
      <c r="BB29" s="137">
        <v>0</v>
      </c>
      <c r="BC29" s="138">
        <v>0</v>
      </c>
    </row>
    <row r="30" spans="1:55" ht="21">
      <c r="A30">
        <v>2</v>
      </c>
      <c r="B30" s="121" t="s">
        <v>139</v>
      </c>
      <c r="C30" s="140" t="s">
        <v>149</v>
      </c>
      <c r="D30" s="188">
        <v>1</v>
      </c>
      <c r="E30" s="188"/>
      <c r="F30" s="188"/>
      <c r="G30" s="188"/>
      <c r="H30" s="188"/>
      <c r="I30" s="188">
        <v>1</v>
      </c>
      <c r="J30" s="188"/>
      <c r="K30" s="188">
        <v>1</v>
      </c>
      <c r="L30" s="180">
        <f t="shared" si="3"/>
        <v>3</v>
      </c>
      <c r="M30" s="181"/>
      <c r="N30" s="180"/>
      <c r="O30" s="180"/>
      <c r="P30" s="180">
        <v>134</v>
      </c>
      <c r="Q30" s="180">
        <v>36</v>
      </c>
      <c r="R30" s="180"/>
      <c r="S30" s="180"/>
      <c r="T30" s="180"/>
      <c r="U30" s="180"/>
      <c r="V30" s="180"/>
      <c r="W30" s="180"/>
      <c r="X30" s="180"/>
      <c r="Y30" s="181"/>
      <c r="Z30" s="181"/>
      <c r="AA30" s="180"/>
      <c r="AB30" s="183">
        <f t="shared" si="4"/>
        <v>170</v>
      </c>
      <c r="AC30" s="181"/>
      <c r="AD30" s="180"/>
      <c r="AE30" s="180">
        <v>8</v>
      </c>
      <c r="AF30" s="180">
        <v>20</v>
      </c>
      <c r="AG30" s="180">
        <v>10</v>
      </c>
      <c r="AH30" s="180">
        <v>5</v>
      </c>
      <c r="AI30" s="180"/>
      <c r="AJ30" s="180">
        <v>3</v>
      </c>
      <c r="AK30" s="180"/>
      <c r="AL30" s="180">
        <v>10</v>
      </c>
      <c r="AM30" s="181"/>
      <c r="AN30" s="180"/>
      <c r="AO30" s="180">
        <v>20</v>
      </c>
      <c r="AP30" s="181"/>
      <c r="AQ30" s="180"/>
      <c r="AR30" s="149">
        <f t="shared" si="0"/>
        <v>43000</v>
      </c>
      <c r="AS30" s="150">
        <f t="shared" si="1"/>
        <v>7</v>
      </c>
      <c r="AT30" s="150">
        <f t="shared" si="6"/>
        <v>3071.4285714285716</v>
      </c>
      <c r="AU30" s="183">
        <f t="shared" si="5"/>
        <v>170</v>
      </c>
      <c r="AV30" s="183">
        <v>14</v>
      </c>
      <c r="AW30" s="135">
        <f t="shared" si="9"/>
        <v>8.2352941176470587E-2</v>
      </c>
      <c r="AX30" s="184">
        <v>80</v>
      </c>
      <c r="AY30" s="136">
        <f t="shared" si="2"/>
        <v>0.14893617021276595</v>
      </c>
      <c r="AZ30" s="185">
        <v>1.04</v>
      </c>
      <c r="BA30" s="185">
        <v>1</v>
      </c>
      <c r="BB30" s="137">
        <v>76000</v>
      </c>
      <c r="BC30" s="138">
        <v>16393691</v>
      </c>
    </row>
    <row r="31" spans="1:55" ht="21">
      <c r="A31">
        <v>2</v>
      </c>
      <c r="B31" s="121" t="s">
        <v>70</v>
      </c>
      <c r="C31" s="140" t="s">
        <v>90</v>
      </c>
      <c r="D31" s="188"/>
      <c r="E31" s="188">
        <v>1</v>
      </c>
      <c r="F31" s="188">
        <v>1</v>
      </c>
      <c r="G31" s="188">
        <v>1</v>
      </c>
      <c r="H31" s="188">
        <v>1</v>
      </c>
      <c r="I31" s="188">
        <v>1</v>
      </c>
      <c r="J31" s="188"/>
      <c r="K31" s="188">
        <v>1</v>
      </c>
      <c r="L31" s="180">
        <f t="shared" si="3"/>
        <v>6</v>
      </c>
      <c r="M31" s="181"/>
      <c r="N31" s="180">
        <v>0</v>
      </c>
      <c r="O31" s="180">
        <v>0</v>
      </c>
      <c r="P31" s="180">
        <v>16</v>
      </c>
      <c r="Q31" s="180">
        <v>31</v>
      </c>
      <c r="R31" s="180">
        <v>0</v>
      </c>
      <c r="S31" s="180">
        <v>5</v>
      </c>
      <c r="T31" s="180">
        <v>5</v>
      </c>
      <c r="U31" s="180">
        <v>0</v>
      </c>
      <c r="V31" s="180">
        <v>0</v>
      </c>
      <c r="W31" s="180">
        <v>0</v>
      </c>
      <c r="X31" s="180">
        <v>0</v>
      </c>
      <c r="Y31" s="181"/>
      <c r="Z31" s="181"/>
      <c r="AA31" s="180">
        <v>0</v>
      </c>
      <c r="AB31" s="183">
        <f t="shared" si="4"/>
        <v>57</v>
      </c>
      <c r="AC31" s="181"/>
      <c r="AD31" s="180"/>
      <c r="AE31" s="180"/>
      <c r="AF31" s="180">
        <v>3</v>
      </c>
      <c r="AG31" s="180">
        <v>14</v>
      </c>
      <c r="AH31" s="180"/>
      <c r="AI31" s="180"/>
      <c r="AJ31" s="180"/>
      <c r="AK31" s="180"/>
      <c r="AL31" s="180"/>
      <c r="AM31" s="181"/>
      <c r="AN31" s="180"/>
      <c r="AO31" s="180"/>
      <c r="AP31" s="181"/>
      <c r="AQ31" s="180">
        <v>1</v>
      </c>
      <c r="AR31" s="149">
        <f t="shared" si="0"/>
        <v>18000</v>
      </c>
      <c r="AS31" s="150">
        <f t="shared" si="1"/>
        <v>3</v>
      </c>
      <c r="AT31" s="150">
        <f t="shared" si="6"/>
        <v>9000</v>
      </c>
      <c r="AU31" s="183">
        <f t="shared" si="5"/>
        <v>57</v>
      </c>
      <c r="AV31" s="183">
        <v>2</v>
      </c>
      <c r="AW31" s="135">
        <f t="shared" si="9"/>
        <v>3.5087719298245612E-2</v>
      </c>
      <c r="AX31" s="184">
        <v>8</v>
      </c>
      <c r="AY31" s="136">
        <f t="shared" si="2"/>
        <v>0.2</v>
      </c>
      <c r="AZ31" s="185">
        <v>1</v>
      </c>
      <c r="BA31" s="185">
        <v>1</v>
      </c>
      <c r="BB31" s="137">
        <v>18000</v>
      </c>
      <c r="BC31" s="138">
        <v>2201316</v>
      </c>
    </row>
    <row r="32" spans="1:55" ht="21">
      <c r="A32">
        <v>2</v>
      </c>
      <c r="B32" s="121" t="s">
        <v>70</v>
      </c>
      <c r="C32" s="140" t="s">
        <v>79</v>
      </c>
      <c r="D32" s="188">
        <v>2</v>
      </c>
      <c r="E32" s="188"/>
      <c r="F32" s="188"/>
      <c r="G32" s="188">
        <v>2</v>
      </c>
      <c r="H32" s="188"/>
      <c r="I32" s="188">
        <v>1</v>
      </c>
      <c r="J32" s="188"/>
      <c r="K32" s="188">
        <v>1</v>
      </c>
      <c r="L32" s="180">
        <f t="shared" si="3"/>
        <v>6</v>
      </c>
      <c r="M32" s="181"/>
      <c r="N32" s="180">
        <v>4</v>
      </c>
      <c r="O32" s="180">
        <v>0</v>
      </c>
      <c r="P32" s="180">
        <v>5</v>
      </c>
      <c r="Q32" s="180">
        <v>14</v>
      </c>
      <c r="R32" s="180">
        <v>0</v>
      </c>
      <c r="S32" s="180">
        <v>2</v>
      </c>
      <c r="T32" s="180">
        <v>0</v>
      </c>
      <c r="U32" s="180">
        <v>0</v>
      </c>
      <c r="V32" s="180">
        <v>0</v>
      </c>
      <c r="W32" s="180">
        <v>0</v>
      </c>
      <c r="X32" s="180">
        <v>0</v>
      </c>
      <c r="Y32" s="181"/>
      <c r="Z32" s="181"/>
      <c r="AA32" s="180">
        <v>57</v>
      </c>
      <c r="AB32" s="183">
        <f t="shared" si="4"/>
        <v>82</v>
      </c>
      <c r="AC32" s="181"/>
      <c r="AD32" s="180">
        <v>10</v>
      </c>
      <c r="AE32" s="180">
        <v>2</v>
      </c>
      <c r="AF32" s="180">
        <v>6</v>
      </c>
      <c r="AG32" s="180">
        <v>6</v>
      </c>
      <c r="AH32" s="180"/>
      <c r="AI32" s="180"/>
      <c r="AJ32" s="180">
        <v>1</v>
      </c>
      <c r="AK32" s="180"/>
      <c r="AL32" s="180">
        <v>3</v>
      </c>
      <c r="AM32" s="181"/>
      <c r="AN32" s="180"/>
      <c r="AO32" s="180"/>
      <c r="AP32" s="181"/>
      <c r="AQ32" s="180"/>
      <c r="AR32" s="149">
        <f t="shared" si="0"/>
        <v>24000</v>
      </c>
      <c r="AS32" s="150">
        <f t="shared" si="1"/>
        <v>6</v>
      </c>
      <c r="AT32" s="150">
        <v>0</v>
      </c>
      <c r="AU32" s="183">
        <f t="shared" si="5"/>
        <v>82</v>
      </c>
      <c r="AV32" s="183">
        <v>0</v>
      </c>
      <c r="AW32" s="135"/>
      <c r="AX32" s="184">
        <v>11</v>
      </c>
      <c r="AY32" s="136">
        <f t="shared" si="2"/>
        <v>0</v>
      </c>
      <c r="AZ32" s="185">
        <v>1.36</v>
      </c>
      <c r="BA32" s="185">
        <v>1</v>
      </c>
      <c r="BB32" s="137">
        <v>28000</v>
      </c>
      <c r="BC32" s="138">
        <v>3375804</v>
      </c>
    </row>
    <row r="33" spans="1:55" ht="21">
      <c r="A33">
        <v>2</v>
      </c>
      <c r="B33" s="121" t="s">
        <v>139</v>
      </c>
      <c r="C33" s="140" t="s">
        <v>60</v>
      </c>
      <c r="D33" s="188"/>
      <c r="E33" s="188"/>
      <c r="F33" s="188">
        <v>2</v>
      </c>
      <c r="G33" s="188"/>
      <c r="H33" s="188"/>
      <c r="I33" s="188">
        <v>1</v>
      </c>
      <c r="J33" s="188"/>
      <c r="K33" s="188">
        <v>1</v>
      </c>
      <c r="L33" s="180">
        <f t="shared" si="3"/>
        <v>4</v>
      </c>
      <c r="M33" s="181"/>
      <c r="N33" s="180">
        <v>37</v>
      </c>
      <c r="O33" s="180">
        <v>4</v>
      </c>
      <c r="P33" s="180"/>
      <c r="Q33" s="180">
        <v>43</v>
      </c>
      <c r="R33" s="180"/>
      <c r="S33" s="180"/>
      <c r="T33" s="180"/>
      <c r="U33" s="180"/>
      <c r="V33" s="180"/>
      <c r="W33" s="180"/>
      <c r="X33" s="180"/>
      <c r="Y33" s="181"/>
      <c r="Z33" s="181"/>
      <c r="AA33" s="180"/>
      <c r="AB33" s="183">
        <f t="shared" si="4"/>
        <v>84</v>
      </c>
      <c r="AC33" s="181"/>
      <c r="AD33" s="180"/>
      <c r="AE33" s="180">
        <v>1</v>
      </c>
      <c r="AF33" s="180">
        <v>10</v>
      </c>
      <c r="AG33" s="180">
        <v>6</v>
      </c>
      <c r="AH33" s="180"/>
      <c r="AI33" s="180"/>
      <c r="AJ33" s="180"/>
      <c r="AK33" s="180"/>
      <c r="AL33" s="180">
        <v>4</v>
      </c>
      <c r="AM33" s="181"/>
      <c r="AN33" s="180">
        <v>9</v>
      </c>
      <c r="AO33" s="180"/>
      <c r="AP33" s="181"/>
      <c r="AQ33" s="180"/>
      <c r="AR33" s="149">
        <f t="shared" si="0"/>
        <v>17000</v>
      </c>
      <c r="AS33" s="150">
        <f t="shared" si="1"/>
        <v>5</v>
      </c>
      <c r="AT33" s="150">
        <f t="shared" si="6"/>
        <v>1888.8888888888889</v>
      </c>
      <c r="AU33" s="183">
        <f t="shared" si="5"/>
        <v>84</v>
      </c>
      <c r="AV33" s="183">
        <v>9</v>
      </c>
      <c r="AW33" s="135">
        <f t="shared" si="9"/>
        <v>0.10714285714285714</v>
      </c>
      <c r="AX33" s="184">
        <v>330</v>
      </c>
      <c r="AY33" s="136">
        <f t="shared" si="2"/>
        <v>2.6548672566371681E-2</v>
      </c>
      <c r="AZ33" s="185">
        <v>1</v>
      </c>
      <c r="BA33" s="185">
        <v>1</v>
      </c>
      <c r="BB33" s="137">
        <v>30000</v>
      </c>
      <c r="BC33" s="138">
        <v>14238302</v>
      </c>
    </row>
    <row r="34" spans="1:55" ht="21">
      <c r="A34">
        <v>2</v>
      </c>
      <c r="B34" s="121" t="s">
        <v>139</v>
      </c>
      <c r="C34" s="140" t="s">
        <v>57</v>
      </c>
      <c r="D34" s="188">
        <v>1</v>
      </c>
      <c r="E34" s="188"/>
      <c r="F34" s="188"/>
      <c r="G34" s="188"/>
      <c r="H34" s="188"/>
      <c r="I34" s="188"/>
      <c r="J34" s="188"/>
      <c r="K34" s="188">
        <v>1</v>
      </c>
      <c r="L34" s="180">
        <f t="shared" si="3"/>
        <v>2</v>
      </c>
      <c r="M34" s="181"/>
      <c r="N34" s="180"/>
      <c r="O34" s="180">
        <v>7</v>
      </c>
      <c r="P34" s="180">
        <v>31</v>
      </c>
      <c r="Q34" s="180">
        <v>12</v>
      </c>
      <c r="R34" s="180"/>
      <c r="S34" s="180"/>
      <c r="T34" s="180"/>
      <c r="U34" s="180"/>
      <c r="V34" s="180"/>
      <c r="W34" s="180"/>
      <c r="X34" s="180"/>
      <c r="Y34" s="181"/>
      <c r="Z34" s="181"/>
      <c r="AA34" s="180">
        <v>33</v>
      </c>
      <c r="AB34" s="183">
        <f t="shared" si="4"/>
        <v>83</v>
      </c>
      <c r="AC34" s="181"/>
      <c r="AD34" s="180"/>
      <c r="AE34" s="180">
        <v>7</v>
      </c>
      <c r="AF34" s="180">
        <v>15</v>
      </c>
      <c r="AG34" s="180">
        <v>7</v>
      </c>
      <c r="AH34" s="180"/>
      <c r="AI34" s="180"/>
      <c r="AJ34" s="180"/>
      <c r="AK34" s="180"/>
      <c r="AL34" s="180"/>
      <c r="AM34" s="181"/>
      <c r="AN34" s="180"/>
      <c r="AO34" s="180"/>
      <c r="AP34" s="181"/>
      <c r="AQ34" s="180"/>
      <c r="AR34" s="149">
        <f t="shared" si="0"/>
        <v>29000</v>
      </c>
      <c r="AS34" s="150">
        <f t="shared" si="1"/>
        <v>3</v>
      </c>
      <c r="AT34" s="150">
        <f t="shared" si="6"/>
        <v>4142.8571428571431</v>
      </c>
      <c r="AU34" s="183">
        <f t="shared" si="5"/>
        <v>83</v>
      </c>
      <c r="AV34" s="183">
        <v>7</v>
      </c>
      <c r="AW34" s="135">
        <f t="shared" si="9"/>
        <v>8.4337349397590355E-2</v>
      </c>
      <c r="AX34" s="184">
        <v>98</v>
      </c>
      <c r="AY34" s="136">
        <f t="shared" si="2"/>
        <v>6.6666666666666666E-2</v>
      </c>
      <c r="AZ34" s="185">
        <v>0.94</v>
      </c>
      <c r="BA34" s="185">
        <v>0.75</v>
      </c>
      <c r="BB34" s="137">
        <v>29000</v>
      </c>
      <c r="BC34" s="138">
        <v>9240765</v>
      </c>
    </row>
    <row r="35" spans="1:55" ht="21">
      <c r="A35">
        <v>2</v>
      </c>
      <c r="B35" s="121" t="s">
        <v>139</v>
      </c>
      <c r="C35" s="140" t="s">
        <v>66</v>
      </c>
      <c r="D35" s="188">
        <v>1</v>
      </c>
      <c r="E35" s="188">
        <v>1</v>
      </c>
      <c r="F35" s="188">
        <v>2</v>
      </c>
      <c r="G35" s="188"/>
      <c r="H35" s="188"/>
      <c r="I35" s="188"/>
      <c r="J35" s="188"/>
      <c r="K35" s="188">
        <v>1</v>
      </c>
      <c r="L35" s="180">
        <f t="shared" si="3"/>
        <v>5</v>
      </c>
      <c r="M35" s="181"/>
      <c r="N35" s="180"/>
      <c r="O35" s="180"/>
      <c r="P35" s="180">
        <v>101</v>
      </c>
      <c r="Q35" s="180">
        <v>59</v>
      </c>
      <c r="R35" s="180"/>
      <c r="S35" s="180">
        <v>2</v>
      </c>
      <c r="T35" s="180"/>
      <c r="U35" s="180"/>
      <c r="V35" s="180"/>
      <c r="W35" s="180"/>
      <c r="X35" s="180"/>
      <c r="Y35" s="181"/>
      <c r="Z35" s="181"/>
      <c r="AA35" s="180"/>
      <c r="AB35" s="183">
        <f t="shared" si="4"/>
        <v>162</v>
      </c>
      <c r="AC35" s="181"/>
      <c r="AD35" s="180"/>
      <c r="AE35" s="180">
        <v>20</v>
      </c>
      <c r="AF35" s="180">
        <v>30</v>
      </c>
      <c r="AG35" s="180">
        <v>35</v>
      </c>
      <c r="AH35" s="180">
        <v>5</v>
      </c>
      <c r="AI35" s="180"/>
      <c r="AJ35" s="180"/>
      <c r="AK35" s="180"/>
      <c r="AL35" s="180">
        <v>4</v>
      </c>
      <c r="AM35" s="181"/>
      <c r="AN35" s="180"/>
      <c r="AO35" s="180"/>
      <c r="AP35" s="181"/>
      <c r="AQ35" s="180"/>
      <c r="AR35" s="149">
        <f t="shared" si="0"/>
        <v>90000</v>
      </c>
      <c r="AS35" s="150">
        <f t="shared" si="1"/>
        <v>5</v>
      </c>
      <c r="AT35" s="150">
        <f t="shared" si="6"/>
        <v>7500</v>
      </c>
      <c r="AU35" s="183">
        <f t="shared" si="5"/>
        <v>162</v>
      </c>
      <c r="AV35" s="183">
        <v>12</v>
      </c>
      <c r="AW35" s="135">
        <f t="shared" si="9"/>
        <v>7.407407407407407E-2</v>
      </c>
      <c r="AX35" s="184">
        <v>20</v>
      </c>
      <c r="AY35" s="136">
        <f t="shared" si="2"/>
        <v>0.375</v>
      </c>
      <c r="AZ35" s="185">
        <v>1.43</v>
      </c>
      <c r="BA35" s="185">
        <v>1</v>
      </c>
      <c r="BB35" s="137">
        <v>94000</v>
      </c>
      <c r="BC35" s="138">
        <v>8470685</v>
      </c>
    </row>
    <row r="36" spans="1:55" ht="21">
      <c r="A36">
        <v>2</v>
      </c>
      <c r="B36" s="121" t="s">
        <v>70</v>
      </c>
      <c r="C36" s="140" t="s">
        <v>82</v>
      </c>
      <c r="D36" s="188">
        <v>1</v>
      </c>
      <c r="E36" s="188"/>
      <c r="F36" s="188"/>
      <c r="G36" s="188">
        <v>1</v>
      </c>
      <c r="H36" s="188"/>
      <c r="I36" s="188"/>
      <c r="J36" s="188"/>
      <c r="K36" s="188">
        <v>1</v>
      </c>
      <c r="L36" s="180">
        <f t="shared" si="3"/>
        <v>3</v>
      </c>
      <c r="M36" s="181"/>
      <c r="N36" s="180">
        <v>60</v>
      </c>
      <c r="O36" s="180">
        <v>2</v>
      </c>
      <c r="P36" s="180">
        <v>35</v>
      </c>
      <c r="Q36" s="180">
        <v>65</v>
      </c>
      <c r="R36" s="180">
        <v>7</v>
      </c>
      <c r="S36" s="180">
        <v>4</v>
      </c>
      <c r="T36" s="180">
        <v>12</v>
      </c>
      <c r="U36" s="180">
        <v>0</v>
      </c>
      <c r="V36" s="180">
        <v>10</v>
      </c>
      <c r="W36" s="180">
        <v>0</v>
      </c>
      <c r="X36" s="180">
        <v>0</v>
      </c>
      <c r="Y36" s="181"/>
      <c r="Z36" s="181"/>
      <c r="AA36" s="180">
        <v>12</v>
      </c>
      <c r="AB36" s="183">
        <f t="shared" si="4"/>
        <v>207</v>
      </c>
      <c r="AC36" s="181"/>
      <c r="AD36" s="180">
        <v>15</v>
      </c>
      <c r="AE36" s="180"/>
      <c r="AF36" s="180">
        <v>15</v>
      </c>
      <c r="AG36" s="180">
        <v>20</v>
      </c>
      <c r="AH36" s="180"/>
      <c r="AI36" s="180"/>
      <c r="AJ36" s="180">
        <v>3</v>
      </c>
      <c r="AK36" s="180"/>
      <c r="AL36" s="180">
        <v>30</v>
      </c>
      <c r="AM36" s="181"/>
      <c r="AN36" s="180"/>
      <c r="AO36" s="180"/>
      <c r="AP36" s="181"/>
      <c r="AQ36" s="180">
        <v>10</v>
      </c>
      <c r="AR36" s="149">
        <f t="shared" si="0"/>
        <v>60000</v>
      </c>
      <c r="AS36" s="150">
        <f t="shared" si="1"/>
        <v>6</v>
      </c>
      <c r="AT36" s="150">
        <f t="shared" si="6"/>
        <v>3157.8947368421054</v>
      </c>
      <c r="AU36" s="183">
        <f t="shared" si="5"/>
        <v>207</v>
      </c>
      <c r="AV36" s="183">
        <v>19</v>
      </c>
      <c r="AW36" s="135">
        <f t="shared" si="9"/>
        <v>9.1787439613526575E-2</v>
      </c>
      <c r="AX36" s="184">
        <v>12</v>
      </c>
      <c r="AY36" s="136">
        <f t="shared" si="2"/>
        <v>0.61290322580645162</v>
      </c>
      <c r="AZ36" s="185">
        <v>1.43</v>
      </c>
      <c r="BA36" s="185">
        <v>1</v>
      </c>
      <c r="BB36" s="137">
        <v>93000</v>
      </c>
      <c r="BC36" s="138">
        <v>2146828</v>
      </c>
    </row>
    <row r="37" spans="1:55" ht="21">
      <c r="A37">
        <v>2</v>
      </c>
      <c r="B37" s="121" t="s">
        <v>21</v>
      </c>
      <c r="C37" s="140" t="s">
        <v>48</v>
      </c>
      <c r="D37" s="188">
        <v>2</v>
      </c>
      <c r="E37" s="188">
        <v>1</v>
      </c>
      <c r="F37" s="188"/>
      <c r="G37" s="188"/>
      <c r="H37" s="188"/>
      <c r="I37" s="188"/>
      <c r="J37" s="188"/>
      <c r="K37" s="188">
        <v>1</v>
      </c>
      <c r="L37" s="180">
        <f t="shared" si="3"/>
        <v>4</v>
      </c>
      <c r="M37" s="181"/>
      <c r="N37" s="180">
        <v>0</v>
      </c>
      <c r="O37" s="180">
        <v>25</v>
      </c>
      <c r="P37" s="180">
        <v>52</v>
      </c>
      <c r="Q37" s="180">
        <v>123</v>
      </c>
      <c r="R37" s="180">
        <v>0</v>
      </c>
      <c r="S37" s="180">
        <v>0</v>
      </c>
      <c r="T37" s="180">
        <v>0</v>
      </c>
      <c r="U37" s="180">
        <v>0</v>
      </c>
      <c r="V37" s="180">
        <v>0</v>
      </c>
      <c r="W37" s="180">
        <v>0</v>
      </c>
      <c r="X37" s="180">
        <v>0</v>
      </c>
      <c r="Y37" s="181"/>
      <c r="Z37" s="181"/>
      <c r="AA37" s="180">
        <v>3</v>
      </c>
      <c r="AB37" s="183">
        <f t="shared" si="4"/>
        <v>203</v>
      </c>
      <c r="AC37" s="181"/>
      <c r="AD37" s="180"/>
      <c r="AE37" s="180">
        <v>10</v>
      </c>
      <c r="AF37" s="180">
        <v>20</v>
      </c>
      <c r="AG37" s="180">
        <v>24</v>
      </c>
      <c r="AH37" s="180"/>
      <c r="AI37" s="180"/>
      <c r="AJ37" s="180"/>
      <c r="AK37" s="180"/>
      <c r="AL37" s="180"/>
      <c r="AM37" s="181"/>
      <c r="AN37" s="180"/>
      <c r="AO37" s="180"/>
      <c r="AP37" s="181"/>
      <c r="AQ37" s="180"/>
      <c r="AR37" s="149">
        <f t="shared" si="0"/>
        <v>54000</v>
      </c>
      <c r="AS37" s="150">
        <f t="shared" si="1"/>
        <v>3</v>
      </c>
      <c r="AT37" s="150">
        <f t="shared" si="6"/>
        <v>2571.4285714285716</v>
      </c>
      <c r="AU37" s="183">
        <f t="shared" si="5"/>
        <v>203</v>
      </c>
      <c r="AV37" s="183">
        <v>21</v>
      </c>
      <c r="AW37" s="135">
        <f t="shared" si="9"/>
        <v>0.10344827586206896</v>
      </c>
      <c r="AX37" s="184">
        <v>31</v>
      </c>
      <c r="AY37" s="136">
        <f t="shared" si="2"/>
        <v>0.40384615384615385</v>
      </c>
      <c r="AZ37" s="185">
        <v>1.4690000000000001</v>
      </c>
      <c r="BA37" s="185">
        <v>1</v>
      </c>
      <c r="BB37" s="137">
        <v>54000</v>
      </c>
      <c r="BC37" s="138">
        <v>8354764</v>
      </c>
    </row>
    <row r="38" spans="1:55" ht="21">
      <c r="A38">
        <v>2</v>
      </c>
      <c r="B38" s="121" t="s">
        <v>70</v>
      </c>
      <c r="C38" s="140" t="s">
        <v>76</v>
      </c>
      <c r="D38" s="188"/>
      <c r="E38" s="188"/>
      <c r="F38" s="188">
        <v>1</v>
      </c>
      <c r="G38" s="188">
        <v>1</v>
      </c>
      <c r="H38" s="188"/>
      <c r="I38" s="188">
        <v>1</v>
      </c>
      <c r="J38" s="188"/>
      <c r="K38" s="188">
        <v>1</v>
      </c>
      <c r="L38" s="180">
        <f t="shared" si="3"/>
        <v>4</v>
      </c>
      <c r="M38" s="181"/>
      <c r="N38" s="180">
        <v>30</v>
      </c>
      <c r="O38" s="180">
        <v>0</v>
      </c>
      <c r="P38" s="180">
        <v>13</v>
      </c>
      <c r="Q38" s="180">
        <v>17</v>
      </c>
      <c r="R38" s="180">
        <v>0</v>
      </c>
      <c r="S38" s="180">
        <v>0</v>
      </c>
      <c r="T38" s="180">
        <v>0</v>
      </c>
      <c r="U38" s="180">
        <v>0</v>
      </c>
      <c r="V38" s="180">
        <v>0</v>
      </c>
      <c r="W38" s="180">
        <v>0</v>
      </c>
      <c r="X38" s="180">
        <v>0</v>
      </c>
      <c r="Y38" s="181"/>
      <c r="Z38" s="181"/>
      <c r="AA38" s="180">
        <v>0</v>
      </c>
      <c r="AB38" s="183">
        <f t="shared" si="4"/>
        <v>60</v>
      </c>
      <c r="AC38" s="181"/>
      <c r="AD38" s="180">
        <v>25</v>
      </c>
      <c r="AE38" s="180"/>
      <c r="AF38" s="180">
        <v>5</v>
      </c>
      <c r="AG38" s="180">
        <v>8</v>
      </c>
      <c r="AH38" s="180"/>
      <c r="AI38" s="180"/>
      <c r="AJ38" s="180"/>
      <c r="AK38" s="180"/>
      <c r="AL38" s="180"/>
      <c r="AM38" s="181"/>
      <c r="AN38" s="180"/>
      <c r="AO38" s="180"/>
      <c r="AP38" s="181"/>
      <c r="AQ38" s="180"/>
      <c r="AR38" s="149">
        <f t="shared" si="0"/>
        <v>38000</v>
      </c>
      <c r="AS38" s="150">
        <f t="shared" si="1"/>
        <v>3</v>
      </c>
      <c r="AT38" s="150">
        <f t="shared" si="6"/>
        <v>6333.333333333333</v>
      </c>
      <c r="AU38" s="183">
        <f t="shared" si="5"/>
        <v>60</v>
      </c>
      <c r="AV38" s="183">
        <v>6</v>
      </c>
      <c r="AW38" s="135">
        <f t="shared" si="9"/>
        <v>0.1</v>
      </c>
      <c r="AX38" s="184">
        <v>10</v>
      </c>
      <c r="AY38" s="136">
        <f t="shared" si="2"/>
        <v>0.375</v>
      </c>
      <c r="AZ38" s="185">
        <v>1.1000000000000001</v>
      </c>
      <c r="BA38" s="185">
        <v>1</v>
      </c>
      <c r="BB38" s="137">
        <v>38000</v>
      </c>
      <c r="BC38" s="138">
        <v>7982529</v>
      </c>
    </row>
    <row r="39" spans="1:55" ht="21">
      <c r="A39">
        <v>2</v>
      </c>
      <c r="B39" s="121" t="s">
        <v>21</v>
      </c>
      <c r="C39" s="140" t="s">
        <v>27</v>
      </c>
      <c r="D39" s="188">
        <v>2</v>
      </c>
      <c r="E39" s="188"/>
      <c r="F39" s="188"/>
      <c r="G39" s="188"/>
      <c r="H39" s="188"/>
      <c r="I39" s="188"/>
      <c r="J39" s="188"/>
      <c r="K39" s="188">
        <v>1</v>
      </c>
      <c r="L39" s="180">
        <f t="shared" si="3"/>
        <v>3</v>
      </c>
      <c r="M39" s="181"/>
      <c r="N39" s="180">
        <v>0</v>
      </c>
      <c r="O39" s="180">
        <v>0</v>
      </c>
      <c r="P39" s="180">
        <v>63</v>
      </c>
      <c r="Q39" s="180">
        <v>76</v>
      </c>
      <c r="R39" s="180">
        <v>0</v>
      </c>
      <c r="S39" s="180">
        <v>0</v>
      </c>
      <c r="T39" s="180">
        <v>0</v>
      </c>
      <c r="U39" s="180">
        <v>0</v>
      </c>
      <c r="V39" s="180">
        <v>0</v>
      </c>
      <c r="W39" s="180">
        <v>0</v>
      </c>
      <c r="X39" s="180">
        <v>0</v>
      </c>
      <c r="Y39" s="181"/>
      <c r="Z39" s="181"/>
      <c r="AA39" s="180">
        <v>0</v>
      </c>
      <c r="AB39" s="183">
        <f t="shared" si="4"/>
        <v>139</v>
      </c>
      <c r="AC39" s="181"/>
      <c r="AD39" s="180"/>
      <c r="AE39" s="180"/>
      <c r="AF39" s="180">
        <v>30</v>
      </c>
      <c r="AG39" s="180">
        <v>15</v>
      </c>
      <c r="AH39" s="180"/>
      <c r="AI39" s="180"/>
      <c r="AJ39" s="180"/>
      <c r="AK39" s="180"/>
      <c r="AL39" s="180"/>
      <c r="AM39" s="181"/>
      <c r="AN39" s="180"/>
      <c r="AO39" s="180"/>
      <c r="AP39" s="181"/>
      <c r="AQ39" s="180"/>
      <c r="AR39" s="149">
        <f t="shared" si="0"/>
        <v>45000</v>
      </c>
      <c r="AS39" s="150">
        <f t="shared" si="1"/>
        <v>2</v>
      </c>
      <c r="AT39" s="150">
        <v>0</v>
      </c>
      <c r="AU39" s="183">
        <f t="shared" si="5"/>
        <v>139</v>
      </c>
      <c r="AV39" s="183">
        <v>2</v>
      </c>
      <c r="AW39" s="135">
        <f>AV39/AU39</f>
        <v>1.4388489208633094E-2</v>
      </c>
      <c r="AX39" s="184">
        <v>0</v>
      </c>
      <c r="AY39" s="136">
        <v>0</v>
      </c>
      <c r="AZ39" s="185">
        <v>0.97</v>
      </c>
      <c r="BA39" s="185">
        <v>0.75</v>
      </c>
      <c r="BB39" s="137">
        <v>45000</v>
      </c>
      <c r="BC39" s="138">
        <v>5966821</v>
      </c>
    </row>
    <row r="40" spans="1:55" ht="21">
      <c r="A40">
        <v>2</v>
      </c>
      <c r="B40" s="121" t="s">
        <v>70</v>
      </c>
      <c r="C40" s="140" t="s">
        <v>73</v>
      </c>
      <c r="D40" s="188">
        <v>1</v>
      </c>
      <c r="E40" s="188">
        <v>1</v>
      </c>
      <c r="F40" s="188">
        <v>2</v>
      </c>
      <c r="G40" s="188">
        <v>1</v>
      </c>
      <c r="H40" s="188"/>
      <c r="I40" s="188"/>
      <c r="J40" s="188">
        <v>1</v>
      </c>
      <c r="K40" s="188">
        <v>1</v>
      </c>
      <c r="L40" s="180">
        <f t="shared" si="3"/>
        <v>7</v>
      </c>
      <c r="M40" s="181"/>
      <c r="N40" s="180">
        <v>0</v>
      </c>
      <c r="O40" s="180">
        <v>0</v>
      </c>
      <c r="P40" s="180">
        <v>25</v>
      </c>
      <c r="Q40" s="180">
        <v>66</v>
      </c>
      <c r="R40" s="180">
        <v>0</v>
      </c>
      <c r="S40" s="180">
        <v>18</v>
      </c>
      <c r="T40" s="180">
        <v>0</v>
      </c>
      <c r="U40" s="180">
        <v>0</v>
      </c>
      <c r="V40" s="180">
        <v>0</v>
      </c>
      <c r="W40" s="180">
        <v>0</v>
      </c>
      <c r="X40" s="180">
        <v>0</v>
      </c>
      <c r="Y40" s="181"/>
      <c r="Z40" s="181"/>
      <c r="AA40" s="180">
        <v>34</v>
      </c>
      <c r="AB40" s="183">
        <f t="shared" si="4"/>
        <v>143</v>
      </c>
      <c r="AC40" s="181"/>
      <c r="AD40" s="180">
        <v>8</v>
      </c>
      <c r="AE40" s="180"/>
      <c r="AF40" s="180">
        <v>7</v>
      </c>
      <c r="AG40" s="180">
        <v>18</v>
      </c>
      <c r="AH40" s="180">
        <v>2</v>
      </c>
      <c r="AI40" s="180">
        <v>3</v>
      </c>
      <c r="AJ40" s="180">
        <v>1</v>
      </c>
      <c r="AK40" s="180"/>
      <c r="AL40" s="180"/>
      <c r="AM40" s="181"/>
      <c r="AN40" s="180"/>
      <c r="AO40" s="180"/>
      <c r="AP40" s="181"/>
      <c r="AQ40" s="180"/>
      <c r="AR40" s="149">
        <f t="shared" si="0"/>
        <v>38000</v>
      </c>
      <c r="AS40" s="150">
        <f t="shared" si="1"/>
        <v>6</v>
      </c>
      <c r="AT40" s="150">
        <f t="shared" si="6"/>
        <v>7600</v>
      </c>
      <c r="AU40" s="183">
        <f t="shared" si="5"/>
        <v>143</v>
      </c>
      <c r="AV40" s="183">
        <v>5</v>
      </c>
      <c r="AW40" s="135">
        <f t="shared" si="9"/>
        <v>3.4965034965034968E-2</v>
      </c>
      <c r="AX40" s="184">
        <v>36</v>
      </c>
      <c r="AY40" s="136">
        <f t="shared" si="2"/>
        <v>0.12195121951219512</v>
      </c>
      <c r="AZ40" s="185">
        <v>1.81</v>
      </c>
      <c r="BA40" s="185">
        <v>1</v>
      </c>
      <c r="BB40" s="137">
        <v>39000</v>
      </c>
      <c r="BC40" s="138">
        <v>9618971</v>
      </c>
    </row>
    <row r="41" spans="1:55" ht="21">
      <c r="A41">
        <v>2</v>
      </c>
      <c r="B41" s="121" t="s">
        <v>21</v>
      </c>
      <c r="C41" s="140" t="s">
        <v>30</v>
      </c>
      <c r="D41" s="181"/>
      <c r="E41" s="181"/>
      <c r="F41" s="181"/>
      <c r="G41" s="181"/>
      <c r="H41" s="181"/>
      <c r="I41" s="181"/>
      <c r="J41" s="181"/>
      <c r="K41" s="181"/>
      <c r="L41" s="180">
        <f t="shared" si="3"/>
        <v>0</v>
      </c>
      <c r="M41" s="181"/>
      <c r="N41" s="180"/>
      <c r="O41" s="180"/>
      <c r="P41" s="180"/>
      <c r="Q41" s="180"/>
      <c r="R41" s="180"/>
      <c r="S41" s="180"/>
      <c r="T41" s="180"/>
      <c r="U41" s="180"/>
      <c r="V41" s="180"/>
      <c r="W41" s="180"/>
      <c r="X41" s="180"/>
      <c r="Y41" s="181"/>
      <c r="Z41" s="181"/>
      <c r="AA41" s="180"/>
      <c r="AB41" s="183">
        <f t="shared" si="4"/>
        <v>0</v>
      </c>
      <c r="AC41" s="181"/>
      <c r="AD41" s="180"/>
      <c r="AE41" s="180"/>
      <c r="AF41" s="180"/>
      <c r="AG41" s="180"/>
      <c r="AH41" s="180"/>
      <c r="AI41" s="180"/>
      <c r="AJ41" s="180"/>
      <c r="AK41" s="180"/>
      <c r="AL41" s="180"/>
      <c r="AM41" s="181"/>
      <c r="AN41" s="180"/>
      <c r="AO41" s="180"/>
      <c r="AP41" s="181"/>
      <c r="AQ41" s="180"/>
      <c r="AR41" s="149">
        <f t="shared" si="0"/>
        <v>0</v>
      </c>
      <c r="AS41" s="150">
        <f t="shared" si="1"/>
        <v>0</v>
      </c>
      <c r="AT41" s="150">
        <v>0</v>
      </c>
      <c r="AU41" s="183">
        <f t="shared" si="5"/>
        <v>0</v>
      </c>
      <c r="AV41" s="183">
        <v>0</v>
      </c>
      <c r="AW41" s="135"/>
      <c r="AX41" s="184">
        <v>0</v>
      </c>
      <c r="AY41" s="136">
        <v>0</v>
      </c>
      <c r="AZ41" s="185">
        <v>0</v>
      </c>
      <c r="BA41" s="185">
        <v>0</v>
      </c>
      <c r="BB41" s="137">
        <v>0</v>
      </c>
      <c r="BC41" s="138">
        <v>0</v>
      </c>
    </row>
    <row r="42" spans="1:55" ht="21">
      <c r="A42">
        <v>2</v>
      </c>
      <c r="B42" s="121" t="s">
        <v>70</v>
      </c>
      <c r="C42" s="140" t="s">
        <v>85</v>
      </c>
      <c r="D42" s="188">
        <v>3</v>
      </c>
      <c r="E42" s="188"/>
      <c r="F42" s="188"/>
      <c r="G42" s="188"/>
      <c r="H42" s="188"/>
      <c r="I42" s="188"/>
      <c r="J42" s="188">
        <v>2</v>
      </c>
      <c r="K42" s="188">
        <v>1</v>
      </c>
      <c r="L42" s="180">
        <f t="shared" si="3"/>
        <v>6</v>
      </c>
      <c r="M42" s="181"/>
      <c r="N42" s="180">
        <v>0</v>
      </c>
      <c r="O42" s="180">
        <v>4</v>
      </c>
      <c r="P42" s="180">
        <v>8</v>
      </c>
      <c r="Q42" s="180">
        <v>24</v>
      </c>
      <c r="R42" s="180">
        <v>0</v>
      </c>
      <c r="S42" s="180">
        <v>0</v>
      </c>
      <c r="T42" s="180">
        <v>2</v>
      </c>
      <c r="U42" s="180">
        <v>0</v>
      </c>
      <c r="V42" s="180">
        <v>0</v>
      </c>
      <c r="W42" s="180">
        <v>0</v>
      </c>
      <c r="X42" s="180">
        <v>0</v>
      </c>
      <c r="Y42" s="181"/>
      <c r="Z42" s="181"/>
      <c r="AA42" s="180">
        <v>6</v>
      </c>
      <c r="AB42" s="183">
        <f t="shared" si="4"/>
        <v>44</v>
      </c>
      <c r="AC42" s="181"/>
      <c r="AD42" s="180"/>
      <c r="AE42" s="180">
        <v>1</v>
      </c>
      <c r="AF42" s="180">
        <v>2</v>
      </c>
      <c r="AG42" s="180">
        <v>7</v>
      </c>
      <c r="AH42" s="180"/>
      <c r="AI42" s="180"/>
      <c r="AJ42" s="180"/>
      <c r="AK42" s="180"/>
      <c r="AL42" s="180"/>
      <c r="AM42" s="181"/>
      <c r="AN42" s="180"/>
      <c r="AO42" s="180"/>
      <c r="AP42" s="181"/>
      <c r="AQ42" s="180"/>
      <c r="AR42" s="149">
        <f t="shared" si="0"/>
        <v>10000</v>
      </c>
      <c r="AS42" s="150">
        <f t="shared" si="1"/>
        <v>3</v>
      </c>
      <c r="AT42" s="150">
        <f t="shared" si="6"/>
        <v>1428.5714285714287</v>
      </c>
      <c r="AU42" s="183">
        <f t="shared" si="5"/>
        <v>44</v>
      </c>
      <c r="AV42" s="183">
        <v>7</v>
      </c>
      <c r="AW42" s="135">
        <f t="shared" si="9"/>
        <v>0.15909090909090909</v>
      </c>
      <c r="AX42" s="184">
        <v>28</v>
      </c>
      <c r="AY42" s="136">
        <f t="shared" si="2"/>
        <v>0.2</v>
      </c>
      <c r="AZ42" s="185">
        <v>1.1399999999999999</v>
      </c>
      <c r="BA42" s="185">
        <v>1</v>
      </c>
      <c r="BB42" s="137">
        <v>10000</v>
      </c>
      <c r="BC42" s="138">
        <v>10354280</v>
      </c>
    </row>
    <row r="43" spans="1:55" ht="21">
      <c r="A43">
        <v>2</v>
      </c>
      <c r="B43" s="121" t="s">
        <v>21</v>
      </c>
      <c r="C43" s="140" t="s">
        <v>45</v>
      </c>
      <c r="D43" s="188">
        <v>4</v>
      </c>
      <c r="E43" s="188">
        <v>1</v>
      </c>
      <c r="F43" s="188"/>
      <c r="G43" s="188"/>
      <c r="H43" s="188"/>
      <c r="I43" s="188"/>
      <c r="J43" s="188"/>
      <c r="K43" s="188">
        <v>1</v>
      </c>
      <c r="L43" s="180">
        <f t="shared" si="3"/>
        <v>6</v>
      </c>
      <c r="M43" s="181"/>
      <c r="N43" s="180">
        <v>0</v>
      </c>
      <c r="O43" s="180">
        <v>11</v>
      </c>
      <c r="P43" s="180">
        <v>16</v>
      </c>
      <c r="Q43" s="180">
        <v>20</v>
      </c>
      <c r="R43" s="180">
        <v>0</v>
      </c>
      <c r="S43" s="180">
        <v>0</v>
      </c>
      <c r="T43" s="180">
        <v>0</v>
      </c>
      <c r="U43" s="180">
        <v>0</v>
      </c>
      <c r="V43" s="180">
        <v>0</v>
      </c>
      <c r="W43" s="180">
        <v>0</v>
      </c>
      <c r="X43" s="180">
        <v>0</v>
      </c>
      <c r="Y43" s="181"/>
      <c r="Z43" s="181"/>
      <c r="AA43" s="180">
        <v>0</v>
      </c>
      <c r="AB43" s="183">
        <f t="shared" si="4"/>
        <v>47</v>
      </c>
      <c r="AC43" s="181"/>
      <c r="AD43" s="180"/>
      <c r="AE43" s="180">
        <v>23</v>
      </c>
      <c r="AF43" s="180">
        <v>45</v>
      </c>
      <c r="AG43" s="180">
        <v>30</v>
      </c>
      <c r="AH43" s="180"/>
      <c r="AI43" s="180"/>
      <c r="AJ43" s="180"/>
      <c r="AK43" s="180"/>
      <c r="AL43" s="180"/>
      <c r="AM43" s="181"/>
      <c r="AN43" s="180"/>
      <c r="AO43" s="180"/>
      <c r="AP43" s="181"/>
      <c r="AQ43" s="180"/>
      <c r="AR43" s="149">
        <f t="shared" si="0"/>
        <v>98000</v>
      </c>
      <c r="AS43" s="150">
        <f t="shared" si="1"/>
        <v>3</v>
      </c>
      <c r="AT43" s="150">
        <v>0</v>
      </c>
      <c r="AU43" s="183">
        <f t="shared" si="5"/>
        <v>47</v>
      </c>
      <c r="AV43" s="183"/>
      <c r="AW43" s="135"/>
      <c r="AX43" s="184">
        <v>141</v>
      </c>
      <c r="AY43" s="136">
        <f t="shared" si="2"/>
        <v>0</v>
      </c>
      <c r="AZ43" s="185">
        <v>1.38</v>
      </c>
      <c r="BA43" s="185">
        <v>1</v>
      </c>
      <c r="BB43" s="137">
        <v>98000</v>
      </c>
      <c r="BC43" s="138">
        <v>19575187</v>
      </c>
    </row>
    <row r="44" spans="1:55" ht="21">
      <c r="A44">
        <v>2</v>
      </c>
      <c r="B44" s="121" t="s">
        <v>21</v>
      </c>
      <c r="C44" s="140" t="s">
        <v>20</v>
      </c>
      <c r="D44" s="188">
        <v>2</v>
      </c>
      <c r="E44" s="188">
        <v>1</v>
      </c>
      <c r="F44" s="188"/>
      <c r="G44" s="188"/>
      <c r="H44" s="188"/>
      <c r="I44" s="188">
        <v>1</v>
      </c>
      <c r="J44" s="188"/>
      <c r="K44" s="188">
        <v>1</v>
      </c>
      <c r="L44" s="180">
        <f t="shared" si="3"/>
        <v>5</v>
      </c>
      <c r="M44" s="181"/>
      <c r="N44" s="180">
        <v>0</v>
      </c>
      <c r="O44" s="180">
        <v>0</v>
      </c>
      <c r="P44" s="180">
        <v>52</v>
      </c>
      <c r="Q44" s="180">
        <v>35</v>
      </c>
      <c r="R44" s="180">
        <v>0</v>
      </c>
      <c r="S44" s="180">
        <v>25</v>
      </c>
      <c r="T44" s="180">
        <v>0</v>
      </c>
      <c r="U44" s="180">
        <v>0</v>
      </c>
      <c r="V44" s="180">
        <v>0</v>
      </c>
      <c r="W44" s="180">
        <v>0</v>
      </c>
      <c r="X44" s="180">
        <v>0</v>
      </c>
      <c r="Y44" s="181"/>
      <c r="Z44" s="181"/>
      <c r="AA44" s="180">
        <v>52</v>
      </c>
      <c r="AB44" s="183">
        <f t="shared" si="4"/>
        <v>164</v>
      </c>
      <c r="AC44" s="181"/>
      <c r="AD44" s="180"/>
      <c r="AE44" s="180">
        <v>10</v>
      </c>
      <c r="AF44" s="180">
        <v>48</v>
      </c>
      <c r="AG44" s="180">
        <v>18</v>
      </c>
      <c r="AH44" s="180"/>
      <c r="AI44" s="180"/>
      <c r="AJ44" s="180">
        <v>2</v>
      </c>
      <c r="AK44" s="180"/>
      <c r="AL44" s="180">
        <v>264</v>
      </c>
      <c r="AM44" s="181"/>
      <c r="AN44" s="180">
        <v>10</v>
      </c>
      <c r="AO44" s="180"/>
      <c r="AP44" s="181"/>
      <c r="AQ44" s="180">
        <v>30</v>
      </c>
      <c r="AR44" s="149">
        <f t="shared" si="0"/>
        <v>106000</v>
      </c>
      <c r="AS44" s="150">
        <f t="shared" si="1"/>
        <v>7</v>
      </c>
      <c r="AT44" s="150">
        <f t="shared" si="6"/>
        <v>35333.333333333336</v>
      </c>
      <c r="AU44" s="183">
        <f t="shared" si="5"/>
        <v>164</v>
      </c>
      <c r="AV44" s="183">
        <v>3</v>
      </c>
      <c r="AW44" s="135">
        <f t="shared" si="9"/>
        <v>1.8292682926829267E-2</v>
      </c>
      <c r="AX44" s="184">
        <v>91</v>
      </c>
      <c r="AY44" s="136">
        <f t="shared" si="2"/>
        <v>3.1914893617021274E-2</v>
      </c>
      <c r="AZ44" s="185">
        <v>1.56</v>
      </c>
      <c r="BA44" s="185">
        <v>1</v>
      </c>
      <c r="BB44" s="137">
        <v>382000</v>
      </c>
      <c r="BC44" s="138">
        <v>253533</v>
      </c>
    </row>
    <row r="45" spans="1:55" ht="21">
      <c r="A45">
        <v>2</v>
      </c>
      <c r="B45" s="121" t="s">
        <v>139</v>
      </c>
      <c r="C45" s="140" t="s">
        <v>54</v>
      </c>
      <c r="D45" s="188">
        <v>3</v>
      </c>
      <c r="E45" s="188">
        <v>1</v>
      </c>
      <c r="F45" s="188"/>
      <c r="G45" s="188"/>
      <c r="H45" s="188"/>
      <c r="I45" s="188"/>
      <c r="J45" s="188"/>
      <c r="K45" s="188">
        <v>1</v>
      </c>
      <c r="L45" s="180">
        <f t="shared" si="3"/>
        <v>5</v>
      </c>
      <c r="M45" s="181"/>
      <c r="N45" s="180">
        <v>86</v>
      </c>
      <c r="O45" s="180"/>
      <c r="P45" s="180"/>
      <c r="Q45" s="180">
        <v>83</v>
      </c>
      <c r="R45" s="180"/>
      <c r="S45" s="180">
        <v>10</v>
      </c>
      <c r="T45" s="180"/>
      <c r="U45" s="180"/>
      <c r="V45" s="180"/>
      <c r="W45" s="180"/>
      <c r="X45" s="180"/>
      <c r="Y45" s="181"/>
      <c r="Z45" s="181"/>
      <c r="AA45" s="180"/>
      <c r="AB45" s="183">
        <f t="shared" si="4"/>
        <v>179</v>
      </c>
      <c r="AC45" s="181"/>
      <c r="AD45" s="180">
        <v>12</v>
      </c>
      <c r="AE45" s="180">
        <v>9</v>
      </c>
      <c r="AF45" s="180"/>
      <c r="AG45" s="180">
        <v>22</v>
      </c>
      <c r="AH45" s="180"/>
      <c r="AI45" s="180">
        <v>6</v>
      </c>
      <c r="AJ45" s="180">
        <v>2</v>
      </c>
      <c r="AK45" s="180"/>
      <c r="AL45" s="180">
        <v>3</v>
      </c>
      <c r="AM45" s="181"/>
      <c r="AN45" s="180"/>
      <c r="AO45" s="180"/>
      <c r="AP45" s="181"/>
      <c r="AQ45" s="180"/>
      <c r="AR45" s="149">
        <f t="shared" si="0"/>
        <v>49000</v>
      </c>
      <c r="AS45" s="150">
        <f t="shared" si="1"/>
        <v>6</v>
      </c>
      <c r="AT45" s="150">
        <f t="shared" si="6"/>
        <v>6125</v>
      </c>
      <c r="AU45" s="183">
        <f t="shared" si="5"/>
        <v>179</v>
      </c>
      <c r="AV45" s="183">
        <v>8</v>
      </c>
      <c r="AW45" s="135">
        <f t="shared" si="9"/>
        <v>4.4692737430167599E-2</v>
      </c>
      <c r="AX45" s="184">
        <v>123</v>
      </c>
      <c r="AY45" s="136">
        <f t="shared" si="2"/>
        <v>6.1068702290076333E-2</v>
      </c>
      <c r="AZ45" s="185">
        <v>1.1100000000000001</v>
      </c>
      <c r="BA45" s="185">
        <v>1</v>
      </c>
      <c r="BB45" s="137">
        <v>54000</v>
      </c>
      <c r="BC45" s="138">
        <v>12156536</v>
      </c>
    </row>
    <row r="46" spans="1:55" ht="21">
      <c r="A46">
        <v>2</v>
      </c>
      <c r="B46" s="121" t="s">
        <v>21</v>
      </c>
      <c r="C46" s="140" t="s">
        <v>237</v>
      </c>
      <c r="D46" s="188">
        <v>2</v>
      </c>
      <c r="E46" s="188"/>
      <c r="F46" s="188"/>
      <c r="G46" s="188">
        <v>1</v>
      </c>
      <c r="H46" s="188"/>
      <c r="I46" s="188">
        <v>1</v>
      </c>
      <c r="J46" s="188"/>
      <c r="K46" s="188">
        <v>1</v>
      </c>
      <c r="L46" s="180">
        <f t="shared" si="3"/>
        <v>5</v>
      </c>
      <c r="M46" s="181"/>
      <c r="N46" s="180">
        <v>2</v>
      </c>
      <c r="O46" s="180">
        <v>24</v>
      </c>
      <c r="P46" s="180">
        <v>93</v>
      </c>
      <c r="Q46" s="180">
        <v>36</v>
      </c>
      <c r="R46" s="180">
        <v>17</v>
      </c>
      <c r="S46" s="180">
        <v>20</v>
      </c>
      <c r="T46" s="180">
        <v>23</v>
      </c>
      <c r="U46" s="180">
        <v>14</v>
      </c>
      <c r="V46" s="180">
        <v>21</v>
      </c>
      <c r="W46" s="180">
        <v>15</v>
      </c>
      <c r="X46" s="180">
        <v>15</v>
      </c>
      <c r="Y46" s="181"/>
      <c r="Z46" s="181"/>
      <c r="AA46" s="180">
        <v>18</v>
      </c>
      <c r="AB46" s="183"/>
      <c r="AC46" s="181"/>
      <c r="AD46" s="180">
        <v>10</v>
      </c>
      <c r="AE46" s="180">
        <v>6</v>
      </c>
      <c r="AF46" s="180">
        <v>9</v>
      </c>
      <c r="AG46" s="180">
        <v>8</v>
      </c>
      <c r="AH46" s="180"/>
      <c r="AI46" s="180"/>
      <c r="AJ46" s="180"/>
      <c r="AK46" s="180"/>
      <c r="AL46" s="180"/>
      <c r="AM46" s="181"/>
      <c r="AN46" s="180"/>
      <c r="AO46" s="180"/>
      <c r="AP46" s="181"/>
      <c r="AQ46" s="180"/>
      <c r="AR46" s="149">
        <f t="shared" si="0"/>
        <v>33000</v>
      </c>
      <c r="AS46" s="150">
        <f t="shared" si="1"/>
        <v>4</v>
      </c>
      <c r="AT46" s="150">
        <f t="shared" si="6"/>
        <v>6600</v>
      </c>
      <c r="AU46" s="183">
        <f t="shared" si="5"/>
        <v>0</v>
      </c>
      <c r="AV46" s="183">
        <v>5</v>
      </c>
      <c r="AW46" s="135" t="e">
        <f t="shared" si="9"/>
        <v>#DIV/0!</v>
      </c>
      <c r="AX46" s="184">
        <v>58</v>
      </c>
      <c r="AY46" s="136">
        <f t="shared" si="2"/>
        <v>7.9365079365079361E-2</v>
      </c>
      <c r="AZ46" s="185">
        <v>1.38</v>
      </c>
      <c r="BA46" s="185">
        <v>1</v>
      </c>
      <c r="BB46" s="137">
        <v>33000</v>
      </c>
      <c r="BC46" s="138">
        <v>45039557</v>
      </c>
    </row>
    <row r="47" spans="1:55" ht="21">
      <c r="A47">
        <v>2</v>
      </c>
      <c r="B47" s="121" t="s">
        <v>21</v>
      </c>
      <c r="C47" s="140" t="s">
        <v>237</v>
      </c>
      <c r="D47" s="181"/>
      <c r="E47" s="181"/>
      <c r="F47" s="181"/>
      <c r="G47" s="181"/>
      <c r="H47" s="181"/>
      <c r="I47" s="181"/>
      <c r="J47" s="181"/>
      <c r="K47" s="181"/>
      <c r="L47" s="180">
        <f t="shared" si="3"/>
        <v>0</v>
      </c>
      <c r="M47" s="181"/>
      <c r="N47" s="180"/>
      <c r="O47" s="180"/>
      <c r="P47" s="180"/>
      <c r="Q47" s="180"/>
      <c r="R47" s="180"/>
      <c r="S47" s="180"/>
      <c r="T47" s="180"/>
      <c r="U47" s="180"/>
      <c r="V47" s="180"/>
      <c r="W47" s="180"/>
      <c r="X47" s="180"/>
      <c r="Y47" s="181"/>
      <c r="Z47" s="181"/>
      <c r="AA47" s="180"/>
      <c r="AB47" s="183">
        <f t="shared" si="4"/>
        <v>0</v>
      </c>
      <c r="AC47" s="181"/>
      <c r="AD47" s="180"/>
      <c r="AE47" s="180"/>
      <c r="AF47" s="180"/>
      <c r="AG47" s="180"/>
      <c r="AH47" s="180"/>
      <c r="AI47" s="180"/>
      <c r="AJ47" s="180"/>
      <c r="AK47" s="180"/>
      <c r="AL47" s="180"/>
      <c r="AM47" s="181"/>
      <c r="AN47" s="180"/>
      <c r="AO47" s="180"/>
      <c r="AP47" s="181"/>
      <c r="AQ47" s="180"/>
      <c r="AR47" s="149">
        <f t="shared" si="0"/>
        <v>0</v>
      </c>
      <c r="AS47" s="150">
        <f t="shared" si="1"/>
        <v>0</v>
      </c>
      <c r="AT47" s="150">
        <v>0</v>
      </c>
      <c r="AU47" s="183">
        <f t="shared" si="5"/>
        <v>0</v>
      </c>
      <c r="AV47" s="183">
        <v>0</v>
      </c>
      <c r="AW47" s="135"/>
      <c r="AX47" s="184">
        <v>0</v>
      </c>
      <c r="AY47" s="136">
        <v>0</v>
      </c>
      <c r="AZ47" s="185">
        <v>0</v>
      </c>
      <c r="BA47" s="185">
        <v>0</v>
      </c>
      <c r="BB47" s="137">
        <v>0</v>
      </c>
      <c r="BC47" s="138">
        <v>763101</v>
      </c>
    </row>
    <row r="48" spans="1:55" ht="21">
      <c r="A48">
        <v>2</v>
      </c>
      <c r="B48" s="121" t="s">
        <v>70</v>
      </c>
      <c r="C48" s="140" t="s">
        <v>86</v>
      </c>
      <c r="D48" s="188">
        <v>2</v>
      </c>
      <c r="E48" s="188"/>
      <c r="F48" s="188">
        <v>1</v>
      </c>
      <c r="G48" s="188">
        <v>1</v>
      </c>
      <c r="H48" s="188"/>
      <c r="I48" s="188"/>
      <c r="J48" s="188"/>
      <c r="K48" s="188">
        <v>1</v>
      </c>
      <c r="L48" s="180">
        <f t="shared" si="3"/>
        <v>5</v>
      </c>
      <c r="M48" s="181"/>
      <c r="N48" s="180">
        <v>0</v>
      </c>
      <c r="O48" s="180">
        <v>0</v>
      </c>
      <c r="P48" s="180">
        <v>36</v>
      </c>
      <c r="Q48" s="180">
        <v>40</v>
      </c>
      <c r="R48" s="180">
        <v>0</v>
      </c>
      <c r="S48" s="180">
        <v>23</v>
      </c>
      <c r="T48" s="180">
        <v>0</v>
      </c>
      <c r="U48" s="180">
        <v>0</v>
      </c>
      <c r="V48" s="180">
        <v>0</v>
      </c>
      <c r="W48" s="180">
        <v>0</v>
      </c>
      <c r="X48" s="180">
        <v>0</v>
      </c>
      <c r="Y48" s="181"/>
      <c r="Z48" s="181"/>
      <c r="AA48" s="180"/>
      <c r="AB48" s="183">
        <f t="shared" si="4"/>
        <v>99</v>
      </c>
      <c r="AC48" s="181"/>
      <c r="AD48" s="180"/>
      <c r="AE48" s="180"/>
      <c r="AF48" s="180">
        <v>9</v>
      </c>
      <c r="AG48" s="180">
        <v>4</v>
      </c>
      <c r="AH48" s="180"/>
      <c r="AI48" s="180"/>
      <c r="AJ48" s="180"/>
      <c r="AK48" s="180"/>
      <c r="AL48" s="180"/>
      <c r="AM48" s="181"/>
      <c r="AN48" s="180"/>
      <c r="AO48" s="180"/>
      <c r="AP48" s="181"/>
      <c r="AQ48" s="180"/>
      <c r="AR48" s="149">
        <f t="shared" si="0"/>
        <v>13000</v>
      </c>
      <c r="AS48" s="150">
        <f t="shared" si="1"/>
        <v>2</v>
      </c>
      <c r="AT48" s="150">
        <f t="shared" si="6"/>
        <v>2600</v>
      </c>
      <c r="AU48" s="183">
        <f t="shared" si="5"/>
        <v>99</v>
      </c>
      <c r="AV48" s="183">
        <v>5</v>
      </c>
      <c r="AW48" s="135">
        <f t="shared" si="9"/>
        <v>5.0505050505050504E-2</v>
      </c>
      <c r="AX48" s="184">
        <v>38</v>
      </c>
      <c r="AY48" s="136">
        <f t="shared" si="2"/>
        <v>0.11627906976744186</v>
      </c>
      <c r="AZ48" s="185">
        <v>1.24</v>
      </c>
      <c r="BA48" s="185">
        <v>1</v>
      </c>
      <c r="BB48" s="137">
        <v>13000</v>
      </c>
      <c r="BC48" s="138">
        <v>9078793</v>
      </c>
    </row>
    <row r="49" spans="1:55" ht="21">
      <c r="A49">
        <v>2</v>
      </c>
      <c r="B49" s="121" t="s">
        <v>139</v>
      </c>
      <c r="C49" s="140" t="s">
        <v>50</v>
      </c>
      <c r="D49" s="188">
        <v>3</v>
      </c>
      <c r="E49" s="188"/>
      <c r="F49" s="188"/>
      <c r="G49" s="188"/>
      <c r="H49" s="188"/>
      <c r="I49" s="188">
        <v>1</v>
      </c>
      <c r="J49" s="188"/>
      <c r="K49" s="188">
        <v>1</v>
      </c>
      <c r="L49" s="180">
        <f t="shared" si="3"/>
        <v>5</v>
      </c>
      <c r="M49" s="181"/>
      <c r="N49" s="180"/>
      <c r="O49" s="180"/>
      <c r="P49" s="180">
        <v>25</v>
      </c>
      <c r="Q49" s="180">
        <v>21</v>
      </c>
      <c r="R49" s="180"/>
      <c r="S49" s="180"/>
      <c r="T49" s="180"/>
      <c r="U49" s="180"/>
      <c r="V49" s="180"/>
      <c r="W49" s="180"/>
      <c r="X49" s="180"/>
      <c r="Y49" s="181"/>
      <c r="Z49" s="181"/>
      <c r="AA49" s="180"/>
      <c r="AB49" s="183">
        <f t="shared" si="4"/>
        <v>46</v>
      </c>
      <c r="AC49" s="181"/>
      <c r="AD49" s="180"/>
      <c r="AE49" s="180"/>
      <c r="AF49" s="180">
        <v>9</v>
      </c>
      <c r="AG49" s="180">
        <v>12</v>
      </c>
      <c r="AH49" s="180"/>
      <c r="AI49" s="180"/>
      <c r="AJ49" s="180">
        <v>2</v>
      </c>
      <c r="AK49" s="180"/>
      <c r="AL49" s="180">
        <v>5</v>
      </c>
      <c r="AM49" s="181"/>
      <c r="AN49" s="180"/>
      <c r="AO49" s="180"/>
      <c r="AP49" s="181"/>
      <c r="AQ49" s="180"/>
      <c r="AR49" s="149">
        <f t="shared" si="0"/>
        <v>21000</v>
      </c>
      <c r="AS49" s="150">
        <f t="shared" si="1"/>
        <v>4</v>
      </c>
      <c r="AT49" s="150">
        <f t="shared" si="6"/>
        <v>7000</v>
      </c>
      <c r="AU49" s="183">
        <f t="shared" si="5"/>
        <v>46</v>
      </c>
      <c r="AV49" s="183">
        <v>3</v>
      </c>
      <c r="AW49" s="135">
        <f t="shared" si="9"/>
        <v>6.5217391304347824E-2</v>
      </c>
      <c r="AX49" s="184">
        <v>38</v>
      </c>
      <c r="AY49" s="136">
        <f t="shared" si="2"/>
        <v>7.3170731707317069E-2</v>
      </c>
      <c r="AZ49" s="185">
        <v>1.21</v>
      </c>
      <c r="BA49" s="185">
        <v>1</v>
      </c>
      <c r="BB49" s="137">
        <v>28000</v>
      </c>
      <c r="BC49" s="138">
        <v>6284988</v>
      </c>
    </row>
    <row r="50" spans="1:55" ht="21">
      <c r="A50">
        <v>2</v>
      </c>
      <c r="B50" s="121" t="s">
        <v>70</v>
      </c>
      <c r="C50" s="140" t="s">
        <v>88</v>
      </c>
      <c r="D50" s="188">
        <v>1</v>
      </c>
      <c r="E50" s="188"/>
      <c r="F50" s="188">
        <v>1</v>
      </c>
      <c r="G50" s="188"/>
      <c r="H50" s="188"/>
      <c r="I50" s="188"/>
      <c r="J50" s="188"/>
      <c r="K50" s="188">
        <v>1</v>
      </c>
      <c r="L50" s="180">
        <f t="shared" si="3"/>
        <v>3</v>
      </c>
      <c r="M50" s="181"/>
      <c r="N50" s="180">
        <v>0</v>
      </c>
      <c r="O50" s="180">
        <v>0</v>
      </c>
      <c r="P50" s="180">
        <v>12</v>
      </c>
      <c r="Q50" s="180">
        <v>23</v>
      </c>
      <c r="R50" s="180">
        <v>0</v>
      </c>
      <c r="S50" s="180">
        <v>2</v>
      </c>
      <c r="T50" s="180">
        <v>0</v>
      </c>
      <c r="U50" s="180">
        <v>0</v>
      </c>
      <c r="V50" s="180">
        <v>0</v>
      </c>
      <c r="W50" s="180">
        <v>0</v>
      </c>
      <c r="X50" s="180">
        <v>0</v>
      </c>
      <c r="Y50" s="181"/>
      <c r="Z50" s="181"/>
      <c r="AA50" s="180">
        <v>0</v>
      </c>
      <c r="AB50" s="183">
        <f t="shared" si="4"/>
        <v>37</v>
      </c>
      <c r="AC50" s="181"/>
      <c r="AD50" s="180"/>
      <c r="AE50" s="180"/>
      <c r="AF50" s="180">
        <v>3</v>
      </c>
      <c r="AG50" s="180">
        <v>7</v>
      </c>
      <c r="AH50" s="180"/>
      <c r="AI50" s="180">
        <v>5</v>
      </c>
      <c r="AJ50" s="180"/>
      <c r="AK50" s="180"/>
      <c r="AL50" s="180"/>
      <c r="AM50" s="181"/>
      <c r="AN50" s="180"/>
      <c r="AO50" s="180"/>
      <c r="AP50" s="181"/>
      <c r="AQ50" s="180"/>
      <c r="AR50" s="149">
        <f t="shared" si="0"/>
        <v>15000</v>
      </c>
      <c r="AS50" s="150">
        <f t="shared" si="1"/>
        <v>3</v>
      </c>
      <c r="AT50" s="150">
        <f t="shared" si="6"/>
        <v>3000</v>
      </c>
      <c r="AU50" s="183">
        <f t="shared" si="5"/>
        <v>37</v>
      </c>
      <c r="AV50" s="183">
        <v>5</v>
      </c>
      <c r="AW50" s="135">
        <f t="shared" si="9"/>
        <v>0.13513513513513514</v>
      </c>
      <c r="AX50" s="184">
        <v>27</v>
      </c>
      <c r="AY50" s="136">
        <f t="shared" si="2"/>
        <v>0.15625</v>
      </c>
      <c r="AZ50" s="185">
        <v>1.1000000000000001</v>
      </c>
      <c r="BA50" s="185">
        <v>1</v>
      </c>
      <c r="BB50" s="137">
        <v>15000</v>
      </c>
      <c r="BC50" s="138">
        <v>5584358</v>
      </c>
    </row>
    <row r="51" spans="1:55" ht="21">
      <c r="A51">
        <v>2</v>
      </c>
      <c r="B51" s="121" t="s">
        <v>21</v>
      </c>
      <c r="C51" s="140" t="s">
        <v>33</v>
      </c>
      <c r="D51" s="188">
        <v>1</v>
      </c>
      <c r="E51" s="188">
        <v>1</v>
      </c>
      <c r="F51" s="188">
        <v>1</v>
      </c>
      <c r="G51" s="188"/>
      <c r="H51" s="188"/>
      <c r="I51" s="188">
        <v>1</v>
      </c>
      <c r="J51" s="188"/>
      <c r="K51" s="188"/>
      <c r="L51" s="180">
        <f t="shared" si="3"/>
        <v>4</v>
      </c>
      <c r="M51" s="181"/>
      <c r="N51" s="180">
        <v>23</v>
      </c>
      <c r="O51" s="180">
        <v>26</v>
      </c>
      <c r="P51" s="180">
        <v>35</v>
      </c>
      <c r="Q51" s="180">
        <v>38</v>
      </c>
      <c r="R51" s="180">
        <v>18</v>
      </c>
      <c r="S51" s="180">
        <v>21</v>
      </c>
      <c r="T51" s="180"/>
      <c r="U51" s="180">
        <v>15</v>
      </c>
      <c r="V51" s="180"/>
      <c r="W51" s="180"/>
      <c r="X51" s="180"/>
      <c r="Y51" s="181"/>
      <c r="Z51" s="181"/>
      <c r="AA51" s="180">
        <v>19</v>
      </c>
      <c r="AB51" s="183">
        <f t="shared" si="4"/>
        <v>195</v>
      </c>
      <c r="AC51" s="181"/>
      <c r="AD51" s="180"/>
      <c r="AE51" s="180"/>
      <c r="AF51" s="180">
        <v>19</v>
      </c>
      <c r="AG51" s="180">
        <v>24</v>
      </c>
      <c r="AH51" s="180"/>
      <c r="AI51" s="180"/>
      <c r="AJ51" s="180"/>
      <c r="AK51" s="180"/>
      <c r="AL51" s="180"/>
      <c r="AM51" s="181"/>
      <c r="AN51" s="180"/>
      <c r="AO51" s="180"/>
      <c r="AP51" s="181"/>
      <c r="AQ51" s="180"/>
      <c r="AR51" s="149">
        <f>(SUM(AD51:AI51)+AQ51)*1000</f>
        <v>43000</v>
      </c>
      <c r="AS51" s="150">
        <f t="shared" si="1"/>
        <v>2</v>
      </c>
      <c r="AT51" s="150">
        <v>0</v>
      </c>
      <c r="AU51" s="183">
        <f t="shared" si="5"/>
        <v>195</v>
      </c>
      <c r="AV51" s="183">
        <v>0</v>
      </c>
      <c r="AW51" s="135"/>
      <c r="AX51" s="184">
        <v>0</v>
      </c>
      <c r="AY51" s="136">
        <v>0</v>
      </c>
      <c r="AZ51" s="185">
        <v>1.1599999999999999</v>
      </c>
      <c r="BA51" s="185">
        <v>1</v>
      </c>
      <c r="BB51" s="137">
        <v>43000</v>
      </c>
      <c r="BC51" s="138">
        <v>35209918</v>
      </c>
    </row>
    <row r="52" spans="1:55" ht="21">
      <c r="A52">
        <v>2</v>
      </c>
      <c r="B52" s="121" t="s">
        <v>21</v>
      </c>
      <c r="C52" s="140" t="s">
        <v>24</v>
      </c>
      <c r="D52" s="188">
        <v>1</v>
      </c>
      <c r="E52" s="188"/>
      <c r="F52" s="188"/>
      <c r="G52" s="188"/>
      <c r="H52" s="188"/>
      <c r="I52" s="188"/>
      <c r="J52" s="188">
        <v>1</v>
      </c>
      <c r="K52" s="188">
        <v>1</v>
      </c>
      <c r="L52" s="180">
        <f t="shared" si="3"/>
        <v>3</v>
      </c>
      <c r="M52" s="181"/>
      <c r="N52" s="180">
        <v>0</v>
      </c>
      <c r="O52" s="180">
        <v>0</v>
      </c>
      <c r="P52" s="180">
        <v>1</v>
      </c>
      <c r="Q52" s="180">
        <v>150</v>
      </c>
      <c r="R52" s="180">
        <v>0</v>
      </c>
      <c r="S52" s="180">
        <v>0</v>
      </c>
      <c r="T52" s="180">
        <v>0</v>
      </c>
      <c r="U52" s="180">
        <v>0</v>
      </c>
      <c r="V52" s="180">
        <v>0</v>
      </c>
      <c r="W52" s="180">
        <v>0</v>
      </c>
      <c r="X52" s="180">
        <v>0</v>
      </c>
      <c r="Y52" s="181"/>
      <c r="Z52" s="181"/>
      <c r="AA52" s="180">
        <v>13</v>
      </c>
      <c r="AB52" s="183">
        <f t="shared" si="4"/>
        <v>164</v>
      </c>
      <c r="AC52" s="181"/>
      <c r="AD52" s="180"/>
      <c r="AE52" s="180">
        <v>2</v>
      </c>
      <c r="AF52" s="180"/>
      <c r="AG52" s="180">
        <v>14</v>
      </c>
      <c r="AH52" s="180"/>
      <c r="AI52" s="180"/>
      <c r="AJ52" s="180">
        <v>1</v>
      </c>
      <c r="AK52" s="180"/>
      <c r="AL52" s="180"/>
      <c r="AM52" s="181"/>
      <c r="AN52" s="180">
        <v>2</v>
      </c>
      <c r="AO52" s="180">
        <v>10</v>
      </c>
      <c r="AP52" s="181"/>
      <c r="AQ52" s="180"/>
      <c r="AR52" s="149">
        <f t="shared" si="0"/>
        <v>16000</v>
      </c>
      <c r="AS52" s="150">
        <f t="shared" si="1"/>
        <v>5</v>
      </c>
      <c r="AT52" s="150">
        <f t="shared" si="6"/>
        <v>8000</v>
      </c>
      <c r="AU52" s="183">
        <f t="shared" si="5"/>
        <v>164</v>
      </c>
      <c r="AV52" s="183">
        <v>2</v>
      </c>
      <c r="AW52" s="135">
        <f t="shared" si="9"/>
        <v>1.2195121951219513E-2</v>
      </c>
      <c r="AX52" s="184">
        <v>20</v>
      </c>
      <c r="AY52" s="136">
        <f t="shared" si="2"/>
        <v>9.0909090909090912E-2</v>
      </c>
      <c r="AZ52" s="185">
        <v>1</v>
      </c>
      <c r="BA52" s="185">
        <v>1</v>
      </c>
      <c r="BB52" s="137">
        <v>29000</v>
      </c>
      <c r="BC52" s="138">
        <v>4161859</v>
      </c>
    </row>
    <row r="53" spans="1:55" ht="21.6" thickBot="1">
      <c r="A53">
        <v>2</v>
      </c>
      <c r="B53" s="122" t="s">
        <v>70</v>
      </c>
      <c r="C53" s="141" t="s">
        <v>92</v>
      </c>
      <c r="D53" s="188">
        <v>1</v>
      </c>
      <c r="E53" s="188"/>
      <c r="F53" s="188">
        <v>1</v>
      </c>
      <c r="G53" s="188"/>
      <c r="H53" s="188"/>
      <c r="I53" s="188"/>
      <c r="J53" s="188"/>
      <c r="K53" s="188">
        <v>1</v>
      </c>
      <c r="L53" s="180">
        <f t="shared" si="3"/>
        <v>3</v>
      </c>
      <c r="M53" s="181"/>
      <c r="N53" s="180">
        <v>0</v>
      </c>
      <c r="O53" s="180">
        <v>0</v>
      </c>
      <c r="P53" s="180">
        <v>46</v>
      </c>
      <c r="Q53" s="180">
        <v>0</v>
      </c>
      <c r="R53" s="180">
        <v>0</v>
      </c>
      <c r="S53" s="180">
        <v>2</v>
      </c>
      <c r="T53" s="180">
        <v>6</v>
      </c>
      <c r="U53" s="180">
        <v>0</v>
      </c>
      <c r="V53" s="180">
        <v>0</v>
      </c>
      <c r="W53" s="180">
        <v>0</v>
      </c>
      <c r="X53" s="180">
        <v>0</v>
      </c>
      <c r="Y53" s="181"/>
      <c r="Z53" s="181"/>
      <c r="AA53" s="180">
        <v>2</v>
      </c>
      <c r="AB53" s="183">
        <f t="shared" si="4"/>
        <v>56</v>
      </c>
      <c r="AC53" s="181"/>
      <c r="AD53" s="180"/>
      <c r="AE53" s="180"/>
      <c r="AF53" s="180">
        <v>4</v>
      </c>
      <c r="AG53" s="180">
        <v>2</v>
      </c>
      <c r="AH53" s="180"/>
      <c r="AI53" s="180">
        <v>1</v>
      </c>
      <c r="AJ53" s="180">
        <v>2</v>
      </c>
      <c r="AK53" s="180"/>
      <c r="AL53" s="180"/>
      <c r="AM53" s="181"/>
      <c r="AN53" s="180"/>
      <c r="AO53" s="180"/>
      <c r="AP53" s="181"/>
      <c r="AQ53" s="180"/>
      <c r="AR53" s="149">
        <f t="shared" si="0"/>
        <v>7000</v>
      </c>
      <c r="AS53" s="150">
        <f t="shared" si="1"/>
        <v>4</v>
      </c>
      <c r="AT53" s="150">
        <f t="shared" si="6"/>
        <v>3500</v>
      </c>
      <c r="AU53" s="183">
        <f t="shared" si="5"/>
        <v>56</v>
      </c>
      <c r="AV53" s="183">
        <v>2</v>
      </c>
      <c r="AW53" s="135">
        <f t="shared" si="9"/>
        <v>3.5714285714285712E-2</v>
      </c>
      <c r="AX53" s="184">
        <v>13</v>
      </c>
      <c r="AY53" s="136">
        <f t="shared" si="2"/>
        <v>0.13333333333333333</v>
      </c>
      <c r="AZ53" s="185">
        <v>1.17</v>
      </c>
      <c r="BA53" s="185">
        <v>1</v>
      </c>
      <c r="BB53" s="137">
        <v>9000</v>
      </c>
      <c r="BC53" s="138">
        <v>1959469</v>
      </c>
    </row>
    <row r="54" spans="1:55" ht="21">
      <c r="A54">
        <v>3</v>
      </c>
      <c r="B54" s="120" t="s">
        <v>70</v>
      </c>
      <c r="C54" s="139" t="s">
        <v>69</v>
      </c>
      <c r="D54" s="181">
        <v>1</v>
      </c>
      <c r="E54" s="181"/>
      <c r="F54" s="181"/>
      <c r="G54" s="181">
        <v>1</v>
      </c>
      <c r="H54" s="181"/>
      <c r="I54" s="181">
        <v>1</v>
      </c>
      <c r="J54" s="181"/>
      <c r="K54" s="181">
        <v>1</v>
      </c>
      <c r="L54" s="180">
        <f t="shared" si="3"/>
        <v>4</v>
      </c>
      <c r="M54" s="181"/>
      <c r="N54" s="182">
        <v>0</v>
      </c>
      <c r="O54" s="182">
        <v>0</v>
      </c>
      <c r="P54" s="182">
        <v>18</v>
      </c>
      <c r="Q54" s="182">
        <v>90</v>
      </c>
      <c r="R54" s="182">
        <v>0</v>
      </c>
      <c r="S54" s="182">
        <v>0</v>
      </c>
      <c r="T54" s="182">
        <v>0</v>
      </c>
      <c r="U54" s="182">
        <v>0</v>
      </c>
      <c r="V54" s="182">
        <v>0</v>
      </c>
      <c r="W54" s="181"/>
      <c r="X54" s="182">
        <v>0</v>
      </c>
      <c r="Y54" s="182">
        <v>0</v>
      </c>
      <c r="Z54" s="181"/>
      <c r="AA54" s="182">
        <v>25</v>
      </c>
      <c r="AB54" s="183">
        <f t="shared" si="4"/>
        <v>133</v>
      </c>
      <c r="AC54" s="181"/>
      <c r="AD54" s="180">
        <v>25</v>
      </c>
      <c r="AE54" s="180">
        <v>12</v>
      </c>
      <c r="AF54" s="180">
        <v>40</v>
      </c>
      <c r="AG54" s="180">
        <v>24</v>
      </c>
      <c r="AH54" s="180"/>
      <c r="AI54" s="180"/>
      <c r="AJ54" s="180">
        <v>2</v>
      </c>
      <c r="AK54" s="180"/>
      <c r="AL54" s="180">
        <v>264</v>
      </c>
      <c r="AM54" s="181"/>
      <c r="AN54" s="180">
        <v>10</v>
      </c>
      <c r="AO54" s="180"/>
      <c r="AP54" s="181"/>
      <c r="AQ54" s="180">
        <v>20</v>
      </c>
      <c r="AR54" s="149">
        <f t="shared" si="0"/>
        <v>121000</v>
      </c>
      <c r="AS54" s="150">
        <f t="shared" si="1"/>
        <v>8</v>
      </c>
      <c r="AT54" s="150">
        <f t="shared" si="6"/>
        <v>10083.333333333334</v>
      </c>
      <c r="AU54" s="183">
        <f t="shared" si="5"/>
        <v>133</v>
      </c>
      <c r="AV54" s="183">
        <v>12</v>
      </c>
      <c r="AW54" s="135">
        <f t="shared" si="9"/>
        <v>9.0225563909774431E-2</v>
      </c>
      <c r="AX54" s="184">
        <v>40</v>
      </c>
      <c r="AY54" s="136">
        <f t="shared" si="2"/>
        <v>0.23076923076923078</v>
      </c>
      <c r="AZ54" s="185">
        <v>1.1100000000000001</v>
      </c>
      <c r="BA54" s="185">
        <v>1</v>
      </c>
      <c r="BB54" s="137">
        <v>15000</v>
      </c>
      <c r="BC54" s="138">
        <v>8384454.9319139998</v>
      </c>
    </row>
    <row r="55" spans="1:55" ht="21">
      <c r="A55">
        <v>3</v>
      </c>
      <c r="B55" s="121" t="s">
        <v>21</v>
      </c>
      <c r="C55" s="140" t="s">
        <v>36</v>
      </c>
      <c r="D55" s="181"/>
      <c r="E55" s="181"/>
      <c r="F55" s="181"/>
      <c r="G55" s="181"/>
      <c r="H55" s="181"/>
      <c r="I55" s="181"/>
      <c r="J55" s="181"/>
      <c r="K55" s="181"/>
      <c r="L55" s="180">
        <f t="shared" si="3"/>
        <v>0</v>
      </c>
      <c r="M55" s="181"/>
      <c r="N55" s="182"/>
      <c r="O55" s="182"/>
      <c r="P55" s="182"/>
      <c r="Q55" s="182"/>
      <c r="R55" s="182"/>
      <c r="S55" s="182"/>
      <c r="T55" s="182"/>
      <c r="U55" s="182"/>
      <c r="V55" s="182"/>
      <c r="W55" s="181"/>
      <c r="X55" s="182"/>
      <c r="Y55" s="182"/>
      <c r="Z55" s="181"/>
      <c r="AA55" s="182"/>
      <c r="AB55" s="183">
        <f t="shared" si="4"/>
        <v>0</v>
      </c>
      <c r="AC55" s="181"/>
      <c r="AD55" s="180"/>
      <c r="AE55" s="180">
        <v>7.27</v>
      </c>
      <c r="AF55" s="180"/>
      <c r="AG55" s="180">
        <v>24.38</v>
      </c>
      <c r="AH55" s="180"/>
      <c r="AI55" s="180"/>
      <c r="AJ55" s="180">
        <v>0.57999999999999996</v>
      </c>
      <c r="AK55" s="180"/>
      <c r="AL55" s="180"/>
      <c r="AM55" s="181"/>
      <c r="AN55" s="180">
        <v>1.82</v>
      </c>
      <c r="AO55" s="180">
        <v>0.8</v>
      </c>
      <c r="AP55" s="181"/>
      <c r="AQ55" s="180"/>
      <c r="AR55" s="149">
        <f t="shared" si="0"/>
        <v>31650</v>
      </c>
      <c r="AS55" s="150">
        <f t="shared" si="1"/>
        <v>5</v>
      </c>
      <c r="AT55" s="150">
        <v>0</v>
      </c>
      <c r="AU55" s="183">
        <f t="shared" si="5"/>
        <v>0</v>
      </c>
      <c r="AV55" s="183">
        <v>0</v>
      </c>
      <c r="AW55" s="135"/>
      <c r="AX55" s="184">
        <v>0</v>
      </c>
      <c r="AY55" s="136">
        <v>0</v>
      </c>
      <c r="AZ55" s="185">
        <v>0</v>
      </c>
      <c r="BA55" s="185">
        <v>0</v>
      </c>
      <c r="BB55" s="137">
        <v>0</v>
      </c>
      <c r="BC55" s="138">
        <v>0</v>
      </c>
    </row>
    <row r="56" spans="1:55" ht="21">
      <c r="A56">
        <v>3</v>
      </c>
      <c r="B56" s="121" t="s">
        <v>139</v>
      </c>
      <c r="C56" s="140" t="s">
        <v>149</v>
      </c>
      <c r="D56" s="181">
        <v>2</v>
      </c>
      <c r="E56" s="181">
        <v>1</v>
      </c>
      <c r="F56" s="181"/>
      <c r="G56" s="181"/>
      <c r="H56" s="181"/>
      <c r="I56" s="181"/>
      <c r="J56" s="181">
        <v>1</v>
      </c>
      <c r="K56" s="181">
        <v>1</v>
      </c>
      <c r="L56" s="180">
        <f t="shared" si="3"/>
        <v>5</v>
      </c>
      <c r="M56" s="181"/>
      <c r="N56" s="189">
        <v>0</v>
      </c>
      <c r="O56" s="189">
        <v>0</v>
      </c>
      <c r="P56" s="189">
        <v>75</v>
      </c>
      <c r="Q56" s="189">
        <v>119</v>
      </c>
      <c r="R56" s="189">
        <v>0</v>
      </c>
      <c r="S56" s="189">
        <v>0</v>
      </c>
      <c r="T56" s="189">
        <v>0</v>
      </c>
      <c r="U56" s="189">
        <v>0</v>
      </c>
      <c r="V56" s="189">
        <v>0</v>
      </c>
      <c r="W56" s="181"/>
      <c r="X56" s="189">
        <v>0</v>
      </c>
      <c r="Y56" s="189">
        <v>0</v>
      </c>
      <c r="Z56" s="181"/>
      <c r="AA56" s="189">
        <v>0</v>
      </c>
      <c r="AB56" s="183">
        <f t="shared" si="4"/>
        <v>194</v>
      </c>
      <c r="AC56" s="181"/>
      <c r="AD56" s="180"/>
      <c r="AE56" s="180"/>
      <c r="AF56" s="180">
        <v>30</v>
      </c>
      <c r="AG56" s="180">
        <v>15</v>
      </c>
      <c r="AH56" s="180"/>
      <c r="AI56" s="180"/>
      <c r="AJ56" s="180"/>
      <c r="AK56" s="180"/>
      <c r="AL56" s="180"/>
      <c r="AM56" s="181"/>
      <c r="AN56" s="180"/>
      <c r="AO56" s="180"/>
      <c r="AP56" s="181"/>
      <c r="AQ56" s="180"/>
      <c r="AR56" s="149">
        <f t="shared" si="0"/>
        <v>45000</v>
      </c>
      <c r="AS56" s="150">
        <f t="shared" si="1"/>
        <v>2</v>
      </c>
      <c r="AT56" s="150">
        <f t="shared" si="6"/>
        <v>2250</v>
      </c>
      <c r="AU56" s="183">
        <f t="shared" si="5"/>
        <v>194</v>
      </c>
      <c r="AV56" s="183">
        <v>20</v>
      </c>
      <c r="AW56" s="135">
        <f t="shared" si="9"/>
        <v>0.10309278350515463</v>
      </c>
      <c r="AX56" s="184">
        <v>101</v>
      </c>
      <c r="AY56" s="136">
        <f t="shared" si="2"/>
        <v>0.16528925619834711</v>
      </c>
      <c r="AZ56" s="185">
        <v>1.0900000000000001</v>
      </c>
      <c r="BA56" s="185">
        <v>1</v>
      </c>
      <c r="BB56" s="137">
        <v>78000</v>
      </c>
      <c r="BC56" s="138">
        <v>21932486.519464795</v>
      </c>
    </row>
    <row r="57" spans="1:55" ht="21">
      <c r="A57">
        <v>3</v>
      </c>
      <c r="B57" s="121" t="s">
        <v>70</v>
      </c>
      <c r="C57" s="140" t="s">
        <v>90</v>
      </c>
      <c r="D57" s="181">
        <v>2</v>
      </c>
      <c r="E57" s="181">
        <v>1</v>
      </c>
      <c r="F57" s="181"/>
      <c r="G57" s="181"/>
      <c r="H57" s="181"/>
      <c r="I57" s="181">
        <v>1</v>
      </c>
      <c r="J57" s="181">
        <v>2</v>
      </c>
      <c r="K57" s="181">
        <v>1</v>
      </c>
      <c r="L57" s="180">
        <f t="shared" si="3"/>
        <v>7</v>
      </c>
      <c r="M57" s="181"/>
      <c r="N57" s="182">
        <v>0</v>
      </c>
      <c r="O57" s="182">
        <v>0</v>
      </c>
      <c r="P57" s="182">
        <v>42</v>
      </c>
      <c r="Q57" s="182">
        <v>99</v>
      </c>
      <c r="R57" s="182">
        <v>0</v>
      </c>
      <c r="S57" s="182">
        <v>6</v>
      </c>
      <c r="T57" s="182">
        <v>13</v>
      </c>
      <c r="U57" s="182">
        <v>1</v>
      </c>
      <c r="V57" s="182">
        <v>1</v>
      </c>
      <c r="W57" s="181"/>
      <c r="X57" s="182">
        <v>0</v>
      </c>
      <c r="Y57" s="182">
        <v>0</v>
      </c>
      <c r="Z57" s="181"/>
      <c r="AA57" s="182">
        <v>0</v>
      </c>
      <c r="AB57" s="183">
        <f t="shared" si="4"/>
        <v>162</v>
      </c>
      <c r="AC57" s="181"/>
      <c r="AD57" s="180">
        <v>20</v>
      </c>
      <c r="AE57" s="180"/>
      <c r="AF57" s="180">
        <v>9</v>
      </c>
      <c r="AG57" s="180">
        <v>15</v>
      </c>
      <c r="AH57" s="180"/>
      <c r="AI57" s="180">
        <v>9</v>
      </c>
      <c r="AJ57" s="180">
        <v>3</v>
      </c>
      <c r="AK57" s="180"/>
      <c r="AL57" s="180">
        <v>5</v>
      </c>
      <c r="AM57" s="181"/>
      <c r="AN57" s="180"/>
      <c r="AO57" s="180"/>
      <c r="AP57" s="181"/>
      <c r="AQ57" s="180"/>
      <c r="AR57" s="149">
        <f t="shared" si="0"/>
        <v>53000</v>
      </c>
      <c r="AS57" s="150">
        <f t="shared" si="1"/>
        <v>6</v>
      </c>
      <c r="AT57" s="150">
        <f t="shared" si="6"/>
        <v>17666.666666666668</v>
      </c>
      <c r="AU57" s="183">
        <f t="shared" si="5"/>
        <v>162</v>
      </c>
      <c r="AV57" s="183">
        <v>3</v>
      </c>
      <c r="AW57" s="135">
        <f t="shared" si="9"/>
        <v>1.8518518518518517E-2</v>
      </c>
      <c r="AX57" s="184">
        <v>18</v>
      </c>
      <c r="AY57" s="136">
        <f t="shared" si="2"/>
        <v>0.14285714285714285</v>
      </c>
      <c r="AZ57" s="185">
        <v>0.84</v>
      </c>
      <c r="BA57" s="185">
        <v>0.5</v>
      </c>
      <c r="BB57" s="137">
        <v>55200</v>
      </c>
      <c r="BC57" s="138">
        <v>1778835.3056351996</v>
      </c>
    </row>
    <row r="58" spans="1:55" ht="21">
      <c r="A58">
        <v>3</v>
      </c>
      <c r="B58" s="121" t="s">
        <v>70</v>
      </c>
      <c r="C58" s="140" t="s">
        <v>79</v>
      </c>
      <c r="D58" s="181">
        <v>3</v>
      </c>
      <c r="E58" s="181"/>
      <c r="F58" s="181"/>
      <c r="G58" s="181"/>
      <c r="H58" s="181"/>
      <c r="I58" s="181">
        <v>1</v>
      </c>
      <c r="J58" s="181"/>
      <c r="K58" s="181">
        <v>1</v>
      </c>
      <c r="L58" s="180">
        <f t="shared" si="3"/>
        <v>5</v>
      </c>
      <c r="M58" s="181"/>
      <c r="N58" s="182">
        <v>2</v>
      </c>
      <c r="O58" s="182">
        <v>0</v>
      </c>
      <c r="P58" s="182">
        <v>1</v>
      </c>
      <c r="Q58" s="182">
        <v>37</v>
      </c>
      <c r="R58" s="182">
        <v>0</v>
      </c>
      <c r="S58" s="182">
        <v>1</v>
      </c>
      <c r="T58" s="182">
        <v>0</v>
      </c>
      <c r="U58" s="182">
        <v>0</v>
      </c>
      <c r="V58" s="182">
        <v>0</v>
      </c>
      <c r="W58" s="181"/>
      <c r="X58" s="182">
        <v>0</v>
      </c>
      <c r="Y58" s="182">
        <v>0</v>
      </c>
      <c r="Z58" s="181"/>
      <c r="AA58" s="182">
        <v>61</v>
      </c>
      <c r="AB58" s="183">
        <f t="shared" si="4"/>
        <v>102</v>
      </c>
      <c r="AC58" s="181"/>
      <c r="AD58" s="180"/>
      <c r="AE58" s="180"/>
      <c r="AF58" s="180">
        <v>19</v>
      </c>
      <c r="AG58" s="180">
        <v>24</v>
      </c>
      <c r="AH58" s="180"/>
      <c r="AI58" s="180"/>
      <c r="AJ58" s="180"/>
      <c r="AK58" s="180"/>
      <c r="AL58" s="180"/>
      <c r="AM58" s="181"/>
      <c r="AN58" s="180"/>
      <c r="AO58" s="180"/>
      <c r="AP58" s="181"/>
      <c r="AQ58" s="180"/>
      <c r="AR58" s="149">
        <f t="shared" si="0"/>
        <v>43000</v>
      </c>
      <c r="AS58" s="150">
        <f t="shared" si="1"/>
        <v>2</v>
      </c>
      <c r="AT58" s="150">
        <f t="shared" si="6"/>
        <v>10750</v>
      </c>
      <c r="AU58" s="183">
        <f t="shared" si="5"/>
        <v>102</v>
      </c>
      <c r="AV58" s="183">
        <v>4</v>
      </c>
      <c r="AW58" s="135">
        <f t="shared" si="9"/>
        <v>3.9215686274509803E-2</v>
      </c>
      <c r="AX58" s="184">
        <v>40</v>
      </c>
      <c r="AY58" s="136">
        <f t="shared" si="2"/>
        <v>9.0909090909090912E-2</v>
      </c>
      <c r="AZ58" s="185">
        <v>0.93</v>
      </c>
      <c r="BA58" s="185">
        <v>0.75</v>
      </c>
      <c r="BB58" s="137">
        <v>20000</v>
      </c>
      <c r="BC58" s="138">
        <v>4086653.5988487001</v>
      </c>
    </row>
    <row r="59" spans="1:55" ht="21.6">
      <c r="A59">
        <v>3</v>
      </c>
      <c r="B59" s="121" t="s">
        <v>139</v>
      </c>
      <c r="C59" s="140" t="s">
        <v>60</v>
      </c>
      <c r="D59" s="181">
        <v>1</v>
      </c>
      <c r="E59" s="181">
        <v>1</v>
      </c>
      <c r="F59" s="181"/>
      <c r="G59" s="181"/>
      <c r="H59" s="181"/>
      <c r="I59" s="181">
        <v>2</v>
      </c>
      <c r="J59" s="181">
        <v>1</v>
      </c>
      <c r="K59" s="181">
        <v>1</v>
      </c>
      <c r="L59" s="180">
        <f t="shared" si="3"/>
        <v>6</v>
      </c>
      <c r="M59" s="181"/>
      <c r="N59" s="190">
        <v>68</v>
      </c>
      <c r="O59" s="190">
        <v>0</v>
      </c>
      <c r="P59" s="190">
        <v>4</v>
      </c>
      <c r="Q59" s="190">
        <v>39</v>
      </c>
      <c r="R59" s="190">
        <v>0</v>
      </c>
      <c r="S59" s="190">
        <v>0</v>
      </c>
      <c r="T59" s="190">
        <v>0</v>
      </c>
      <c r="U59" s="190">
        <v>0</v>
      </c>
      <c r="V59" s="190">
        <v>0</v>
      </c>
      <c r="W59" s="181"/>
      <c r="X59" s="190">
        <v>0</v>
      </c>
      <c r="Y59" s="190">
        <v>0</v>
      </c>
      <c r="Z59" s="181"/>
      <c r="AA59" s="190">
        <v>0</v>
      </c>
      <c r="AB59" s="183">
        <f t="shared" si="4"/>
        <v>111</v>
      </c>
      <c r="AC59" s="181"/>
      <c r="AD59" s="180"/>
      <c r="AE59" s="180"/>
      <c r="AF59" s="180"/>
      <c r="AG59" s="180"/>
      <c r="AH59" s="180"/>
      <c r="AI59" s="180"/>
      <c r="AJ59" s="180"/>
      <c r="AK59" s="180"/>
      <c r="AL59" s="180"/>
      <c r="AM59" s="181"/>
      <c r="AN59" s="180"/>
      <c r="AO59" s="180"/>
      <c r="AP59" s="181"/>
      <c r="AQ59" s="180"/>
      <c r="AR59" s="149">
        <f t="shared" si="0"/>
        <v>0</v>
      </c>
      <c r="AS59" s="150">
        <f t="shared" si="1"/>
        <v>0</v>
      </c>
      <c r="AT59" s="150">
        <f t="shared" si="6"/>
        <v>0</v>
      </c>
      <c r="AU59" s="183">
        <f t="shared" si="5"/>
        <v>111</v>
      </c>
      <c r="AV59" s="183">
        <v>10</v>
      </c>
      <c r="AW59" s="135">
        <f t="shared" si="9"/>
        <v>9.0090090090090086E-2</v>
      </c>
      <c r="AX59" s="184">
        <v>290</v>
      </c>
      <c r="AY59" s="136">
        <f t="shared" si="2"/>
        <v>3.3333333333333333E-2</v>
      </c>
      <c r="AZ59" s="185">
        <v>1</v>
      </c>
      <c r="BA59" s="185">
        <v>1</v>
      </c>
      <c r="BB59" s="137">
        <v>39000</v>
      </c>
      <c r="BC59" s="138">
        <v>15189767.107032599</v>
      </c>
    </row>
    <row r="60" spans="1:55" ht="21">
      <c r="A60">
        <v>3</v>
      </c>
      <c r="B60" s="121" t="s">
        <v>139</v>
      </c>
      <c r="C60" s="140" t="s">
        <v>57</v>
      </c>
      <c r="D60" s="181">
        <v>2</v>
      </c>
      <c r="E60" s="181">
        <v>1</v>
      </c>
      <c r="F60" s="181"/>
      <c r="G60" s="181"/>
      <c r="H60" s="181"/>
      <c r="I60" s="181"/>
      <c r="J60" s="181">
        <v>1</v>
      </c>
      <c r="K60" s="181">
        <v>1</v>
      </c>
      <c r="L60" s="180">
        <f t="shared" si="3"/>
        <v>5</v>
      </c>
      <c r="M60" s="181"/>
      <c r="N60" s="191">
        <v>0</v>
      </c>
      <c r="O60" s="191">
        <v>11</v>
      </c>
      <c r="P60" s="191">
        <v>43</v>
      </c>
      <c r="Q60" s="191">
        <v>34</v>
      </c>
      <c r="R60" s="191">
        <v>0</v>
      </c>
      <c r="S60" s="191">
        <v>0</v>
      </c>
      <c r="T60" s="191">
        <v>0</v>
      </c>
      <c r="U60" s="191">
        <v>0</v>
      </c>
      <c r="V60" s="191">
        <v>0</v>
      </c>
      <c r="W60" s="181"/>
      <c r="X60" s="191">
        <v>0</v>
      </c>
      <c r="Y60" s="191">
        <v>0</v>
      </c>
      <c r="Z60" s="181"/>
      <c r="AA60" s="191">
        <v>0</v>
      </c>
      <c r="AB60" s="183">
        <f t="shared" si="4"/>
        <v>88</v>
      </c>
      <c r="AC60" s="181"/>
      <c r="AD60" s="180">
        <v>130</v>
      </c>
      <c r="AE60" s="180">
        <v>10</v>
      </c>
      <c r="AF60" s="180">
        <v>50</v>
      </c>
      <c r="AG60" s="180">
        <v>70</v>
      </c>
      <c r="AH60" s="180"/>
      <c r="AI60" s="180"/>
      <c r="AJ60" s="180">
        <v>2</v>
      </c>
      <c r="AK60" s="180"/>
      <c r="AL60" s="180"/>
      <c r="AM60" s="181"/>
      <c r="AN60" s="180">
        <v>15</v>
      </c>
      <c r="AO60" s="180"/>
      <c r="AP60" s="181"/>
      <c r="AQ60" s="180"/>
      <c r="AR60" s="149">
        <f t="shared" si="0"/>
        <v>260000</v>
      </c>
      <c r="AS60" s="150">
        <f t="shared" si="1"/>
        <v>6</v>
      </c>
      <c r="AT60" s="150">
        <f t="shared" si="6"/>
        <v>26000</v>
      </c>
      <c r="AU60" s="183">
        <f t="shared" si="5"/>
        <v>88</v>
      </c>
      <c r="AV60" s="183">
        <v>10</v>
      </c>
      <c r="AW60" s="135">
        <f t="shared" si="9"/>
        <v>0.11363636363636363</v>
      </c>
      <c r="AX60" s="184">
        <v>127</v>
      </c>
      <c r="AY60" s="136">
        <f t="shared" si="2"/>
        <v>7.2992700729927001E-2</v>
      </c>
      <c r="AZ60" s="185">
        <v>1.1299999999999999</v>
      </c>
      <c r="BA60" s="185">
        <v>1</v>
      </c>
      <c r="BB60" s="137">
        <v>41200</v>
      </c>
      <c r="BC60" s="138">
        <v>14795061.285383999</v>
      </c>
    </row>
    <row r="61" spans="1:55" ht="21">
      <c r="A61">
        <v>3</v>
      </c>
      <c r="B61" s="121" t="s">
        <v>139</v>
      </c>
      <c r="C61" s="140" t="s">
        <v>66</v>
      </c>
      <c r="D61" s="181">
        <v>1</v>
      </c>
      <c r="E61" s="181"/>
      <c r="F61" s="181"/>
      <c r="G61" s="181">
        <v>2</v>
      </c>
      <c r="H61" s="181"/>
      <c r="I61" s="181"/>
      <c r="J61" s="181">
        <v>1</v>
      </c>
      <c r="K61" s="181">
        <v>1</v>
      </c>
      <c r="L61" s="180">
        <f t="shared" si="3"/>
        <v>5</v>
      </c>
      <c r="M61" s="181"/>
      <c r="N61" s="189">
        <v>0</v>
      </c>
      <c r="O61" s="189">
        <v>0</v>
      </c>
      <c r="P61" s="189">
        <v>143</v>
      </c>
      <c r="Q61" s="189">
        <v>72</v>
      </c>
      <c r="R61" s="189">
        <v>0</v>
      </c>
      <c r="S61" s="189">
        <v>3</v>
      </c>
      <c r="T61" s="189">
        <v>0</v>
      </c>
      <c r="U61" s="189">
        <v>0</v>
      </c>
      <c r="V61" s="189">
        <v>0</v>
      </c>
      <c r="W61" s="181"/>
      <c r="X61" s="189">
        <v>0</v>
      </c>
      <c r="Y61" s="189">
        <v>0</v>
      </c>
      <c r="Z61" s="181"/>
      <c r="AA61" s="189">
        <v>0</v>
      </c>
      <c r="AB61" s="183">
        <f t="shared" si="4"/>
        <v>218</v>
      </c>
      <c r="AC61" s="181"/>
      <c r="AD61" s="180"/>
      <c r="AE61" s="180">
        <v>5</v>
      </c>
      <c r="AF61" s="180">
        <v>15</v>
      </c>
      <c r="AG61" s="180">
        <v>27</v>
      </c>
      <c r="AH61" s="180"/>
      <c r="AI61" s="180"/>
      <c r="AJ61" s="180">
        <v>1</v>
      </c>
      <c r="AK61" s="180"/>
      <c r="AL61" s="180"/>
      <c r="AM61" s="181"/>
      <c r="AN61" s="180"/>
      <c r="AO61" s="180"/>
      <c r="AP61" s="181"/>
      <c r="AQ61" s="180"/>
      <c r="AR61" s="149">
        <f t="shared" si="0"/>
        <v>47000</v>
      </c>
      <c r="AS61" s="150">
        <f t="shared" si="1"/>
        <v>4</v>
      </c>
      <c r="AT61" s="150">
        <f t="shared" si="6"/>
        <v>1958.3333333333333</v>
      </c>
      <c r="AU61" s="183">
        <f t="shared" si="5"/>
        <v>218</v>
      </c>
      <c r="AV61" s="183">
        <v>24</v>
      </c>
      <c r="AW61" s="135">
        <f t="shared" si="9"/>
        <v>0.11009174311926606</v>
      </c>
      <c r="AX61" s="184">
        <v>30</v>
      </c>
      <c r="AY61" s="136">
        <f t="shared" si="2"/>
        <v>0.44444444444444442</v>
      </c>
      <c r="AZ61" s="185">
        <v>1.21</v>
      </c>
      <c r="BA61" s="185">
        <v>1</v>
      </c>
      <c r="BB61" s="137">
        <v>104750</v>
      </c>
      <c r="BC61" s="138">
        <v>13083407.871650998</v>
      </c>
    </row>
    <row r="62" spans="1:55" ht="21">
      <c r="A62">
        <v>3</v>
      </c>
      <c r="B62" s="121" t="s">
        <v>70</v>
      </c>
      <c r="C62" s="140" t="s">
        <v>82</v>
      </c>
      <c r="D62" s="181"/>
      <c r="E62" s="181"/>
      <c r="F62" s="181">
        <v>1</v>
      </c>
      <c r="G62" s="181">
        <v>1</v>
      </c>
      <c r="H62" s="181"/>
      <c r="I62" s="181">
        <v>1</v>
      </c>
      <c r="J62" s="181"/>
      <c r="K62" s="181">
        <v>1</v>
      </c>
      <c r="L62" s="180">
        <f t="shared" si="3"/>
        <v>4</v>
      </c>
      <c r="M62" s="181"/>
      <c r="N62" s="182">
        <v>50</v>
      </c>
      <c r="O62" s="182">
        <v>2</v>
      </c>
      <c r="P62" s="182">
        <v>36</v>
      </c>
      <c r="Q62" s="182">
        <v>28</v>
      </c>
      <c r="R62" s="182">
        <v>8</v>
      </c>
      <c r="S62" s="182">
        <v>4</v>
      </c>
      <c r="T62" s="182">
        <v>12</v>
      </c>
      <c r="U62" s="182">
        <v>0</v>
      </c>
      <c r="V62" s="182">
        <v>10</v>
      </c>
      <c r="W62" s="181"/>
      <c r="X62" s="182">
        <v>0</v>
      </c>
      <c r="Y62" s="182">
        <v>0</v>
      </c>
      <c r="Z62" s="181"/>
      <c r="AA62" s="182">
        <v>12</v>
      </c>
      <c r="AB62" s="183">
        <f t="shared" si="4"/>
        <v>162</v>
      </c>
      <c r="AC62" s="181"/>
      <c r="AD62" s="180">
        <v>20</v>
      </c>
      <c r="AE62" s="180"/>
      <c r="AF62" s="180">
        <v>9</v>
      </c>
      <c r="AG62" s="180">
        <v>12</v>
      </c>
      <c r="AH62" s="180"/>
      <c r="AI62" s="180">
        <v>9</v>
      </c>
      <c r="AJ62" s="180">
        <v>2.2000000000000002</v>
      </c>
      <c r="AK62" s="180"/>
      <c r="AL62" s="180">
        <v>5</v>
      </c>
      <c r="AM62" s="181"/>
      <c r="AN62" s="180"/>
      <c r="AO62" s="180"/>
      <c r="AP62" s="181"/>
      <c r="AQ62" s="180"/>
      <c r="AR62" s="149">
        <f t="shared" si="0"/>
        <v>50000</v>
      </c>
      <c r="AS62" s="150">
        <f t="shared" si="1"/>
        <v>6</v>
      </c>
      <c r="AT62" s="150">
        <f t="shared" si="6"/>
        <v>2173.913043478261</v>
      </c>
      <c r="AU62" s="183">
        <f t="shared" si="5"/>
        <v>162</v>
      </c>
      <c r="AV62" s="183">
        <v>23</v>
      </c>
      <c r="AW62" s="135">
        <f t="shared" si="9"/>
        <v>0.1419753086419753</v>
      </c>
      <c r="AX62" s="184">
        <v>10</v>
      </c>
      <c r="AY62" s="136">
        <f t="shared" si="2"/>
        <v>0.69696969696969702</v>
      </c>
      <c r="AZ62" s="185">
        <v>1.05</v>
      </c>
      <c r="BA62" s="185">
        <v>1</v>
      </c>
      <c r="BB62" s="137">
        <v>109000</v>
      </c>
      <c r="BC62" s="138">
        <v>5482782.3761369996</v>
      </c>
    </row>
    <row r="63" spans="1:55" ht="21">
      <c r="A63">
        <v>3</v>
      </c>
      <c r="B63" s="121" t="s">
        <v>21</v>
      </c>
      <c r="C63" s="140" t="s">
        <v>48</v>
      </c>
      <c r="D63" s="181">
        <v>2</v>
      </c>
      <c r="E63" s="181">
        <v>1</v>
      </c>
      <c r="F63" s="181"/>
      <c r="G63" s="181">
        <v>1</v>
      </c>
      <c r="H63" s="181"/>
      <c r="I63" s="181"/>
      <c r="J63" s="181"/>
      <c r="K63" s="181">
        <v>1</v>
      </c>
      <c r="L63" s="180">
        <f t="shared" si="3"/>
        <v>5</v>
      </c>
      <c r="M63" s="181"/>
      <c r="N63" s="182">
        <v>0</v>
      </c>
      <c r="O63" s="182">
        <v>14</v>
      </c>
      <c r="P63" s="182">
        <v>78</v>
      </c>
      <c r="Q63" s="182">
        <v>147</v>
      </c>
      <c r="R63" s="182">
        <v>0</v>
      </c>
      <c r="S63" s="182">
        <v>0</v>
      </c>
      <c r="T63" s="182">
        <v>0</v>
      </c>
      <c r="U63" s="182">
        <v>0</v>
      </c>
      <c r="V63" s="182">
        <v>0</v>
      </c>
      <c r="W63" s="181"/>
      <c r="X63" s="182">
        <v>0</v>
      </c>
      <c r="Y63" s="182">
        <v>0</v>
      </c>
      <c r="Z63" s="181"/>
      <c r="AA63" s="182">
        <v>0</v>
      </c>
      <c r="AB63" s="183">
        <f t="shared" si="4"/>
        <v>239</v>
      </c>
      <c r="AC63" s="181"/>
      <c r="AD63" s="180">
        <v>23</v>
      </c>
      <c r="AE63" s="180">
        <v>16</v>
      </c>
      <c r="AF63" s="180"/>
      <c r="AG63" s="180">
        <v>24</v>
      </c>
      <c r="AH63" s="180"/>
      <c r="AI63" s="180">
        <v>6</v>
      </c>
      <c r="AJ63" s="180">
        <v>3</v>
      </c>
      <c r="AK63" s="180"/>
      <c r="AL63" s="180">
        <v>3</v>
      </c>
      <c r="AM63" s="181"/>
      <c r="AN63" s="180"/>
      <c r="AO63" s="180"/>
      <c r="AP63" s="181"/>
      <c r="AQ63" s="180"/>
      <c r="AR63" s="149">
        <f t="shared" si="0"/>
        <v>69000</v>
      </c>
      <c r="AS63" s="150">
        <f t="shared" si="1"/>
        <v>6</v>
      </c>
      <c r="AT63" s="150">
        <f t="shared" si="6"/>
        <v>3285.7142857142858</v>
      </c>
      <c r="AU63" s="183">
        <f t="shared" si="5"/>
        <v>239</v>
      </c>
      <c r="AV63" s="183">
        <v>21</v>
      </c>
      <c r="AW63" s="135">
        <f t="shared" si="9"/>
        <v>8.7866108786610872E-2</v>
      </c>
      <c r="AX63" s="184">
        <v>99</v>
      </c>
      <c r="AY63" s="136">
        <f t="shared" si="2"/>
        <v>0.17499999999999999</v>
      </c>
      <c r="AZ63" s="185">
        <v>1</v>
      </c>
      <c r="BA63" s="185">
        <v>1</v>
      </c>
      <c r="BB63" s="137">
        <v>48000</v>
      </c>
      <c r="BC63" s="138">
        <v>6566777.4324773997</v>
      </c>
    </row>
    <row r="64" spans="1:55" ht="21">
      <c r="A64">
        <v>3</v>
      </c>
      <c r="B64" s="121" t="s">
        <v>70</v>
      </c>
      <c r="C64" s="140" t="s">
        <v>76</v>
      </c>
      <c r="D64" s="181">
        <v>1</v>
      </c>
      <c r="E64" s="181"/>
      <c r="F64" s="181"/>
      <c r="G64" s="181">
        <v>1</v>
      </c>
      <c r="H64" s="181"/>
      <c r="I64" s="181"/>
      <c r="J64" s="181"/>
      <c r="K64" s="181">
        <v>1</v>
      </c>
      <c r="L64" s="180">
        <f t="shared" si="3"/>
        <v>3</v>
      </c>
      <c r="M64" s="181"/>
      <c r="N64" s="182">
        <v>36</v>
      </c>
      <c r="O64" s="182">
        <v>0</v>
      </c>
      <c r="P64" s="182">
        <v>19</v>
      </c>
      <c r="Q64" s="182">
        <v>65</v>
      </c>
      <c r="R64" s="182">
        <v>0</v>
      </c>
      <c r="S64" s="182">
        <v>0</v>
      </c>
      <c r="T64" s="182">
        <v>0</v>
      </c>
      <c r="U64" s="182">
        <v>0</v>
      </c>
      <c r="V64" s="182">
        <v>0</v>
      </c>
      <c r="W64" s="181"/>
      <c r="X64" s="182">
        <v>0</v>
      </c>
      <c r="Y64" s="182">
        <v>0</v>
      </c>
      <c r="Z64" s="181"/>
      <c r="AA64" s="182">
        <v>0</v>
      </c>
      <c r="AB64" s="183">
        <f t="shared" si="4"/>
        <v>120</v>
      </c>
      <c r="AC64" s="181"/>
      <c r="AD64" s="180"/>
      <c r="AE64" s="180">
        <v>7</v>
      </c>
      <c r="AF64" s="180">
        <v>20</v>
      </c>
      <c r="AG64" s="180">
        <v>14</v>
      </c>
      <c r="AH64" s="180"/>
      <c r="AI64" s="180"/>
      <c r="AJ64" s="180">
        <v>0.2</v>
      </c>
      <c r="AK64" s="180"/>
      <c r="AL64" s="180"/>
      <c r="AM64" s="181"/>
      <c r="AN64" s="180"/>
      <c r="AO64" s="180"/>
      <c r="AP64" s="181"/>
      <c r="AQ64" s="180"/>
      <c r="AR64" s="149">
        <f t="shared" si="0"/>
        <v>41000</v>
      </c>
      <c r="AS64" s="150">
        <f t="shared" si="1"/>
        <v>4</v>
      </c>
      <c r="AT64" s="150">
        <f t="shared" si="6"/>
        <v>4100</v>
      </c>
      <c r="AU64" s="183">
        <f t="shared" si="5"/>
        <v>120</v>
      </c>
      <c r="AV64" s="183">
        <v>10</v>
      </c>
      <c r="AW64" s="135">
        <f t="shared" si="9"/>
        <v>8.3333333333333329E-2</v>
      </c>
      <c r="AX64" s="184">
        <v>28</v>
      </c>
      <c r="AY64" s="136">
        <f t="shared" si="2"/>
        <v>0.26315789473684209</v>
      </c>
      <c r="AZ64" s="185">
        <v>1.1599999999999999</v>
      </c>
      <c r="BA64" s="185">
        <v>1</v>
      </c>
      <c r="BB64" s="137">
        <v>52000</v>
      </c>
      <c r="BC64" s="138">
        <v>9618969.0255119987</v>
      </c>
    </row>
    <row r="65" spans="1:55" ht="21">
      <c r="A65">
        <v>3</v>
      </c>
      <c r="B65" s="121" t="s">
        <v>21</v>
      </c>
      <c r="C65" s="140" t="s">
        <v>27</v>
      </c>
      <c r="D65" s="181">
        <v>3</v>
      </c>
      <c r="E65" s="181">
        <v>1</v>
      </c>
      <c r="F65" s="181">
        <v>1</v>
      </c>
      <c r="G65" s="181"/>
      <c r="H65" s="181"/>
      <c r="I65" s="181"/>
      <c r="J65" s="181"/>
      <c r="K65" s="181"/>
      <c r="L65" s="180">
        <f t="shared" si="3"/>
        <v>5</v>
      </c>
      <c r="M65" s="181"/>
      <c r="N65" s="182">
        <v>0</v>
      </c>
      <c r="O65" s="182">
        <v>0</v>
      </c>
      <c r="P65" s="182">
        <v>73</v>
      </c>
      <c r="Q65" s="182">
        <v>99</v>
      </c>
      <c r="R65" s="182">
        <v>0</v>
      </c>
      <c r="S65" s="182">
        <v>0</v>
      </c>
      <c r="T65" s="182">
        <v>0</v>
      </c>
      <c r="U65" s="182">
        <v>0</v>
      </c>
      <c r="V65" s="182">
        <v>0</v>
      </c>
      <c r="W65" s="181"/>
      <c r="X65" s="182">
        <v>0</v>
      </c>
      <c r="Y65" s="182">
        <v>0</v>
      </c>
      <c r="Z65" s="181"/>
      <c r="AA65" s="182">
        <v>0</v>
      </c>
      <c r="AB65" s="183">
        <f t="shared" si="4"/>
        <v>172</v>
      </c>
      <c r="AC65" s="181"/>
      <c r="AD65" s="180"/>
      <c r="AE65" s="180">
        <v>12</v>
      </c>
      <c r="AF65" s="180">
        <v>10</v>
      </c>
      <c r="AG65" s="180">
        <v>9</v>
      </c>
      <c r="AH65" s="180"/>
      <c r="AI65" s="180"/>
      <c r="AJ65" s="180">
        <v>1</v>
      </c>
      <c r="AK65" s="180"/>
      <c r="AL65" s="180">
        <v>3</v>
      </c>
      <c r="AM65" s="181"/>
      <c r="AN65" s="180">
        <v>4</v>
      </c>
      <c r="AO65" s="180"/>
      <c r="AP65" s="181"/>
      <c r="AQ65" s="180"/>
      <c r="AR65" s="149">
        <f t="shared" si="0"/>
        <v>31000</v>
      </c>
      <c r="AS65" s="150">
        <f t="shared" si="1"/>
        <v>6</v>
      </c>
      <c r="AT65" s="150">
        <v>0</v>
      </c>
      <c r="AU65" s="183">
        <f t="shared" si="5"/>
        <v>172</v>
      </c>
      <c r="AV65" s="183">
        <v>3</v>
      </c>
      <c r="AW65" s="135">
        <f>AV65/AU65</f>
        <v>1.7441860465116279E-2</v>
      </c>
      <c r="AX65" s="184">
        <v>0</v>
      </c>
      <c r="AY65" s="136">
        <v>0</v>
      </c>
      <c r="AZ65" s="185">
        <v>1.07</v>
      </c>
      <c r="BA65" s="185">
        <v>1</v>
      </c>
      <c r="BB65" s="137">
        <v>45000</v>
      </c>
      <c r="BC65" s="138">
        <v>4864023.4413281986</v>
      </c>
    </row>
    <row r="66" spans="1:55" ht="21">
      <c r="A66">
        <v>3</v>
      </c>
      <c r="B66" s="121" t="s">
        <v>70</v>
      </c>
      <c r="C66" s="140" t="s">
        <v>73</v>
      </c>
      <c r="D66" s="181">
        <v>1</v>
      </c>
      <c r="E66" s="181">
        <v>1</v>
      </c>
      <c r="F66" s="181"/>
      <c r="G66" s="181">
        <v>2</v>
      </c>
      <c r="H66" s="181"/>
      <c r="I66" s="181"/>
      <c r="J66" s="181"/>
      <c r="K66" s="181">
        <v>1</v>
      </c>
      <c r="L66" s="180">
        <f t="shared" si="3"/>
        <v>5</v>
      </c>
      <c r="M66" s="181"/>
      <c r="N66" s="182">
        <v>3</v>
      </c>
      <c r="O66" s="182">
        <v>0</v>
      </c>
      <c r="P66" s="182">
        <v>4</v>
      </c>
      <c r="Q66" s="182">
        <v>38</v>
      </c>
      <c r="R66" s="182">
        <v>0</v>
      </c>
      <c r="S66" s="182">
        <v>0</v>
      </c>
      <c r="T66" s="182">
        <v>0</v>
      </c>
      <c r="U66" s="182">
        <v>0</v>
      </c>
      <c r="V66" s="182">
        <v>0</v>
      </c>
      <c r="W66" s="181"/>
      <c r="X66" s="182">
        <v>0</v>
      </c>
      <c r="Y66" s="182">
        <v>0</v>
      </c>
      <c r="Z66" s="181"/>
      <c r="AA66" s="182">
        <v>0</v>
      </c>
      <c r="AB66" s="183">
        <f t="shared" si="4"/>
        <v>45</v>
      </c>
      <c r="AC66" s="181"/>
      <c r="AD66" s="180">
        <v>10</v>
      </c>
      <c r="AE66" s="180">
        <v>8</v>
      </c>
      <c r="AF66" s="180">
        <v>30</v>
      </c>
      <c r="AG66" s="180">
        <v>15</v>
      </c>
      <c r="AH66" s="180">
        <v>5</v>
      </c>
      <c r="AI66" s="180"/>
      <c r="AJ66" s="180"/>
      <c r="AK66" s="180"/>
      <c r="AL66" s="180">
        <v>10</v>
      </c>
      <c r="AM66" s="181"/>
      <c r="AN66" s="180"/>
      <c r="AO66" s="180"/>
      <c r="AP66" s="181"/>
      <c r="AQ66" s="180"/>
      <c r="AR66" s="149">
        <f t="shared" ref="AR66:AR129" si="10">(SUM(AD66:AI66)+AQ66)*1000</f>
        <v>68000</v>
      </c>
      <c r="AS66" s="150">
        <f t="shared" ref="AS66:AS129" si="11">COUNTIF(AD66:AQ66,"&gt;0")</f>
        <v>6</v>
      </c>
      <c r="AT66" s="150">
        <f t="shared" si="6"/>
        <v>4533.333333333333</v>
      </c>
      <c r="AU66" s="183">
        <f t="shared" si="5"/>
        <v>45</v>
      </c>
      <c r="AV66" s="183">
        <v>15</v>
      </c>
      <c r="AW66" s="135">
        <f t="shared" si="9"/>
        <v>0.33333333333333331</v>
      </c>
      <c r="AX66" s="184">
        <v>27</v>
      </c>
      <c r="AY66" s="136">
        <f t="shared" ref="AY66:AY126" si="12">AV66/SUM(AV66+AX66)</f>
        <v>0.35714285714285715</v>
      </c>
      <c r="AZ66" s="185">
        <v>1.36</v>
      </c>
      <c r="BA66" s="185">
        <v>1</v>
      </c>
      <c r="BB66" s="137">
        <v>46800.000000000007</v>
      </c>
      <c r="BC66" s="138">
        <v>8847334.7125751991</v>
      </c>
    </row>
    <row r="67" spans="1:55" ht="21">
      <c r="A67">
        <v>3</v>
      </c>
      <c r="B67" s="121" t="s">
        <v>21</v>
      </c>
      <c r="C67" s="140" t="s">
        <v>30</v>
      </c>
      <c r="D67" s="181">
        <v>2</v>
      </c>
      <c r="E67" s="181"/>
      <c r="F67" s="181"/>
      <c r="G67" s="181"/>
      <c r="H67" s="181"/>
      <c r="I67" s="181"/>
      <c r="J67" s="181"/>
      <c r="K67" s="181"/>
      <c r="L67" s="180">
        <f t="shared" ref="L67:L71" si="13">SUM(D67:K67)</f>
        <v>2</v>
      </c>
      <c r="M67" s="181"/>
      <c r="N67" s="182">
        <v>0</v>
      </c>
      <c r="O67" s="182">
        <v>0</v>
      </c>
      <c r="P67" s="182">
        <v>0</v>
      </c>
      <c r="Q67" s="182">
        <v>48</v>
      </c>
      <c r="R67" s="182">
        <v>0</v>
      </c>
      <c r="S67" s="182">
        <v>50</v>
      </c>
      <c r="T67" s="182">
        <v>0</v>
      </c>
      <c r="U67" s="182">
        <v>0</v>
      </c>
      <c r="V67" s="182">
        <v>0</v>
      </c>
      <c r="W67" s="181"/>
      <c r="X67" s="182">
        <v>0</v>
      </c>
      <c r="Y67" s="182">
        <v>0</v>
      </c>
      <c r="Z67" s="181"/>
      <c r="AA67" s="182">
        <v>29</v>
      </c>
      <c r="AB67" s="183">
        <f t="shared" ref="AB67:AB130" si="14">SUM(N67:AA67)</f>
        <v>127</v>
      </c>
      <c r="AC67" s="181"/>
      <c r="AD67" s="180"/>
      <c r="AE67" s="180">
        <v>20</v>
      </c>
      <c r="AF67" s="180">
        <v>30</v>
      </c>
      <c r="AG67" s="180">
        <v>46</v>
      </c>
      <c r="AH67" s="180">
        <v>5</v>
      </c>
      <c r="AI67" s="180"/>
      <c r="AJ67" s="180"/>
      <c r="AK67" s="180"/>
      <c r="AL67" s="180">
        <v>3.75</v>
      </c>
      <c r="AM67" s="181"/>
      <c r="AN67" s="180"/>
      <c r="AO67" s="180"/>
      <c r="AP67" s="181"/>
      <c r="AQ67" s="180"/>
      <c r="AR67" s="149">
        <f t="shared" si="10"/>
        <v>101000</v>
      </c>
      <c r="AS67" s="150">
        <f t="shared" si="11"/>
        <v>5</v>
      </c>
      <c r="AT67" s="150">
        <f t="shared" ref="AT67:AT130" si="15">AR67/AV67</f>
        <v>50500</v>
      </c>
      <c r="AU67" s="183">
        <f t="shared" ref="AU67:AU130" si="16">AB67</f>
        <v>127</v>
      </c>
      <c r="AV67" s="183">
        <v>2</v>
      </c>
      <c r="AW67" s="135">
        <f t="shared" ref="AW67:AW130" si="17">AV67/AU67</f>
        <v>1.5748031496062992E-2</v>
      </c>
      <c r="AX67" s="184">
        <v>125</v>
      </c>
      <c r="AY67" s="136">
        <f t="shared" si="12"/>
        <v>1.5748031496062992E-2</v>
      </c>
      <c r="AZ67" s="185">
        <v>0</v>
      </c>
      <c r="BA67" s="185">
        <v>0</v>
      </c>
      <c r="BB67" s="137">
        <v>61000</v>
      </c>
      <c r="BC67" s="138">
        <v>0</v>
      </c>
    </row>
    <row r="68" spans="1:55" ht="21">
      <c r="A68">
        <v>3</v>
      </c>
      <c r="B68" s="121" t="s">
        <v>70</v>
      </c>
      <c r="C68" s="140" t="s">
        <v>85</v>
      </c>
      <c r="D68" s="181">
        <v>1</v>
      </c>
      <c r="E68" s="181"/>
      <c r="F68" s="181">
        <v>1</v>
      </c>
      <c r="G68" s="181">
        <v>1</v>
      </c>
      <c r="H68" s="181"/>
      <c r="I68" s="181"/>
      <c r="J68" s="181">
        <v>2</v>
      </c>
      <c r="K68" s="181">
        <v>1</v>
      </c>
      <c r="L68" s="180">
        <f t="shared" si="13"/>
        <v>6</v>
      </c>
      <c r="M68" s="181"/>
      <c r="N68" s="182">
        <v>5</v>
      </c>
      <c r="O68" s="182">
        <v>6</v>
      </c>
      <c r="P68" s="182">
        <v>6</v>
      </c>
      <c r="Q68" s="182">
        <v>34</v>
      </c>
      <c r="R68" s="182">
        <v>0</v>
      </c>
      <c r="S68" s="182">
        <v>0</v>
      </c>
      <c r="T68" s="182">
        <v>2</v>
      </c>
      <c r="U68" s="182">
        <v>0</v>
      </c>
      <c r="V68" s="182">
        <v>0</v>
      </c>
      <c r="W68" s="181"/>
      <c r="X68" s="182">
        <v>0</v>
      </c>
      <c r="Y68" s="182">
        <v>0</v>
      </c>
      <c r="Z68" s="181"/>
      <c r="AA68" s="182">
        <v>6</v>
      </c>
      <c r="AB68" s="183">
        <f t="shared" si="14"/>
        <v>59</v>
      </c>
      <c r="AC68" s="181"/>
      <c r="AD68" s="180"/>
      <c r="AE68" s="180"/>
      <c r="AF68" s="180">
        <v>6</v>
      </c>
      <c r="AG68" s="180">
        <v>7</v>
      </c>
      <c r="AH68" s="180"/>
      <c r="AI68" s="180"/>
      <c r="AJ68" s="180"/>
      <c r="AK68" s="180"/>
      <c r="AL68" s="180"/>
      <c r="AM68" s="181"/>
      <c r="AN68" s="180"/>
      <c r="AO68" s="180"/>
      <c r="AP68" s="181"/>
      <c r="AQ68" s="180">
        <v>2</v>
      </c>
      <c r="AR68" s="149">
        <f t="shared" si="10"/>
        <v>15000</v>
      </c>
      <c r="AS68" s="150">
        <f t="shared" si="11"/>
        <v>3</v>
      </c>
      <c r="AT68" s="150">
        <f t="shared" si="15"/>
        <v>1875</v>
      </c>
      <c r="AU68" s="183">
        <f t="shared" si="16"/>
        <v>59</v>
      </c>
      <c r="AV68" s="183">
        <v>8</v>
      </c>
      <c r="AW68" s="135">
        <f t="shared" si="17"/>
        <v>0.13559322033898305</v>
      </c>
      <c r="AX68" s="184">
        <v>53</v>
      </c>
      <c r="AY68" s="136">
        <f t="shared" si="12"/>
        <v>0.13114754098360656</v>
      </c>
      <c r="AZ68" s="185">
        <v>1.1599999999999999</v>
      </c>
      <c r="BA68" s="185">
        <v>1</v>
      </c>
      <c r="BB68" s="137">
        <v>13209.999999999998</v>
      </c>
      <c r="BC68" s="138">
        <v>8866287.8160960004</v>
      </c>
    </row>
    <row r="69" spans="1:55" ht="21">
      <c r="A69">
        <v>3</v>
      </c>
      <c r="B69" s="121" t="s">
        <v>21</v>
      </c>
      <c r="C69" s="140" t="s">
        <v>45</v>
      </c>
      <c r="D69" s="181">
        <v>3</v>
      </c>
      <c r="E69" s="181"/>
      <c r="F69" s="181">
        <v>1</v>
      </c>
      <c r="G69" s="181">
        <v>1</v>
      </c>
      <c r="H69" s="181"/>
      <c r="I69" s="181">
        <v>2</v>
      </c>
      <c r="J69" s="181"/>
      <c r="K69" s="181"/>
      <c r="L69" s="180">
        <f t="shared" si="13"/>
        <v>7</v>
      </c>
      <c r="M69" s="181"/>
      <c r="N69" s="182">
        <v>0</v>
      </c>
      <c r="O69" s="182">
        <v>0</v>
      </c>
      <c r="P69" s="182">
        <v>47</v>
      </c>
      <c r="Q69" s="182">
        <v>19</v>
      </c>
      <c r="R69" s="182">
        <v>0</v>
      </c>
      <c r="S69" s="182">
        <v>0</v>
      </c>
      <c r="T69" s="182">
        <v>0</v>
      </c>
      <c r="U69" s="182">
        <v>0</v>
      </c>
      <c r="V69" s="182">
        <v>0</v>
      </c>
      <c r="W69" s="181"/>
      <c r="X69" s="182">
        <v>0</v>
      </c>
      <c r="Y69" s="182">
        <v>0</v>
      </c>
      <c r="Z69" s="181"/>
      <c r="AA69" s="182">
        <v>0</v>
      </c>
      <c r="AB69" s="183">
        <f t="shared" si="14"/>
        <v>66</v>
      </c>
      <c r="AC69" s="181"/>
      <c r="AD69" s="180">
        <v>20</v>
      </c>
      <c r="AE69" s="180">
        <v>0.7</v>
      </c>
      <c r="AF69" s="180">
        <v>3.6</v>
      </c>
      <c r="AG69" s="180">
        <v>12.8</v>
      </c>
      <c r="AH69" s="180">
        <v>6.7</v>
      </c>
      <c r="AI69" s="180">
        <v>3</v>
      </c>
      <c r="AJ69" s="180"/>
      <c r="AK69" s="180"/>
      <c r="AL69" s="180"/>
      <c r="AM69" s="181"/>
      <c r="AN69" s="180"/>
      <c r="AO69" s="180"/>
      <c r="AP69" s="181"/>
      <c r="AQ69" s="180"/>
      <c r="AR69" s="149">
        <f t="shared" si="10"/>
        <v>46800.000000000007</v>
      </c>
      <c r="AS69" s="150">
        <f t="shared" si="11"/>
        <v>6</v>
      </c>
      <c r="AT69" s="150">
        <v>0</v>
      </c>
      <c r="AU69" s="183">
        <f t="shared" si="16"/>
        <v>66</v>
      </c>
      <c r="AV69" s="183">
        <v>3</v>
      </c>
      <c r="AW69" s="135"/>
      <c r="AX69" s="184">
        <v>180</v>
      </c>
      <c r="AY69" s="136">
        <f t="shared" si="12"/>
        <v>1.6393442622950821E-2</v>
      </c>
      <c r="AZ69" s="185">
        <v>1.27</v>
      </c>
      <c r="BA69" s="185">
        <v>1</v>
      </c>
      <c r="BB69" s="137">
        <v>277000</v>
      </c>
      <c r="BC69" s="138">
        <v>20758855.6938546</v>
      </c>
    </row>
    <row r="70" spans="1:55" ht="21">
      <c r="A70">
        <v>3</v>
      </c>
      <c r="B70" s="121" t="s">
        <v>21</v>
      </c>
      <c r="C70" s="140" t="s">
        <v>20</v>
      </c>
      <c r="D70" s="181">
        <v>1</v>
      </c>
      <c r="E70" s="181"/>
      <c r="F70" s="181">
        <v>1</v>
      </c>
      <c r="G70" s="181">
        <v>1</v>
      </c>
      <c r="H70" s="181"/>
      <c r="I70" s="181">
        <v>1</v>
      </c>
      <c r="J70" s="181"/>
      <c r="K70" s="181">
        <v>1</v>
      </c>
      <c r="L70" s="180">
        <f t="shared" si="13"/>
        <v>5</v>
      </c>
      <c r="M70" s="181"/>
      <c r="N70" s="182">
        <v>21</v>
      </c>
      <c r="O70" s="182">
        <v>0</v>
      </c>
      <c r="P70" s="182">
        <v>118</v>
      </c>
      <c r="Q70" s="182">
        <v>29</v>
      </c>
      <c r="R70" s="182">
        <v>0</v>
      </c>
      <c r="S70" s="182">
        <v>7</v>
      </c>
      <c r="T70" s="182">
        <v>0</v>
      </c>
      <c r="U70" s="182">
        <v>0</v>
      </c>
      <c r="V70" s="182">
        <v>0</v>
      </c>
      <c r="W70" s="181"/>
      <c r="X70" s="182">
        <v>0</v>
      </c>
      <c r="Y70" s="182">
        <v>0</v>
      </c>
      <c r="Z70" s="181"/>
      <c r="AA70" s="182"/>
      <c r="AB70" s="183">
        <f t="shared" si="14"/>
        <v>175</v>
      </c>
      <c r="AC70" s="181"/>
      <c r="AD70" s="180">
        <v>32</v>
      </c>
      <c r="AE70" s="180"/>
      <c r="AF70" s="180">
        <v>5</v>
      </c>
      <c r="AG70" s="180">
        <v>15</v>
      </c>
      <c r="AH70" s="180"/>
      <c r="AI70" s="180"/>
      <c r="AJ70" s="180"/>
      <c r="AK70" s="180"/>
      <c r="AL70" s="180"/>
      <c r="AM70" s="181"/>
      <c r="AN70" s="180"/>
      <c r="AO70" s="180"/>
      <c r="AP70" s="181"/>
      <c r="AQ70" s="180"/>
      <c r="AR70" s="149">
        <f t="shared" si="10"/>
        <v>52000</v>
      </c>
      <c r="AS70" s="150">
        <f t="shared" si="11"/>
        <v>3</v>
      </c>
      <c r="AT70" s="150">
        <f t="shared" si="15"/>
        <v>6500</v>
      </c>
      <c r="AU70" s="183">
        <f t="shared" si="16"/>
        <v>175</v>
      </c>
      <c r="AV70" s="183">
        <v>8</v>
      </c>
      <c r="AW70" s="135">
        <f t="shared" si="17"/>
        <v>4.5714285714285714E-2</v>
      </c>
      <c r="AX70" s="184">
        <v>306</v>
      </c>
      <c r="AY70" s="136">
        <f t="shared" si="12"/>
        <v>2.5477707006369428E-2</v>
      </c>
      <c r="AZ70" s="185">
        <v>1.1299999999999999</v>
      </c>
      <c r="BA70" s="185">
        <v>1</v>
      </c>
      <c r="BB70" s="137">
        <v>397000</v>
      </c>
      <c r="BC70" s="138">
        <v>16128012.828563998</v>
      </c>
    </row>
    <row r="71" spans="1:55" ht="21">
      <c r="A71">
        <v>3</v>
      </c>
      <c r="B71" s="121" t="s">
        <v>139</v>
      </c>
      <c r="C71" s="140" t="s">
        <v>54</v>
      </c>
      <c r="D71" s="181">
        <v>2</v>
      </c>
      <c r="E71" s="181">
        <v>1</v>
      </c>
      <c r="F71" s="181">
        <v>1</v>
      </c>
      <c r="G71" s="181"/>
      <c r="H71" s="181"/>
      <c r="I71" s="181">
        <v>1</v>
      </c>
      <c r="J71" s="181"/>
      <c r="K71" s="181">
        <v>1</v>
      </c>
      <c r="L71" s="180">
        <f t="shared" si="13"/>
        <v>6</v>
      </c>
      <c r="M71" s="181"/>
      <c r="N71" s="192">
        <v>103</v>
      </c>
      <c r="O71" s="192">
        <v>24</v>
      </c>
      <c r="P71" s="192">
        <v>0</v>
      </c>
      <c r="Q71" s="192">
        <v>89</v>
      </c>
      <c r="R71" s="192">
        <v>0</v>
      </c>
      <c r="S71" s="192">
        <v>9</v>
      </c>
      <c r="T71" s="192">
        <v>0</v>
      </c>
      <c r="U71" s="192">
        <v>0</v>
      </c>
      <c r="V71" s="192">
        <v>0</v>
      </c>
      <c r="W71" s="181"/>
      <c r="X71" s="192">
        <v>0</v>
      </c>
      <c r="Y71" s="192">
        <v>0</v>
      </c>
      <c r="Z71" s="181"/>
      <c r="AA71" s="192">
        <v>0</v>
      </c>
      <c r="AB71" s="183">
        <f t="shared" si="14"/>
        <v>225</v>
      </c>
      <c r="AC71" s="181"/>
      <c r="AD71" s="180"/>
      <c r="AE71" s="180">
        <v>1</v>
      </c>
      <c r="AF71" s="180">
        <v>6</v>
      </c>
      <c r="AG71" s="180">
        <v>10</v>
      </c>
      <c r="AH71" s="180"/>
      <c r="AI71" s="180">
        <v>2</v>
      </c>
      <c r="AJ71" s="180">
        <v>1</v>
      </c>
      <c r="AK71" s="180"/>
      <c r="AL71" s="180"/>
      <c r="AM71" s="181"/>
      <c r="AN71" s="180"/>
      <c r="AO71" s="180"/>
      <c r="AP71" s="181"/>
      <c r="AQ71" s="180"/>
      <c r="AR71" s="149">
        <f t="shared" si="10"/>
        <v>19000</v>
      </c>
      <c r="AS71" s="150">
        <f t="shared" si="11"/>
        <v>5</v>
      </c>
      <c r="AT71" s="150">
        <f t="shared" si="15"/>
        <v>1266.6666666666667</v>
      </c>
      <c r="AU71" s="183">
        <f t="shared" si="16"/>
        <v>225</v>
      </c>
      <c r="AV71" s="183">
        <v>15</v>
      </c>
      <c r="AW71" s="135">
        <f t="shared" si="17"/>
        <v>6.6666666666666666E-2</v>
      </c>
      <c r="AX71" s="184">
        <v>146</v>
      </c>
      <c r="AY71" s="136">
        <f t="shared" si="12"/>
        <v>9.3167701863354033E-2</v>
      </c>
      <c r="AZ71" s="185">
        <v>1.08</v>
      </c>
      <c r="BA71" s="185">
        <v>1</v>
      </c>
      <c r="BB71" s="137">
        <v>75000</v>
      </c>
      <c r="BC71" s="138">
        <v>36068162.349743992</v>
      </c>
    </row>
    <row r="72" spans="1:55" ht="21">
      <c r="A72">
        <v>3</v>
      </c>
      <c r="B72" s="121" t="s">
        <v>70</v>
      </c>
      <c r="C72" s="140" t="s">
        <v>86</v>
      </c>
      <c r="D72" s="181">
        <v>2</v>
      </c>
      <c r="E72" s="181">
        <v>1</v>
      </c>
      <c r="F72" s="181">
        <v>1</v>
      </c>
      <c r="G72" s="181">
        <v>1</v>
      </c>
      <c r="H72" s="181">
        <v>1</v>
      </c>
      <c r="I72" s="181">
        <v>1</v>
      </c>
      <c r="J72" s="181"/>
      <c r="K72" s="181"/>
      <c r="L72" s="180">
        <f t="shared" ref="L72:L77" si="18">SUM(D72:K72)</f>
        <v>7</v>
      </c>
      <c r="M72" s="181"/>
      <c r="N72" s="182">
        <v>0</v>
      </c>
      <c r="O72" s="182">
        <v>0</v>
      </c>
      <c r="P72" s="182">
        <v>39</v>
      </c>
      <c r="Q72" s="182">
        <v>55</v>
      </c>
      <c r="R72" s="182">
        <v>0</v>
      </c>
      <c r="S72" s="182">
        <v>23</v>
      </c>
      <c r="T72" s="182">
        <v>0</v>
      </c>
      <c r="U72" s="182">
        <v>0</v>
      </c>
      <c r="V72" s="182">
        <v>0</v>
      </c>
      <c r="W72" s="181"/>
      <c r="X72" s="182">
        <v>0</v>
      </c>
      <c r="Y72" s="182">
        <v>0</v>
      </c>
      <c r="Z72" s="181"/>
      <c r="AA72" s="182"/>
      <c r="AB72" s="183">
        <f t="shared" si="14"/>
        <v>117</v>
      </c>
      <c r="AC72" s="181"/>
      <c r="AD72" s="180">
        <v>15</v>
      </c>
      <c r="AE72" s="180">
        <v>4</v>
      </c>
      <c r="AF72" s="180">
        <v>15</v>
      </c>
      <c r="AG72" s="180">
        <v>20</v>
      </c>
      <c r="AH72" s="180">
        <v>7</v>
      </c>
      <c r="AI72" s="180">
        <v>5</v>
      </c>
      <c r="AJ72" s="180">
        <v>3</v>
      </c>
      <c r="AK72" s="180"/>
      <c r="AL72" s="180">
        <v>30</v>
      </c>
      <c r="AM72" s="181"/>
      <c r="AN72" s="180"/>
      <c r="AO72" s="180"/>
      <c r="AP72" s="181"/>
      <c r="AQ72" s="180">
        <v>10</v>
      </c>
      <c r="AR72" s="149">
        <f t="shared" si="10"/>
        <v>76000</v>
      </c>
      <c r="AS72" s="150">
        <f t="shared" si="11"/>
        <v>9</v>
      </c>
      <c r="AT72" s="150">
        <f t="shared" si="15"/>
        <v>8444.4444444444453</v>
      </c>
      <c r="AU72" s="183">
        <f t="shared" si="16"/>
        <v>117</v>
      </c>
      <c r="AV72" s="183">
        <v>9</v>
      </c>
      <c r="AW72" s="135">
        <f t="shared" si="17"/>
        <v>7.6923076923076927E-2</v>
      </c>
      <c r="AX72" s="184">
        <v>64</v>
      </c>
      <c r="AY72" s="136">
        <f t="shared" si="12"/>
        <v>0.12328767123287671</v>
      </c>
      <c r="AZ72" s="185">
        <v>1.21</v>
      </c>
      <c r="BA72" s="185">
        <v>1</v>
      </c>
      <c r="BB72" s="137">
        <v>31790</v>
      </c>
      <c r="BC72" s="138">
        <v>8764769.963663999</v>
      </c>
    </row>
    <row r="73" spans="1:55" ht="21">
      <c r="A73">
        <v>3</v>
      </c>
      <c r="B73" s="121" t="s">
        <v>139</v>
      </c>
      <c r="C73" s="140" t="s">
        <v>50</v>
      </c>
      <c r="D73" s="181">
        <v>1</v>
      </c>
      <c r="E73" s="181">
        <v>1</v>
      </c>
      <c r="F73" s="181"/>
      <c r="G73" s="181">
        <v>1</v>
      </c>
      <c r="H73" s="181"/>
      <c r="I73" s="181">
        <v>1</v>
      </c>
      <c r="J73" s="181"/>
      <c r="K73" s="181">
        <v>1</v>
      </c>
      <c r="L73" s="180">
        <f t="shared" si="18"/>
        <v>5</v>
      </c>
      <c r="M73" s="181"/>
      <c r="N73" s="193">
        <v>30</v>
      </c>
      <c r="O73" s="193">
        <v>0</v>
      </c>
      <c r="P73" s="193">
        <v>16</v>
      </c>
      <c r="Q73" s="193">
        <v>34</v>
      </c>
      <c r="R73" s="193">
        <v>0</v>
      </c>
      <c r="S73" s="193">
        <v>12</v>
      </c>
      <c r="T73" s="193">
        <v>0</v>
      </c>
      <c r="U73" s="193">
        <v>0</v>
      </c>
      <c r="V73" s="193">
        <v>0</v>
      </c>
      <c r="W73" s="181"/>
      <c r="X73" s="193">
        <v>0</v>
      </c>
      <c r="Y73" s="193">
        <v>0</v>
      </c>
      <c r="Z73" s="181"/>
      <c r="AA73" s="193">
        <v>9</v>
      </c>
      <c r="AB73" s="183">
        <f t="shared" si="14"/>
        <v>101</v>
      </c>
      <c r="AC73" s="181"/>
      <c r="AD73" s="180"/>
      <c r="AE73" s="180">
        <v>1.2</v>
      </c>
      <c r="AF73" s="180">
        <v>1.8</v>
      </c>
      <c r="AG73" s="180">
        <v>10.199999999999999</v>
      </c>
      <c r="AH73" s="180"/>
      <c r="AI73" s="180"/>
      <c r="AJ73" s="180">
        <v>0.01</v>
      </c>
      <c r="AK73" s="180"/>
      <c r="AL73" s="180"/>
      <c r="AM73" s="181"/>
      <c r="AN73" s="180"/>
      <c r="AO73" s="180"/>
      <c r="AP73" s="181"/>
      <c r="AQ73" s="180"/>
      <c r="AR73" s="149">
        <f t="shared" si="10"/>
        <v>13200</v>
      </c>
      <c r="AS73" s="150">
        <f t="shared" si="11"/>
        <v>4</v>
      </c>
      <c r="AT73" s="150">
        <f t="shared" si="15"/>
        <v>1015.3846153846154</v>
      </c>
      <c r="AU73" s="183">
        <f t="shared" si="16"/>
        <v>101</v>
      </c>
      <c r="AV73" s="183">
        <v>13</v>
      </c>
      <c r="AW73" s="135">
        <f t="shared" si="17"/>
        <v>0.12871287128712872</v>
      </c>
      <c r="AX73" s="184">
        <v>27</v>
      </c>
      <c r="AY73" s="136">
        <f t="shared" si="12"/>
        <v>0.32500000000000001</v>
      </c>
      <c r="AZ73" s="185">
        <v>1</v>
      </c>
      <c r="BA73" s="185">
        <v>1</v>
      </c>
      <c r="BB73" s="137">
        <v>57200</v>
      </c>
      <c r="BC73" s="138">
        <v>9523359.3261695988</v>
      </c>
    </row>
    <row r="74" spans="1:55" ht="21">
      <c r="A74">
        <v>3</v>
      </c>
      <c r="B74" s="121" t="s">
        <v>70</v>
      </c>
      <c r="C74" s="140" t="s">
        <v>88</v>
      </c>
      <c r="D74" s="181">
        <v>2</v>
      </c>
      <c r="E74" s="181">
        <v>1</v>
      </c>
      <c r="F74" s="181"/>
      <c r="G74" s="181"/>
      <c r="H74" s="181"/>
      <c r="I74" s="181"/>
      <c r="J74" s="181">
        <v>1</v>
      </c>
      <c r="K74" s="181">
        <v>1</v>
      </c>
      <c r="L74" s="180">
        <f t="shared" si="18"/>
        <v>5</v>
      </c>
      <c r="M74" s="181"/>
      <c r="N74" s="182">
        <v>0</v>
      </c>
      <c r="O74" s="182">
        <v>0</v>
      </c>
      <c r="P74" s="182">
        <v>33</v>
      </c>
      <c r="Q74" s="182">
        <v>15</v>
      </c>
      <c r="R74" s="182">
        <v>0</v>
      </c>
      <c r="S74" s="182">
        <v>0</v>
      </c>
      <c r="T74" s="182">
        <v>0</v>
      </c>
      <c r="U74" s="182">
        <v>0</v>
      </c>
      <c r="V74" s="182">
        <v>0</v>
      </c>
      <c r="W74" s="181"/>
      <c r="X74" s="182">
        <v>0</v>
      </c>
      <c r="Y74" s="182">
        <v>0</v>
      </c>
      <c r="Z74" s="181"/>
      <c r="AA74" s="182">
        <v>0</v>
      </c>
      <c r="AB74" s="183">
        <f t="shared" si="14"/>
        <v>48</v>
      </c>
      <c r="AC74" s="181"/>
      <c r="AD74" s="180"/>
      <c r="AE74" s="180">
        <v>1.5</v>
      </c>
      <c r="AF74" s="180">
        <v>15.2</v>
      </c>
      <c r="AG74" s="180">
        <v>12.1</v>
      </c>
      <c r="AH74" s="180">
        <v>2.99</v>
      </c>
      <c r="AI74" s="180"/>
      <c r="AJ74" s="180"/>
      <c r="AK74" s="180"/>
      <c r="AL74" s="180"/>
      <c r="AM74" s="181"/>
      <c r="AN74" s="180"/>
      <c r="AO74" s="180"/>
      <c r="AP74" s="181"/>
      <c r="AQ74" s="180"/>
      <c r="AR74" s="149">
        <f t="shared" si="10"/>
        <v>31790</v>
      </c>
      <c r="AS74" s="150">
        <f t="shared" si="11"/>
        <v>4</v>
      </c>
      <c r="AT74" s="150">
        <f t="shared" si="15"/>
        <v>6358</v>
      </c>
      <c r="AU74" s="183">
        <f t="shared" si="16"/>
        <v>48</v>
      </c>
      <c r="AV74" s="183">
        <v>5</v>
      </c>
      <c r="AW74" s="135">
        <f t="shared" si="17"/>
        <v>0.10416666666666667</v>
      </c>
      <c r="AX74" s="184">
        <v>22</v>
      </c>
      <c r="AY74" s="136">
        <f t="shared" si="12"/>
        <v>0.18518518518518517</v>
      </c>
      <c r="AZ74" s="185">
        <v>1</v>
      </c>
      <c r="BA74" s="185">
        <v>1</v>
      </c>
      <c r="BB74" s="137">
        <v>27000</v>
      </c>
      <c r="BC74" s="138">
        <v>5418756.2646143995</v>
      </c>
    </row>
    <row r="75" spans="1:55" ht="21">
      <c r="A75">
        <v>3</v>
      </c>
      <c r="B75" s="121" t="s">
        <v>21</v>
      </c>
      <c r="C75" s="140" t="s">
        <v>33</v>
      </c>
      <c r="D75" s="181">
        <v>1</v>
      </c>
      <c r="E75" s="181"/>
      <c r="F75" s="181">
        <v>3</v>
      </c>
      <c r="G75" s="181">
        <v>1</v>
      </c>
      <c r="H75" s="181"/>
      <c r="I75" s="181">
        <v>1</v>
      </c>
      <c r="J75" s="181"/>
      <c r="K75" s="181"/>
      <c r="L75" s="180">
        <f t="shared" si="18"/>
        <v>6</v>
      </c>
      <c r="M75" s="181"/>
      <c r="N75" s="183">
        <v>0</v>
      </c>
      <c r="O75" s="183">
        <v>0</v>
      </c>
      <c r="P75" s="183">
        <v>0</v>
      </c>
      <c r="Q75" s="183">
        <v>176</v>
      </c>
      <c r="R75" s="183">
        <v>0</v>
      </c>
      <c r="S75" s="183">
        <v>0</v>
      </c>
      <c r="T75" s="183">
        <v>0</v>
      </c>
      <c r="U75" s="183">
        <v>0</v>
      </c>
      <c r="V75" s="183">
        <v>0</v>
      </c>
      <c r="W75" s="181"/>
      <c r="X75" s="183">
        <v>0</v>
      </c>
      <c r="Y75" s="183">
        <v>0</v>
      </c>
      <c r="Z75" s="181"/>
      <c r="AA75" s="183">
        <v>0</v>
      </c>
      <c r="AB75" s="183">
        <f t="shared" si="14"/>
        <v>176</v>
      </c>
      <c r="AC75" s="181"/>
      <c r="AD75" s="180"/>
      <c r="AE75" s="180"/>
      <c r="AF75" s="180">
        <v>10</v>
      </c>
      <c r="AG75" s="180">
        <v>17</v>
      </c>
      <c r="AH75" s="180"/>
      <c r="AI75" s="180"/>
      <c r="AJ75" s="180"/>
      <c r="AK75" s="180"/>
      <c r="AL75" s="180"/>
      <c r="AM75" s="181"/>
      <c r="AN75" s="180"/>
      <c r="AO75" s="180"/>
      <c r="AP75" s="181"/>
      <c r="AQ75" s="180"/>
      <c r="AR75" s="149">
        <f t="shared" si="10"/>
        <v>27000</v>
      </c>
      <c r="AS75" s="150">
        <f t="shared" si="11"/>
        <v>2</v>
      </c>
      <c r="AT75" s="150">
        <v>0</v>
      </c>
      <c r="AU75" s="183">
        <f t="shared" si="16"/>
        <v>176</v>
      </c>
      <c r="AV75" s="183">
        <v>5</v>
      </c>
      <c r="AW75" s="135"/>
      <c r="AX75" s="184">
        <v>476</v>
      </c>
      <c r="AY75" s="136">
        <f t="shared" si="12"/>
        <v>1.0395010395010396E-2</v>
      </c>
      <c r="AZ75" s="185">
        <v>1.1200000000000001</v>
      </c>
      <c r="BA75" s="185">
        <v>1</v>
      </c>
      <c r="BB75" s="137">
        <v>43000</v>
      </c>
      <c r="BC75" s="138">
        <v>13014631.688115599</v>
      </c>
    </row>
    <row r="76" spans="1:55" ht="21">
      <c r="A76">
        <v>3</v>
      </c>
      <c r="B76" s="121" t="s">
        <v>21</v>
      </c>
      <c r="C76" s="140" t="s">
        <v>24</v>
      </c>
      <c r="D76" s="181">
        <v>1</v>
      </c>
      <c r="E76" s="181">
        <v>1</v>
      </c>
      <c r="F76" s="181">
        <v>1</v>
      </c>
      <c r="G76" s="181"/>
      <c r="H76" s="181"/>
      <c r="I76" s="181"/>
      <c r="J76" s="181"/>
      <c r="K76" s="181"/>
      <c r="L76" s="180">
        <f t="shared" si="18"/>
        <v>3</v>
      </c>
      <c r="M76" s="181"/>
      <c r="N76" s="182">
        <v>0</v>
      </c>
      <c r="O76" s="182">
        <v>0</v>
      </c>
      <c r="P76" s="182">
        <v>1</v>
      </c>
      <c r="Q76" s="182">
        <v>153</v>
      </c>
      <c r="R76" s="182">
        <v>0</v>
      </c>
      <c r="S76" s="182">
        <v>0</v>
      </c>
      <c r="T76" s="182">
        <v>0</v>
      </c>
      <c r="U76" s="182">
        <v>0</v>
      </c>
      <c r="V76" s="182">
        <v>0</v>
      </c>
      <c r="W76" s="181"/>
      <c r="X76" s="182">
        <v>0</v>
      </c>
      <c r="Y76" s="182">
        <v>0</v>
      </c>
      <c r="Z76" s="181"/>
      <c r="AA76" s="182">
        <v>14</v>
      </c>
      <c r="AB76" s="183">
        <f t="shared" si="14"/>
        <v>168</v>
      </c>
      <c r="AC76" s="181"/>
      <c r="AD76" s="180"/>
      <c r="AE76" s="180"/>
      <c r="AF76" s="180">
        <v>5</v>
      </c>
      <c r="AG76" s="180">
        <v>22</v>
      </c>
      <c r="AH76" s="180"/>
      <c r="AI76" s="180"/>
      <c r="AJ76" s="180">
        <v>1.2</v>
      </c>
      <c r="AK76" s="180"/>
      <c r="AL76" s="180">
        <v>27</v>
      </c>
      <c r="AM76" s="181"/>
      <c r="AN76" s="180"/>
      <c r="AO76" s="180"/>
      <c r="AP76" s="181"/>
      <c r="AQ76" s="180"/>
      <c r="AR76" s="149">
        <f t="shared" si="10"/>
        <v>27000</v>
      </c>
      <c r="AS76" s="150">
        <f t="shared" si="11"/>
        <v>4</v>
      </c>
      <c r="AT76" s="150">
        <f t="shared" si="15"/>
        <v>27000</v>
      </c>
      <c r="AU76" s="183">
        <f t="shared" si="16"/>
        <v>168</v>
      </c>
      <c r="AV76" s="183">
        <v>1</v>
      </c>
      <c r="AW76" s="135">
        <f t="shared" si="17"/>
        <v>5.9523809523809521E-3</v>
      </c>
      <c r="AX76" s="184">
        <v>49</v>
      </c>
      <c r="AY76" s="136">
        <f t="shared" si="12"/>
        <v>0.02</v>
      </c>
      <c r="AZ76" s="185">
        <v>1</v>
      </c>
      <c r="BA76" s="185">
        <v>1</v>
      </c>
      <c r="BB76" s="137">
        <v>34849.999999999993</v>
      </c>
      <c r="BC76" s="138">
        <v>2057563.6594127999</v>
      </c>
    </row>
    <row r="77" spans="1:55" ht="21.6" thickBot="1">
      <c r="A77">
        <v>3</v>
      </c>
      <c r="B77" s="122" t="s">
        <v>70</v>
      </c>
      <c r="C77" s="141" t="s">
        <v>92</v>
      </c>
      <c r="D77" s="181">
        <v>2</v>
      </c>
      <c r="E77" s="181">
        <v>1</v>
      </c>
      <c r="F77" s="181"/>
      <c r="G77" s="181"/>
      <c r="H77" s="181"/>
      <c r="I77" s="181"/>
      <c r="J77" s="181"/>
      <c r="K77" s="181">
        <v>1</v>
      </c>
      <c r="L77" s="180">
        <f t="shared" si="18"/>
        <v>4</v>
      </c>
      <c r="M77" s="181"/>
      <c r="N77" s="182">
        <v>0</v>
      </c>
      <c r="O77" s="182">
        <v>0</v>
      </c>
      <c r="P77" s="182">
        <v>32</v>
      </c>
      <c r="Q77" s="182">
        <v>67</v>
      </c>
      <c r="R77" s="182">
        <v>0</v>
      </c>
      <c r="S77" s="182">
        <v>5</v>
      </c>
      <c r="T77" s="182">
        <v>4</v>
      </c>
      <c r="U77" s="182">
        <v>0</v>
      </c>
      <c r="V77" s="182">
        <v>0</v>
      </c>
      <c r="W77" s="181"/>
      <c r="X77" s="182">
        <v>0</v>
      </c>
      <c r="Y77" s="182">
        <v>0</v>
      </c>
      <c r="Z77" s="181"/>
      <c r="AA77" s="182"/>
      <c r="AB77" s="183">
        <f t="shared" si="14"/>
        <v>108</v>
      </c>
      <c r="AC77" s="181"/>
      <c r="AD77" s="180"/>
      <c r="AE77" s="180"/>
      <c r="AF77" s="180">
        <v>5</v>
      </c>
      <c r="AG77" s="180">
        <v>4.4000000000000004</v>
      </c>
      <c r="AH77" s="180"/>
      <c r="AI77" s="180">
        <v>1.5</v>
      </c>
      <c r="AJ77" s="180">
        <v>2</v>
      </c>
      <c r="AK77" s="180"/>
      <c r="AL77" s="180"/>
      <c r="AM77" s="181"/>
      <c r="AN77" s="180"/>
      <c r="AO77" s="180"/>
      <c r="AP77" s="181"/>
      <c r="AQ77" s="180"/>
      <c r="AR77" s="149">
        <f t="shared" si="10"/>
        <v>10900</v>
      </c>
      <c r="AS77" s="150">
        <f t="shared" si="11"/>
        <v>4</v>
      </c>
      <c r="AT77" s="150">
        <f t="shared" si="15"/>
        <v>5450</v>
      </c>
      <c r="AU77" s="183">
        <f t="shared" si="16"/>
        <v>108</v>
      </c>
      <c r="AV77" s="183">
        <v>2</v>
      </c>
      <c r="AW77" s="135">
        <f t="shared" si="17"/>
        <v>1.8518518518518517E-2</v>
      </c>
      <c r="AX77" s="184">
        <v>13</v>
      </c>
      <c r="AY77" s="136">
        <f t="shared" si="12"/>
        <v>0.13333333333333333</v>
      </c>
      <c r="AZ77" s="185">
        <v>1.0900000000000001</v>
      </c>
      <c r="BA77" s="185">
        <v>1</v>
      </c>
      <c r="BB77" s="137">
        <v>12900</v>
      </c>
      <c r="BC77" s="138">
        <v>3318172.6094639995</v>
      </c>
    </row>
    <row r="78" spans="1:55" ht="21">
      <c r="A78">
        <v>4</v>
      </c>
      <c r="B78" s="120" t="s">
        <v>70</v>
      </c>
      <c r="C78" s="139" t="s">
        <v>69</v>
      </c>
      <c r="D78" s="180"/>
      <c r="E78" s="180">
        <v>1</v>
      </c>
      <c r="F78" s="180">
        <v>2</v>
      </c>
      <c r="G78" s="180">
        <v>1</v>
      </c>
      <c r="H78" s="180"/>
      <c r="I78" s="180">
        <v>2</v>
      </c>
      <c r="J78" s="180"/>
      <c r="K78" s="180"/>
      <c r="L78" s="180">
        <v>6</v>
      </c>
      <c r="M78" s="182">
        <v>31</v>
      </c>
      <c r="N78" s="182">
        <v>44</v>
      </c>
      <c r="O78" s="182">
        <v>1</v>
      </c>
      <c r="P78" s="182">
        <v>11</v>
      </c>
      <c r="Q78" s="182">
        <v>130</v>
      </c>
      <c r="R78" s="182">
        <v>0</v>
      </c>
      <c r="S78" s="182">
        <v>0</v>
      </c>
      <c r="T78" s="182">
        <v>0</v>
      </c>
      <c r="U78" s="182">
        <v>0</v>
      </c>
      <c r="V78" s="182">
        <v>0</v>
      </c>
      <c r="W78" s="182">
        <v>0</v>
      </c>
      <c r="X78" s="182">
        <v>0</v>
      </c>
      <c r="Y78" s="182"/>
      <c r="Z78" s="182"/>
      <c r="AA78" s="182"/>
      <c r="AB78" s="183">
        <f t="shared" si="14"/>
        <v>186</v>
      </c>
      <c r="AC78" s="183"/>
      <c r="AD78" s="183"/>
      <c r="AE78" s="183"/>
      <c r="AF78" s="183">
        <v>6</v>
      </c>
      <c r="AG78" s="183">
        <v>7</v>
      </c>
      <c r="AH78" s="183"/>
      <c r="AI78" s="183"/>
      <c r="AJ78" s="183"/>
      <c r="AK78" s="183"/>
      <c r="AL78" s="183"/>
      <c r="AM78" s="183"/>
      <c r="AN78" s="183"/>
      <c r="AO78" s="183">
        <v>2</v>
      </c>
      <c r="AP78" s="183"/>
      <c r="AQ78" s="183"/>
      <c r="AR78" s="149">
        <f t="shared" si="10"/>
        <v>13000</v>
      </c>
      <c r="AS78" s="150">
        <f t="shared" si="11"/>
        <v>3</v>
      </c>
      <c r="AT78" s="150">
        <f t="shared" si="15"/>
        <v>928.57142857142856</v>
      </c>
      <c r="AU78" s="183">
        <f t="shared" si="16"/>
        <v>186</v>
      </c>
      <c r="AV78" s="183">
        <v>14</v>
      </c>
      <c r="AW78" s="135">
        <f t="shared" si="17"/>
        <v>7.5268817204301078E-2</v>
      </c>
      <c r="AX78" s="194">
        <v>44</v>
      </c>
      <c r="AY78" s="136">
        <f t="shared" si="12"/>
        <v>0.2413793103448276</v>
      </c>
      <c r="AZ78" s="195">
        <v>1.08</v>
      </c>
      <c r="BA78" s="195">
        <v>1</v>
      </c>
      <c r="BB78" s="181">
        <v>15000</v>
      </c>
      <c r="BC78" s="138">
        <v>7073795</v>
      </c>
    </row>
    <row r="79" spans="1:55" ht="21">
      <c r="A79">
        <v>4</v>
      </c>
      <c r="B79" s="121" t="s">
        <v>21</v>
      </c>
      <c r="C79" s="140" t="s">
        <v>36</v>
      </c>
      <c r="D79" s="181"/>
      <c r="E79" s="181"/>
      <c r="F79" s="181"/>
      <c r="G79" s="181"/>
      <c r="H79" s="181"/>
      <c r="I79" s="181"/>
      <c r="J79" s="181"/>
      <c r="K79" s="181"/>
      <c r="L79" s="181"/>
      <c r="M79" s="182"/>
      <c r="N79" s="182"/>
      <c r="O79" s="182"/>
      <c r="P79" s="182"/>
      <c r="Q79" s="182"/>
      <c r="R79" s="182"/>
      <c r="S79" s="182"/>
      <c r="T79" s="182"/>
      <c r="U79" s="182"/>
      <c r="V79" s="182"/>
      <c r="W79" s="182"/>
      <c r="X79" s="182"/>
      <c r="Y79" s="182"/>
      <c r="Z79" s="182"/>
      <c r="AA79" s="182"/>
      <c r="AB79" s="183">
        <f t="shared" si="14"/>
        <v>0</v>
      </c>
      <c r="AC79" s="182"/>
      <c r="AD79" s="182"/>
      <c r="AE79" s="182"/>
      <c r="AF79" s="182"/>
      <c r="AG79" s="182"/>
      <c r="AH79" s="182"/>
      <c r="AI79" s="182"/>
      <c r="AJ79" s="182"/>
      <c r="AK79" s="182"/>
      <c r="AL79" s="182"/>
      <c r="AM79" s="182"/>
      <c r="AN79" s="182"/>
      <c r="AO79" s="182"/>
      <c r="AP79" s="182"/>
      <c r="AQ79" s="182"/>
      <c r="AR79" s="149">
        <f t="shared" si="10"/>
        <v>0</v>
      </c>
      <c r="AS79" s="150">
        <f t="shared" si="11"/>
        <v>0</v>
      </c>
      <c r="AT79" s="150">
        <v>0</v>
      </c>
      <c r="AU79" s="183">
        <f t="shared" si="16"/>
        <v>0</v>
      </c>
      <c r="AV79" s="183">
        <v>0</v>
      </c>
      <c r="AW79" s="135"/>
      <c r="AX79" s="194">
        <v>0</v>
      </c>
      <c r="AY79" s="136">
        <v>0</v>
      </c>
      <c r="AZ79" s="195">
        <v>0</v>
      </c>
      <c r="BA79" s="195">
        <v>0</v>
      </c>
      <c r="BB79" s="181">
        <v>0</v>
      </c>
      <c r="BC79" s="138">
        <v>0</v>
      </c>
    </row>
    <row r="80" spans="1:55" ht="21">
      <c r="A80">
        <v>4</v>
      </c>
      <c r="B80" s="121" t="s">
        <v>139</v>
      </c>
      <c r="C80" s="140" t="s">
        <v>149</v>
      </c>
      <c r="D80" s="180">
        <v>1</v>
      </c>
      <c r="E80" s="180"/>
      <c r="F80" s="180">
        <v>1</v>
      </c>
      <c r="G80" s="180">
        <v>1</v>
      </c>
      <c r="H80" s="180"/>
      <c r="I80" s="180"/>
      <c r="J80" s="180">
        <v>1</v>
      </c>
      <c r="K80" s="180"/>
      <c r="L80" s="180">
        <v>4</v>
      </c>
      <c r="M80" s="196">
        <v>70</v>
      </c>
      <c r="N80" s="196">
        <v>43</v>
      </c>
      <c r="O80" s="196"/>
      <c r="P80" s="196">
        <v>43</v>
      </c>
      <c r="Q80" s="196">
        <v>110</v>
      </c>
      <c r="R80" s="196"/>
      <c r="S80" s="196"/>
      <c r="T80" s="196"/>
      <c r="U80" s="196"/>
      <c r="V80" s="196"/>
      <c r="W80" s="196"/>
      <c r="X80" s="196"/>
      <c r="Y80" s="196"/>
      <c r="Z80" s="196"/>
      <c r="AA80" s="196"/>
      <c r="AB80" s="183">
        <f t="shared" si="14"/>
        <v>196</v>
      </c>
      <c r="AC80" s="196"/>
      <c r="AD80" s="196">
        <v>20</v>
      </c>
      <c r="AE80" s="196">
        <v>6</v>
      </c>
      <c r="AF80" s="196">
        <v>25</v>
      </c>
      <c r="AG80" s="196">
        <v>20</v>
      </c>
      <c r="AH80" s="196">
        <v>5</v>
      </c>
      <c r="AI80" s="196"/>
      <c r="AJ80" s="196"/>
      <c r="AK80" s="196"/>
      <c r="AL80" s="196">
        <v>10</v>
      </c>
      <c r="AM80" s="196"/>
      <c r="AN80" s="196"/>
      <c r="AO80" s="196"/>
      <c r="AP80" s="196"/>
      <c r="AQ80" s="196"/>
      <c r="AR80" s="149">
        <f t="shared" si="10"/>
        <v>76000</v>
      </c>
      <c r="AS80" s="150">
        <f t="shared" si="11"/>
        <v>6</v>
      </c>
      <c r="AT80" s="150">
        <f t="shared" si="15"/>
        <v>3800</v>
      </c>
      <c r="AU80" s="183">
        <f t="shared" si="16"/>
        <v>196</v>
      </c>
      <c r="AV80" s="183">
        <v>20</v>
      </c>
      <c r="AW80" s="135">
        <f t="shared" si="17"/>
        <v>0.10204081632653061</v>
      </c>
      <c r="AX80" s="194">
        <v>80</v>
      </c>
      <c r="AY80" s="136">
        <f t="shared" si="12"/>
        <v>0.2</v>
      </c>
      <c r="AZ80" s="195">
        <v>1.1100000000000001</v>
      </c>
      <c r="BA80" s="195">
        <v>1</v>
      </c>
      <c r="BB80" s="181">
        <v>86000</v>
      </c>
      <c r="BC80" s="138">
        <v>21302382</v>
      </c>
    </row>
    <row r="81" spans="1:55" ht="21">
      <c r="A81">
        <v>4</v>
      </c>
      <c r="B81" s="121" t="s">
        <v>70</v>
      </c>
      <c r="C81" s="140" t="s">
        <v>90</v>
      </c>
      <c r="D81" s="180">
        <v>2</v>
      </c>
      <c r="E81" s="180">
        <v>1</v>
      </c>
      <c r="F81" s="180">
        <v>1</v>
      </c>
      <c r="G81" s="180"/>
      <c r="H81" s="180">
        <v>1</v>
      </c>
      <c r="I81" s="180"/>
      <c r="J81" s="180"/>
      <c r="K81" s="180"/>
      <c r="L81" s="180">
        <v>5</v>
      </c>
      <c r="M81" s="182">
        <v>77</v>
      </c>
      <c r="N81" s="182">
        <v>0</v>
      </c>
      <c r="O81" s="182">
        <v>0</v>
      </c>
      <c r="P81" s="182">
        <v>24</v>
      </c>
      <c r="Q81" s="182">
        <v>41</v>
      </c>
      <c r="R81" s="182">
        <v>0</v>
      </c>
      <c r="S81" s="182">
        <v>6</v>
      </c>
      <c r="T81" s="182">
        <v>6</v>
      </c>
      <c r="U81" s="182">
        <v>0</v>
      </c>
      <c r="V81" s="182">
        <v>0</v>
      </c>
      <c r="W81" s="182">
        <v>0</v>
      </c>
      <c r="X81" s="182">
        <v>0</v>
      </c>
      <c r="Y81" s="182">
        <v>0</v>
      </c>
      <c r="Z81" s="182"/>
      <c r="AA81" s="182"/>
      <c r="AB81" s="183">
        <f t="shared" si="14"/>
        <v>77</v>
      </c>
      <c r="AC81" s="183"/>
      <c r="AD81" s="183"/>
      <c r="AE81" s="183"/>
      <c r="AF81" s="183">
        <v>8</v>
      </c>
      <c r="AG81" s="183">
        <v>35</v>
      </c>
      <c r="AH81" s="183"/>
      <c r="AI81" s="183"/>
      <c r="AJ81" s="183">
        <v>3</v>
      </c>
      <c r="AK81" s="183"/>
      <c r="AL81" s="183"/>
      <c r="AM81" s="183"/>
      <c r="AN81" s="183"/>
      <c r="AO81" s="183"/>
      <c r="AP81" s="183"/>
      <c r="AQ81" s="183"/>
      <c r="AR81" s="149">
        <f t="shared" si="10"/>
        <v>43000</v>
      </c>
      <c r="AS81" s="150">
        <f t="shared" si="11"/>
        <v>3</v>
      </c>
      <c r="AT81" s="150">
        <f t="shared" si="15"/>
        <v>10750</v>
      </c>
      <c r="AU81" s="183">
        <f t="shared" si="16"/>
        <v>77</v>
      </c>
      <c r="AV81" s="183">
        <v>4</v>
      </c>
      <c r="AW81" s="135">
        <f t="shared" si="17"/>
        <v>5.1948051948051951E-2</v>
      </c>
      <c r="AX81" s="194">
        <v>11</v>
      </c>
      <c r="AY81" s="136">
        <f t="shared" si="12"/>
        <v>0.26666666666666666</v>
      </c>
      <c r="AZ81" s="195">
        <v>1</v>
      </c>
      <c r="BA81" s="195">
        <v>1</v>
      </c>
      <c r="BB81" s="181">
        <v>46000</v>
      </c>
      <c r="BC81" s="138">
        <v>834293</v>
      </c>
    </row>
    <row r="82" spans="1:55" ht="21">
      <c r="A82">
        <v>4</v>
      </c>
      <c r="B82" s="121" t="s">
        <v>70</v>
      </c>
      <c r="C82" s="140" t="s">
        <v>79</v>
      </c>
      <c r="D82" s="180"/>
      <c r="E82" s="180"/>
      <c r="F82" s="180"/>
      <c r="G82" s="180">
        <v>1</v>
      </c>
      <c r="H82" s="180">
        <v>1</v>
      </c>
      <c r="I82" s="180">
        <v>1</v>
      </c>
      <c r="J82" s="180"/>
      <c r="K82" s="180">
        <v>1</v>
      </c>
      <c r="L82" s="180">
        <v>4</v>
      </c>
      <c r="M82" s="182">
        <v>53</v>
      </c>
      <c r="N82" s="182">
        <v>19</v>
      </c>
      <c r="O82" s="182">
        <v>5</v>
      </c>
      <c r="P82" s="182">
        <v>17</v>
      </c>
      <c r="Q82" s="182">
        <v>0</v>
      </c>
      <c r="R82" s="182">
        <v>0</v>
      </c>
      <c r="S82" s="182">
        <v>0</v>
      </c>
      <c r="T82" s="182">
        <v>0</v>
      </c>
      <c r="U82" s="182">
        <v>0</v>
      </c>
      <c r="V82" s="182">
        <v>0</v>
      </c>
      <c r="W82" s="182">
        <v>0</v>
      </c>
      <c r="X82" s="182">
        <v>53</v>
      </c>
      <c r="Y82" s="182"/>
      <c r="Z82" s="182"/>
      <c r="AA82" s="182"/>
      <c r="AB82" s="183">
        <f t="shared" si="14"/>
        <v>94</v>
      </c>
      <c r="AC82" s="183"/>
      <c r="AD82" s="183">
        <v>9</v>
      </c>
      <c r="AE82" s="183"/>
      <c r="AF82" s="183">
        <v>6</v>
      </c>
      <c r="AG82" s="183">
        <v>8</v>
      </c>
      <c r="AH82" s="183"/>
      <c r="AI82" s="183">
        <v>1</v>
      </c>
      <c r="AJ82" s="183">
        <v>1</v>
      </c>
      <c r="AK82" s="183"/>
      <c r="AL82" s="183"/>
      <c r="AM82" s="183"/>
      <c r="AN82" s="183"/>
      <c r="AO82" s="183"/>
      <c r="AP82" s="183"/>
      <c r="AQ82" s="183"/>
      <c r="AR82" s="149">
        <f t="shared" si="10"/>
        <v>24000</v>
      </c>
      <c r="AS82" s="150">
        <f t="shared" si="11"/>
        <v>5</v>
      </c>
      <c r="AT82" s="150">
        <f t="shared" si="15"/>
        <v>12000</v>
      </c>
      <c r="AU82" s="183">
        <f t="shared" si="16"/>
        <v>94</v>
      </c>
      <c r="AV82" s="183">
        <v>2</v>
      </c>
      <c r="AW82" s="135">
        <f t="shared" si="17"/>
        <v>2.1276595744680851E-2</v>
      </c>
      <c r="AX82" s="194">
        <v>42</v>
      </c>
      <c r="AY82" s="136">
        <f t="shared" si="12"/>
        <v>4.5454545454545456E-2</v>
      </c>
      <c r="AZ82" s="195">
        <v>0.76</v>
      </c>
      <c r="BA82" s="195">
        <v>0.25</v>
      </c>
      <c r="BB82" s="181">
        <v>25000</v>
      </c>
      <c r="BC82" s="138">
        <v>1376131</v>
      </c>
    </row>
    <row r="83" spans="1:55" ht="21">
      <c r="A83">
        <v>4</v>
      </c>
      <c r="B83" s="121" t="s">
        <v>139</v>
      </c>
      <c r="C83" s="140" t="s">
        <v>60</v>
      </c>
      <c r="D83" s="180">
        <v>1</v>
      </c>
      <c r="E83" s="180"/>
      <c r="F83" s="180">
        <v>2</v>
      </c>
      <c r="G83" s="180">
        <v>1</v>
      </c>
      <c r="H83" s="180"/>
      <c r="I83" s="180"/>
      <c r="J83" s="180">
        <v>1</v>
      </c>
      <c r="K83" s="180"/>
      <c r="L83" s="180">
        <v>5</v>
      </c>
      <c r="M83" s="197">
        <v>22</v>
      </c>
      <c r="N83" s="197">
        <v>5</v>
      </c>
      <c r="O83" s="197"/>
      <c r="P83" s="197">
        <v>5</v>
      </c>
      <c r="Q83" s="197">
        <v>34</v>
      </c>
      <c r="R83" s="197"/>
      <c r="S83" s="197"/>
      <c r="T83" s="197"/>
      <c r="U83" s="197"/>
      <c r="V83" s="197"/>
      <c r="W83" s="197"/>
      <c r="X83" s="197"/>
      <c r="Y83" s="197"/>
      <c r="Z83" s="197"/>
      <c r="AA83" s="197"/>
      <c r="AB83" s="183">
        <f t="shared" si="14"/>
        <v>44</v>
      </c>
      <c r="AC83" s="197"/>
      <c r="AD83" s="197">
        <v>40</v>
      </c>
      <c r="AE83" s="197"/>
      <c r="AF83" s="197">
        <v>10</v>
      </c>
      <c r="AG83" s="197">
        <v>9</v>
      </c>
      <c r="AH83" s="197"/>
      <c r="AI83" s="197"/>
      <c r="AJ83" s="197">
        <v>1</v>
      </c>
      <c r="AK83" s="197"/>
      <c r="AL83" s="197">
        <v>29</v>
      </c>
      <c r="AM83" s="197">
        <v>4</v>
      </c>
      <c r="AN83" s="197"/>
      <c r="AO83" s="197"/>
      <c r="AP83" s="197"/>
      <c r="AQ83" s="197"/>
      <c r="AR83" s="149">
        <f t="shared" si="10"/>
        <v>59000</v>
      </c>
      <c r="AS83" s="150">
        <f t="shared" si="11"/>
        <v>6</v>
      </c>
      <c r="AT83" s="150">
        <f t="shared" si="15"/>
        <v>11800</v>
      </c>
      <c r="AU83" s="183">
        <f t="shared" si="16"/>
        <v>44</v>
      </c>
      <c r="AV83" s="183">
        <v>5</v>
      </c>
      <c r="AW83" s="135">
        <f t="shared" si="17"/>
        <v>0.11363636363636363</v>
      </c>
      <c r="AX83" s="194">
        <v>260</v>
      </c>
      <c r="AY83" s="136">
        <f t="shared" si="12"/>
        <v>1.8867924528301886E-2</v>
      </c>
      <c r="AZ83" s="195">
        <v>1.03</v>
      </c>
      <c r="BA83" s="195">
        <v>1</v>
      </c>
      <c r="BB83" s="181">
        <v>93000</v>
      </c>
      <c r="BC83" s="138">
        <v>23920357</v>
      </c>
    </row>
    <row r="84" spans="1:55" ht="21">
      <c r="A84">
        <v>4</v>
      </c>
      <c r="B84" s="121" t="s">
        <v>139</v>
      </c>
      <c r="C84" s="140" t="s">
        <v>57</v>
      </c>
      <c r="D84" s="180"/>
      <c r="E84" s="180"/>
      <c r="F84" s="180">
        <v>1</v>
      </c>
      <c r="G84" s="180">
        <v>2</v>
      </c>
      <c r="H84" s="180">
        <v>1</v>
      </c>
      <c r="I84" s="180"/>
      <c r="J84" s="180"/>
      <c r="K84" s="180"/>
      <c r="L84" s="180">
        <v>4</v>
      </c>
      <c r="M84" s="198"/>
      <c r="N84" s="199">
        <v>2</v>
      </c>
      <c r="O84" s="198"/>
      <c r="P84" s="199">
        <v>70</v>
      </c>
      <c r="Q84" s="199">
        <v>72</v>
      </c>
      <c r="R84" s="199"/>
      <c r="S84" s="199"/>
      <c r="T84" s="199"/>
      <c r="U84" s="199"/>
      <c r="V84" s="199"/>
      <c r="W84" s="199"/>
      <c r="X84" s="199"/>
      <c r="Y84" s="199"/>
      <c r="Z84" s="199"/>
      <c r="AA84" s="199"/>
      <c r="AB84" s="183">
        <f t="shared" si="14"/>
        <v>144</v>
      </c>
      <c r="AC84" s="198"/>
      <c r="AD84" s="196">
        <v>69</v>
      </c>
      <c r="AE84" s="198">
        <v>7</v>
      </c>
      <c r="AF84" s="196">
        <v>20</v>
      </c>
      <c r="AG84" s="196">
        <v>7</v>
      </c>
      <c r="AH84" s="196"/>
      <c r="AI84" s="196"/>
      <c r="AJ84" s="196">
        <v>0.2</v>
      </c>
      <c r="AK84" s="196"/>
      <c r="AL84" s="196"/>
      <c r="AM84" s="196"/>
      <c r="AN84" s="196"/>
      <c r="AO84" s="196"/>
      <c r="AP84" s="196"/>
      <c r="AQ84" s="196"/>
      <c r="AR84" s="149">
        <f t="shared" si="10"/>
        <v>103000</v>
      </c>
      <c r="AS84" s="150">
        <f t="shared" si="11"/>
        <v>5</v>
      </c>
      <c r="AT84" s="150">
        <f t="shared" si="15"/>
        <v>9363.636363636364</v>
      </c>
      <c r="AU84" s="183">
        <f t="shared" si="16"/>
        <v>144</v>
      </c>
      <c r="AV84" s="183">
        <v>11</v>
      </c>
      <c r="AW84" s="135">
        <f t="shared" si="17"/>
        <v>7.6388888888888895E-2</v>
      </c>
      <c r="AX84" s="194">
        <v>181</v>
      </c>
      <c r="AY84" s="136">
        <f t="shared" si="12"/>
        <v>5.7291666666666664E-2</v>
      </c>
      <c r="AZ84" s="195">
        <v>0</v>
      </c>
      <c r="BA84" s="195">
        <v>1</v>
      </c>
      <c r="BB84" s="181">
        <v>103200</v>
      </c>
      <c r="BC84" s="138">
        <v>11992806</v>
      </c>
    </row>
    <row r="85" spans="1:55" ht="21">
      <c r="A85">
        <v>4</v>
      </c>
      <c r="B85" s="121" t="s">
        <v>139</v>
      </c>
      <c r="C85" s="140" t="s">
        <v>66</v>
      </c>
      <c r="D85" s="180">
        <v>2</v>
      </c>
      <c r="E85" s="180"/>
      <c r="F85" s="180">
        <v>1</v>
      </c>
      <c r="G85" s="180">
        <v>1</v>
      </c>
      <c r="H85" s="180"/>
      <c r="I85" s="180"/>
      <c r="J85" s="180">
        <v>1</v>
      </c>
      <c r="K85" s="180"/>
      <c r="L85" s="180">
        <v>5</v>
      </c>
      <c r="M85" s="196">
        <v>23</v>
      </c>
      <c r="N85" s="196">
        <v>20</v>
      </c>
      <c r="O85" s="196"/>
      <c r="P85" s="196">
        <v>88</v>
      </c>
      <c r="Q85" s="196">
        <v>49</v>
      </c>
      <c r="R85" s="196"/>
      <c r="S85" s="196">
        <v>1</v>
      </c>
      <c r="T85" s="196"/>
      <c r="U85" s="196"/>
      <c r="V85" s="196"/>
      <c r="W85" s="196"/>
      <c r="X85" s="196"/>
      <c r="Y85" s="196"/>
      <c r="Z85" s="196"/>
      <c r="AA85" s="196"/>
      <c r="AB85" s="183">
        <f t="shared" si="14"/>
        <v>158</v>
      </c>
      <c r="AC85" s="196"/>
      <c r="AD85" s="196">
        <v>12</v>
      </c>
      <c r="AE85" s="196">
        <v>17</v>
      </c>
      <c r="AF85" s="196">
        <v>15</v>
      </c>
      <c r="AG85" s="196">
        <v>13</v>
      </c>
      <c r="AH85" s="196"/>
      <c r="AI85" s="196"/>
      <c r="AJ85" s="196">
        <v>1</v>
      </c>
      <c r="AK85" s="196"/>
      <c r="AL85" s="196">
        <v>4</v>
      </c>
      <c r="AM85" s="196"/>
      <c r="AN85" s="196"/>
      <c r="AO85" s="196"/>
      <c r="AP85" s="196"/>
      <c r="AQ85" s="196"/>
      <c r="AR85" s="149">
        <f t="shared" si="10"/>
        <v>57000</v>
      </c>
      <c r="AS85" s="150">
        <f t="shared" si="11"/>
        <v>6</v>
      </c>
      <c r="AT85" s="150">
        <f t="shared" si="15"/>
        <v>3166.6666666666665</v>
      </c>
      <c r="AU85" s="183">
        <f t="shared" si="16"/>
        <v>158</v>
      </c>
      <c r="AV85" s="183">
        <v>18</v>
      </c>
      <c r="AW85" s="135">
        <f t="shared" si="17"/>
        <v>0.11392405063291139</v>
      </c>
      <c r="AX85" s="194">
        <v>23</v>
      </c>
      <c r="AY85" s="136">
        <f t="shared" si="12"/>
        <v>0.43902439024390244</v>
      </c>
      <c r="AZ85" s="195">
        <v>1.08</v>
      </c>
      <c r="BA85" s="195">
        <v>1</v>
      </c>
      <c r="BB85" s="181">
        <v>62000</v>
      </c>
      <c r="BC85" s="138">
        <v>7524897</v>
      </c>
    </row>
    <row r="86" spans="1:55" ht="21">
      <c r="A86">
        <v>4</v>
      </c>
      <c r="B86" s="121" t="s">
        <v>70</v>
      </c>
      <c r="C86" s="140" t="s">
        <v>82</v>
      </c>
      <c r="D86" s="180"/>
      <c r="E86" s="180"/>
      <c r="F86" s="180">
        <v>2</v>
      </c>
      <c r="G86" s="180"/>
      <c r="H86" s="180">
        <v>1</v>
      </c>
      <c r="I86" s="180">
        <v>1</v>
      </c>
      <c r="J86" s="180"/>
      <c r="K86" s="180"/>
      <c r="L86" s="180">
        <v>4</v>
      </c>
      <c r="M86" s="182">
        <v>51</v>
      </c>
      <c r="N86" s="182">
        <v>9</v>
      </c>
      <c r="O86" s="182">
        <v>3</v>
      </c>
      <c r="P86" s="182">
        <v>40</v>
      </c>
      <c r="Q86" s="182">
        <v>38</v>
      </c>
      <c r="R86" s="182">
        <v>16</v>
      </c>
      <c r="S86" s="182">
        <v>13</v>
      </c>
      <c r="T86" s="182">
        <v>19</v>
      </c>
      <c r="U86" s="182">
        <v>0</v>
      </c>
      <c r="V86" s="182">
        <v>20</v>
      </c>
      <c r="W86" s="182">
        <v>0</v>
      </c>
      <c r="X86" s="182">
        <v>0</v>
      </c>
      <c r="Y86" s="182">
        <v>28</v>
      </c>
      <c r="Z86" s="182"/>
      <c r="AA86" s="182"/>
      <c r="AB86" s="183">
        <f t="shared" si="14"/>
        <v>186</v>
      </c>
      <c r="AC86" s="183"/>
      <c r="AD86" s="183">
        <v>15</v>
      </c>
      <c r="AE86" s="183">
        <v>4</v>
      </c>
      <c r="AF86" s="183">
        <v>15</v>
      </c>
      <c r="AG86" s="183">
        <v>20</v>
      </c>
      <c r="AH86" s="183">
        <v>7</v>
      </c>
      <c r="AI86" s="183">
        <v>5</v>
      </c>
      <c r="AJ86" s="183">
        <v>3</v>
      </c>
      <c r="AK86" s="183"/>
      <c r="AL86" s="183">
        <v>30</v>
      </c>
      <c r="AM86" s="183"/>
      <c r="AN86" s="183"/>
      <c r="AO86" s="183">
        <v>10</v>
      </c>
      <c r="AP86" s="183"/>
      <c r="AQ86" s="183"/>
      <c r="AR86" s="149">
        <f t="shared" si="10"/>
        <v>66000</v>
      </c>
      <c r="AS86" s="150">
        <f t="shared" si="11"/>
        <v>9</v>
      </c>
      <c r="AT86" s="150">
        <f t="shared" si="15"/>
        <v>4400</v>
      </c>
      <c r="AU86" s="183">
        <f t="shared" si="16"/>
        <v>186</v>
      </c>
      <c r="AV86" s="183">
        <v>15</v>
      </c>
      <c r="AW86" s="135">
        <f t="shared" si="17"/>
        <v>8.0645161290322578E-2</v>
      </c>
      <c r="AX86" s="194">
        <v>27</v>
      </c>
      <c r="AY86" s="136">
        <f t="shared" si="12"/>
        <v>0.35714285714285715</v>
      </c>
      <c r="AZ86" s="195">
        <v>0.88</v>
      </c>
      <c r="BA86" s="195">
        <v>0.5</v>
      </c>
      <c r="BB86" s="181">
        <v>109000</v>
      </c>
      <c r="BC86" s="138">
        <v>1989943</v>
      </c>
    </row>
    <row r="87" spans="1:55" ht="21">
      <c r="A87">
        <v>4</v>
      </c>
      <c r="B87" s="121" t="s">
        <v>21</v>
      </c>
      <c r="C87" s="140" t="s">
        <v>48</v>
      </c>
      <c r="D87" s="180">
        <v>1</v>
      </c>
      <c r="E87" s="180">
        <v>1</v>
      </c>
      <c r="F87" s="180">
        <v>1</v>
      </c>
      <c r="G87" s="180">
        <v>1</v>
      </c>
      <c r="H87" s="180"/>
      <c r="I87" s="180"/>
      <c r="J87" s="180"/>
      <c r="K87" s="180"/>
      <c r="L87" s="180">
        <v>4</v>
      </c>
      <c r="M87" s="182">
        <v>134</v>
      </c>
      <c r="N87" s="182">
        <v>12</v>
      </c>
      <c r="O87" s="182">
        <v>0</v>
      </c>
      <c r="P87" s="182">
        <v>13</v>
      </c>
      <c r="Q87" s="182">
        <v>87</v>
      </c>
      <c r="R87" s="182">
        <v>84</v>
      </c>
      <c r="S87" s="182">
        <v>0</v>
      </c>
      <c r="T87" s="182"/>
      <c r="U87" s="182">
        <v>0</v>
      </c>
      <c r="V87" s="182">
        <v>0</v>
      </c>
      <c r="W87" s="182">
        <v>0</v>
      </c>
      <c r="X87" s="182">
        <v>0</v>
      </c>
      <c r="Y87" s="182">
        <v>0</v>
      </c>
      <c r="Z87" s="182">
        <v>0</v>
      </c>
      <c r="AA87" s="182"/>
      <c r="AB87" s="183">
        <f t="shared" si="14"/>
        <v>196</v>
      </c>
      <c r="AC87" s="182"/>
      <c r="AD87" s="182">
        <v>12</v>
      </c>
      <c r="AE87" s="182"/>
      <c r="AF87" s="182">
        <v>10</v>
      </c>
      <c r="AG87" s="182">
        <v>20</v>
      </c>
      <c r="AH87" s="182">
        <v>22</v>
      </c>
      <c r="AI87" s="182"/>
      <c r="AJ87" s="182">
        <v>7</v>
      </c>
      <c r="AK87" s="182">
        <v>1</v>
      </c>
      <c r="AL87" s="182"/>
      <c r="AM87" s="182"/>
      <c r="AN87" s="182"/>
      <c r="AO87" s="182"/>
      <c r="AP87" s="182"/>
      <c r="AQ87" s="182"/>
      <c r="AR87" s="149">
        <f t="shared" si="10"/>
        <v>64000</v>
      </c>
      <c r="AS87" s="150">
        <f t="shared" si="11"/>
        <v>6</v>
      </c>
      <c r="AT87" s="150">
        <f t="shared" si="15"/>
        <v>2560</v>
      </c>
      <c r="AU87" s="183">
        <f t="shared" si="16"/>
        <v>196</v>
      </c>
      <c r="AV87" s="183">
        <v>25</v>
      </c>
      <c r="AW87" s="135">
        <f t="shared" si="17"/>
        <v>0.12755102040816327</v>
      </c>
      <c r="AX87" s="194">
        <v>56</v>
      </c>
      <c r="AY87" s="136">
        <f t="shared" si="12"/>
        <v>0.30864197530864196</v>
      </c>
      <c r="AZ87" s="195">
        <v>1.25</v>
      </c>
      <c r="BA87" s="195">
        <v>1</v>
      </c>
      <c r="BB87" s="181">
        <v>72000</v>
      </c>
      <c r="BC87" s="138">
        <v>4842811</v>
      </c>
    </row>
    <row r="88" spans="1:55" ht="21">
      <c r="A88">
        <v>4</v>
      </c>
      <c r="B88" s="121" t="s">
        <v>70</v>
      </c>
      <c r="C88" s="140" t="s">
        <v>76</v>
      </c>
      <c r="D88" s="180">
        <v>1</v>
      </c>
      <c r="E88" s="180"/>
      <c r="F88" s="180">
        <v>1</v>
      </c>
      <c r="G88" s="180">
        <v>1</v>
      </c>
      <c r="H88" s="180">
        <v>1</v>
      </c>
      <c r="I88" s="180"/>
      <c r="J88" s="180"/>
      <c r="K88" s="180"/>
      <c r="L88" s="180">
        <v>4</v>
      </c>
      <c r="M88" s="182">
        <v>35</v>
      </c>
      <c r="N88" s="182">
        <v>92</v>
      </c>
      <c r="O88" s="182">
        <v>0</v>
      </c>
      <c r="P88" s="182">
        <v>17</v>
      </c>
      <c r="Q88" s="182">
        <v>78</v>
      </c>
      <c r="R88" s="182">
        <v>0</v>
      </c>
      <c r="S88" s="182">
        <v>0</v>
      </c>
      <c r="T88" s="182">
        <v>0</v>
      </c>
      <c r="U88" s="182">
        <v>0</v>
      </c>
      <c r="V88" s="182">
        <v>0</v>
      </c>
      <c r="W88" s="182">
        <v>0</v>
      </c>
      <c r="X88" s="182">
        <v>0</v>
      </c>
      <c r="Y88" s="182">
        <v>0</v>
      </c>
      <c r="Z88" s="182"/>
      <c r="AA88" s="182"/>
      <c r="AB88" s="183">
        <f t="shared" si="14"/>
        <v>187</v>
      </c>
      <c r="AC88" s="183"/>
      <c r="AD88" s="183">
        <v>50</v>
      </c>
      <c r="AE88" s="183"/>
      <c r="AF88" s="183">
        <v>4</v>
      </c>
      <c r="AG88" s="183">
        <v>15</v>
      </c>
      <c r="AH88" s="183"/>
      <c r="AI88" s="183"/>
      <c r="AJ88" s="183"/>
      <c r="AK88" s="183"/>
      <c r="AL88" s="183"/>
      <c r="AM88" s="183"/>
      <c r="AN88" s="183"/>
      <c r="AO88" s="183"/>
      <c r="AP88" s="183"/>
      <c r="AQ88" s="183"/>
      <c r="AR88" s="149">
        <f t="shared" si="10"/>
        <v>69000</v>
      </c>
      <c r="AS88" s="150">
        <f t="shared" si="11"/>
        <v>3</v>
      </c>
      <c r="AT88" s="150">
        <f t="shared" si="15"/>
        <v>5750</v>
      </c>
      <c r="AU88" s="183">
        <f t="shared" si="16"/>
        <v>187</v>
      </c>
      <c r="AV88" s="183">
        <v>12</v>
      </c>
      <c r="AW88" s="135">
        <f t="shared" si="17"/>
        <v>6.4171122994652413E-2</v>
      </c>
      <c r="AX88" s="194">
        <v>35</v>
      </c>
      <c r="AY88" s="136">
        <f t="shared" si="12"/>
        <v>0.25531914893617019</v>
      </c>
      <c r="AZ88" s="195">
        <v>1.1599999999999999</v>
      </c>
      <c r="BA88" s="195">
        <v>1</v>
      </c>
      <c r="BB88" s="181">
        <v>69000</v>
      </c>
      <c r="BC88" s="138">
        <v>7200042</v>
      </c>
    </row>
    <row r="89" spans="1:55" ht="21">
      <c r="A89">
        <v>4</v>
      </c>
      <c r="B89" s="121" t="s">
        <v>21</v>
      </c>
      <c r="C89" s="140" t="s">
        <v>27</v>
      </c>
      <c r="D89" s="180">
        <v>2</v>
      </c>
      <c r="E89" s="180">
        <v>1</v>
      </c>
      <c r="F89" s="180">
        <v>2</v>
      </c>
      <c r="G89" s="180"/>
      <c r="H89" s="180">
        <v>1</v>
      </c>
      <c r="I89" s="180"/>
      <c r="J89" s="180"/>
      <c r="K89" s="180"/>
      <c r="L89" s="180">
        <v>6</v>
      </c>
      <c r="M89" s="182">
        <v>42</v>
      </c>
      <c r="N89" s="182">
        <v>0</v>
      </c>
      <c r="O89" s="182">
        <v>0</v>
      </c>
      <c r="P89" s="182">
        <v>79</v>
      </c>
      <c r="Q89" s="182">
        <v>3</v>
      </c>
      <c r="R89" s="182">
        <v>0</v>
      </c>
      <c r="S89" s="182">
        <v>9</v>
      </c>
      <c r="T89" s="182">
        <v>0</v>
      </c>
      <c r="U89" s="182">
        <v>0</v>
      </c>
      <c r="V89" s="182">
        <v>0</v>
      </c>
      <c r="W89" s="182">
        <v>0</v>
      </c>
      <c r="X89" s="182">
        <v>0</v>
      </c>
      <c r="Y89" s="182">
        <v>0</v>
      </c>
      <c r="Z89" s="182">
        <v>0</v>
      </c>
      <c r="AA89" s="182">
        <v>0</v>
      </c>
      <c r="AB89" s="183">
        <f t="shared" si="14"/>
        <v>91</v>
      </c>
      <c r="AC89" s="182"/>
      <c r="AD89" s="182">
        <v>26.7</v>
      </c>
      <c r="AE89" s="182"/>
      <c r="AF89" s="182">
        <v>27</v>
      </c>
      <c r="AG89" s="182">
        <v>3</v>
      </c>
      <c r="AH89" s="182"/>
      <c r="AI89" s="182">
        <v>3</v>
      </c>
      <c r="AJ89" s="182"/>
      <c r="AK89" s="182"/>
      <c r="AL89" s="182"/>
      <c r="AM89" s="182"/>
      <c r="AN89" s="182"/>
      <c r="AO89" s="182"/>
      <c r="AP89" s="182"/>
      <c r="AQ89" s="182"/>
      <c r="AR89" s="149">
        <f t="shared" si="10"/>
        <v>59700</v>
      </c>
      <c r="AS89" s="150">
        <f t="shared" si="11"/>
        <v>4</v>
      </c>
      <c r="AT89" s="150">
        <f t="shared" si="15"/>
        <v>11940</v>
      </c>
      <c r="AU89" s="183">
        <f t="shared" si="16"/>
        <v>91</v>
      </c>
      <c r="AV89" s="183">
        <v>5</v>
      </c>
      <c r="AW89" s="135">
        <f t="shared" si="17"/>
        <v>5.4945054945054944E-2</v>
      </c>
      <c r="AX89" s="194">
        <v>50</v>
      </c>
      <c r="AY89" s="136">
        <f t="shared" si="12"/>
        <v>9.0909090909090912E-2</v>
      </c>
      <c r="AZ89" s="195">
        <v>1.04</v>
      </c>
      <c r="BA89" s="195">
        <v>1</v>
      </c>
      <c r="BB89" s="181">
        <v>59700</v>
      </c>
      <c r="BC89" s="138">
        <v>1506426</v>
      </c>
    </row>
    <row r="90" spans="1:55" ht="21">
      <c r="A90">
        <v>4</v>
      </c>
      <c r="B90" s="121" t="s">
        <v>70</v>
      </c>
      <c r="C90" s="140" t="s">
        <v>73</v>
      </c>
      <c r="D90" s="180">
        <v>1</v>
      </c>
      <c r="E90" s="180"/>
      <c r="F90" s="180">
        <v>1</v>
      </c>
      <c r="G90" s="180">
        <v>2</v>
      </c>
      <c r="H90" s="180">
        <v>1</v>
      </c>
      <c r="I90" s="180"/>
      <c r="J90" s="180"/>
      <c r="K90" s="180"/>
      <c r="L90" s="180">
        <v>5</v>
      </c>
      <c r="M90" s="182"/>
      <c r="N90" s="182">
        <v>9</v>
      </c>
      <c r="O90" s="182">
        <v>0</v>
      </c>
      <c r="P90" s="182">
        <v>29</v>
      </c>
      <c r="Q90" s="182">
        <v>40</v>
      </c>
      <c r="R90" s="182">
        <v>0</v>
      </c>
      <c r="S90" s="182">
        <v>6</v>
      </c>
      <c r="T90" s="182">
        <v>0</v>
      </c>
      <c r="U90" s="182">
        <v>0</v>
      </c>
      <c r="V90" s="182">
        <v>0</v>
      </c>
      <c r="W90" s="182">
        <v>0</v>
      </c>
      <c r="X90" s="182">
        <v>0</v>
      </c>
      <c r="Y90" s="182">
        <v>0</v>
      </c>
      <c r="Z90" s="182"/>
      <c r="AA90" s="182"/>
      <c r="AB90" s="183">
        <f t="shared" si="14"/>
        <v>84</v>
      </c>
      <c r="AC90" s="183"/>
      <c r="AD90" s="183">
        <v>20</v>
      </c>
      <c r="AE90" s="183" t="s">
        <v>211</v>
      </c>
      <c r="AF90" s="183">
        <v>14</v>
      </c>
      <c r="AG90" s="183">
        <v>24</v>
      </c>
      <c r="AH90" s="183">
        <v>2</v>
      </c>
      <c r="AI90" s="183">
        <v>3</v>
      </c>
      <c r="AJ90" s="183"/>
      <c r="AK90" s="183"/>
      <c r="AL90" s="183"/>
      <c r="AM90" s="183"/>
      <c r="AN90" s="183"/>
      <c r="AO90" s="183"/>
      <c r="AP90" s="183"/>
      <c r="AQ90" s="183"/>
      <c r="AR90" s="149">
        <f t="shared" si="10"/>
        <v>63000</v>
      </c>
      <c r="AS90" s="150">
        <f t="shared" si="11"/>
        <v>5</v>
      </c>
      <c r="AT90" s="150">
        <f t="shared" si="15"/>
        <v>2100</v>
      </c>
      <c r="AU90" s="183">
        <f t="shared" si="16"/>
        <v>84</v>
      </c>
      <c r="AV90" s="183">
        <v>30</v>
      </c>
      <c r="AW90" s="135">
        <f t="shared" si="17"/>
        <v>0.35714285714285715</v>
      </c>
      <c r="AX90" s="194">
        <v>44</v>
      </c>
      <c r="AY90" s="136">
        <f t="shared" si="12"/>
        <v>0.40540540540540543</v>
      </c>
      <c r="AZ90" s="195">
        <v>0.96</v>
      </c>
      <c r="BA90" s="195">
        <v>0.75</v>
      </c>
      <c r="BB90" s="181">
        <v>63000</v>
      </c>
      <c r="BC90" s="138">
        <v>6121941</v>
      </c>
    </row>
    <row r="91" spans="1:55" ht="21">
      <c r="A91">
        <v>4</v>
      </c>
      <c r="B91" s="121" t="s">
        <v>21</v>
      </c>
      <c r="C91" s="140" t="s">
        <v>30</v>
      </c>
      <c r="D91" s="180">
        <v>1</v>
      </c>
      <c r="E91" s="180"/>
      <c r="F91" s="180"/>
      <c r="G91" s="180">
        <v>1</v>
      </c>
      <c r="H91" s="180"/>
      <c r="I91" s="180"/>
      <c r="J91" s="180"/>
      <c r="K91" s="180"/>
      <c r="L91" s="180">
        <v>2</v>
      </c>
      <c r="M91" s="182">
        <v>94</v>
      </c>
      <c r="N91" s="182">
        <v>16</v>
      </c>
      <c r="O91" s="182">
        <v>0</v>
      </c>
      <c r="P91" s="182">
        <v>15</v>
      </c>
      <c r="Q91" s="182">
        <v>22</v>
      </c>
      <c r="R91" s="182">
        <v>0</v>
      </c>
      <c r="S91" s="182">
        <v>0</v>
      </c>
      <c r="T91" s="182">
        <v>0</v>
      </c>
      <c r="U91" s="182"/>
      <c r="V91" s="182"/>
      <c r="W91" s="182"/>
      <c r="X91" s="182"/>
      <c r="Y91" s="182"/>
      <c r="Z91" s="182"/>
      <c r="AA91" s="182"/>
      <c r="AB91" s="183">
        <f t="shared" si="14"/>
        <v>53</v>
      </c>
      <c r="AC91" s="200"/>
      <c r="AD91" s="200">
        <v>10</v>
      </c>
      <c r="AE91" s="182">
        <v>5</v>
      </c>
      <c r="AF91" s="182">
        <v>15</v>
      </c>
      <c r="AG91" s="182">
        <v>7</v>
      </c>
      <c r="AH91" s="182"/>
      <c r="AI91" s="182"/>
      <c r="AJ91" s="182">
        <v>1</v>
      </c>
      <c r="AK91" s="200"/>
      <c r="AL91" s="200"/>
      <c r="AM91" s="200"/>
      <c r="AN91" s="182"/>
      <c r="AO91" s="182"/>
      <c r="AP91" s="182"/>
      <c r="AQ91" s="182"/>
      <c r="AR91" s="149">
        <f t="shared" si="10"/>
        <v>37000</v>
      </c>
      <c r="AS91" s="150">
        <f t="shared" si="11"/>
        <v>5</v>
      </c>
      <c r="AT91" s="150">
        <f t="shared" si="15"/>
        <v>4625</v>
      </c>
      <c r="AU91" s="183">
        <f t="shared" si="16"/>
        <v>53</v>
      </c>
      <c r="AV91" s="183">
        <v>8</v>
      </c>
      <c r="AW91" s="135">
        <f t="shared" si="17"/>
        <v>0.15094339622641509</v>
      </c>
      <c r="AX91" s="194">
        <v>84</v>
      </c>
      <c r="AY91" s="136">
        <f t="shared" si="12"/>
        <v>8.6956521739130432E-2</v>
      </c>
      <c r="AZ91" s="195">
        <v>0.61</v>
      </c>
      <c r="BA91" s="195">
        <v>0</v>
      </c>
      <c r="BB91" s="181">
        <v>38000</v>
      </c>
      <c r="BC91" s="138">
        <v>0</v>
      </c>
    </row>
    <row r="92" spans="1:55" ht="21">
      <c r="A92">
        <v>4</v>
      </c>
      <c r="B92" s="121" t="s">
        <v>70</v>
      </c>
      <c r="C92" s="140" t="s">
        <v>85</v>
      </c>
      <c r="D92" s="180">
        <v>1</v>
      </c>
      <c r="E92" s="180"/>
      <c r="F92" s="180">
        <v>1</v>
      </c>
      <c r="G92" s="180"/>
      <c r="H92" s="180">
        <v>1</v>
      </c>
      <c r="I92" s="180"/>
      <c r="J92" s="180">
        <v>1</v>
      </c>
      <c r="K92" s="180"/>
      <c r="L92" s="180">
        <v>4</v>
      </c>
      <c r="M92" s="182">
        <v>36</v>
      </c>
      <c r="N92" s="182">
        <v>0</v>
      </c>
      <c r="O92" s="182">
        <v>10</v>
      </c>
      <c r="P92" s="182">
        <v>14</v>
      </c>
      <c r="Q92" s="182">
        <v>38</v>
      </c>
      <c r="R92" s="182">
        <v>0</v>
      </c>
      <c r="S92" s="182">
        <v>0</v>
      </c>
      <c r="T92" s="182">
        <v>0</v>
      </c>
      <c r="U92" s="182">
        <v>0</v>
      </c>
      <c r="V92" s="182">
        <v>0</v>
      </c>
      <c r="W92" s="182">
        <v>0</v>
      </c>
      <c r="X92" s="182">
        <v>0</v>
      </c>
      <c r="Y92" s="182">
        <v>20</v>
      </c>
      <c r="Z92" s="182"/>
      <c r="AA92" s="182"/>
      <c r="AB92" s="183">
        <f t="shared" si="14"/>
        <v>82</v>
      </c>
      <c r="AC92" s="183"/>
      <c r="AD92" s="183"/>
      <c r="AE92" s="183">
        <v>2</v>
      </c>
      <c r="AF92" s="183">
        <v>4</v>
      </c>
      <c r="AG92" s="183">
        <v>11</v>
      </c>
      <c r="AH92" s="183"/>
      <c r="AI92" s="183"/>
      <c r="AJ92" s="183"/>
      <c r="AK92" s="183"/>
      <c r="AL92" s="183"/>
      <c r="AM92" s="183"/>
      <c r="AN92" s="183"/>
      <c r="AO92" s="183"/>
      <c r="AP92" s="183"/>
      <c r="AQ92" s="183"/>
      <c r="AR92" s="149">
        <f t="shared" si="10"/>
        <v>17000</v>
      </c>
      <c r="AS92" s="150">
        <f t="shared" si="11"/>
        <v>3</v>
      </c>
      <c r="AT92" s="150">
        <f t="shared" si="15"/>
        <v>2833.3333333333335</v>
      </c>
      <c r="AU92" s="183">
        <f t="shared" si="16"/>
        <v>82</v>
      </c>
      <c r="AV92" s="183">
        <v>6</v>
      </c>
      <c r="AW92" s="135">
        <f t="shared" si="17"/>
        <v>7.3170731707317069E-2</v>
      </c>
      <c r="AX92" s="194">
        <v>60</v>
      </c>
      <c r="AY92" s="136">
        <f t="shared" si="12"/>
        <v>9.0909090909090912E-2</v>
      </c>
      <c r="AZ92" s="195">
        <v>1.36</v>
      </c>
      <c r="BA92" s="195">
        <v>1</v>
      </c>
      <c r="BB92" s="181">
        <v>17000</v>
      </c>
      <c r="BC92" s="138">
        <v>9063119</v>
      </c>
    </row>
    <row r="93" spans="1:55" ht="21">
      <c r="A93">
        <v>4</v>
      </c>
      <c r="B93" s="121" t="s">
        <v>21</v>
      </c>
      <c r="C93" s="140" t="s">
        <v>45</v>
      </c>
      <c r="D93" s="180">
        <v>4</v>
      </c>
      <c r="E93" s="180">
        <v>2</v>
      </c>
      <c r="F93" s="180"/>
      <c r="G93" s="180"/>
      <c r="H93" s="180"/>
      <c r="I93" s="180"/>
      <c r="J93" s="180"/>
      <c r="K93" s="180">
        <v>1</v>
      </c>
      <c r="L93" s="180">
        <v>7</v>
      </c>
      <c r="M93" s="182">
        <v>74</v>
      </c>
      <c r="N93" s="182"/>
      <c r="O93" s="182">
        <v>0</v>
      </c>
      <c r="P93" s="182">
        <v>0</v>
      </c>
      <c r="Q93" s="182">
        <v>81</v>
      </c>
      <c r="R93" s="182">
        <v>8</v>
      </c>
      <c r="S93" s="182">
        <v>0</v>
      </c>
      <c r="T93" s="182">
        <v>0</v>
      </c>
      <c r="U93" s="182">
        <v>0</v>
      </c>
      <c r="V93" s="182">
        <v>0</v>
      </c>
      <c r="W93" s="182">
        <v>0</v>
      </c>
      <c r="X93" s="182">
        <v>0</v>
      </c>
      <c r="Y93" s="182">
        <v>0</v>
      </c>
      <c r="Z93" s="182">
        <v>0</v>
      </c>
      <c r="AA93" s="182"/>
      <c r="AB93" s="183">
        <f t="shared" si="14"/>
        <v>89</v>
      </c>
      <c r="AC93" s="182"/>
      <c r="AD93" s="182"/>
      <c r="AE93" s="182"/>
      <c r="AF93" s="182">
        <v>23</v>
      </c>
      <c r="AG93" s="182">
        <v>40</v>
      </c>
      <c r="AH93" s="182">
        <v>50</v>
      </c>
      <c r="AI93" s="182"/>
      <c r="AJ93" s="182"/>
      <c r="AK93" s="182">
        <v>5</v>
      </c>
      <c r="AL93" s="182"/>
      <c r="AM93" s="182"/>
      <c r="AN93" s="182"/>
      <c r="AO93" s="182"/>
      <c r="AP93" s="182"/>
      <c r="AQ93" s="182"/>
      <c r="AR93" s="149">
        <f t="shared" si="10"/>
        <v>113000</v>
      </c>
      <c r="AS93" s="150">
        <f t="shared" si="11"/>
        <v>4</v>
      </c>
      <c r="AT93" s="150">
        <f t="shared" si="15"/>
        <v>56500</v>
      </c>
      <c r="AU93" s="183">
        <f t="shared" si="16"/>
        <v>89</v>
      </c>
      <c r="AV93" s="183">
        <v>2</v>
      </c>
      <c r="AW93" s="135">
        <f t="shared" si="17"/>
        <v>2.247191011235955E-2</v>
      </c>
      <c r="AX93" s="194">
        <v>225</v>
      </c>
      <c r="AY93" s="136">
        <f t="shared" si="12"/>
        <v>8.8105726872246704E-3</v>
      </c>
      <c r="AZ93" s="195">
        <v>0.96</v>
      </c>
      <c r="BA93" s="195">
        <v>0.75</v>
      </c>
      <c r="BB93" s="181">
        <v>118000</v>
      </c>
      <c r="BC93" s="138">
        <v>10348650</v>
      </c>
    </row>
    <row r="94" spans="1:55" ht="21">
      <c r="A94">
        <v>4</v>
      </c>
      <c r="B94" s="121" t="s">
        <v>21</v>
      </c>
      <c r="C94" s="140" t="s">
        <v>20</v>
      </c>
      <c r="D94" s="180">
        <v>1</v>
      </c>
      <c r="E94" s="180">
        <v>1</v>
      </c>
      <c r="F94" s="180">
        <v>1</v>
      </c>
      <c r="G94" s="180">
        <v>1</v>
      </c>
      <c r="H94" s="180">
        <v>1</v>
      </c>
      <c r="I94" s="180"/>
      <c r="J94" s="180"/>
      <c r="K94" s="180"/>
      <c r="L94" s="180">
        <v>5</v>
      </c>
      <c r="M94" s="182">
        <v>88</v>
      </c>
      <c r="N94" s="182">
        <v>0</v>
      </c>
      <c r="O94" s="182">
        <v>0</v>
      </c>
      <c r="P94" s="182">
        <v>59</v>
      </c>
      <c r="Q94" s="182">
        <v>32</v>
      </c>
      <c r="R94" s="182">
        <v>1</v>
      </c>
      <c r="S94" s="182">
        <v>11</v>
      </c>
      <c r="T94" s="182">
        <v>0</v>
      </c>
      <c r="U94" s="182">
        <v>0</v>
      </c>
      <c r="V94" s="182">
        <v>0</v>
      </c>
      <c r="W94" s="182">
        <v>0</v>
      </c>
      <c r="X94" s="182">
        <v>0</v>
      </c>
      <c r="Y94" s="182">
        <v>0</v>
      </c>
      <c r="Z94" s="182">
        <v>0</v>
      </c>
      <c r="AA94" s="201">
        <v>59</v>
      </c>
      <c r="AB94" s="183">
        <f t="shared" si="14"/>
        <v>162</v>
      </c>
      <c r="AC94" s="182"/>
      <c r="AD94" s="182">
        <v>52</v>
      </c>
      <c r="AE94" s="182">
        <v>24</v>
      </c>
      <c r="AF94" s="182">
        <v>50</v>
      </c>
      <c r="AG94" s="182">
        <v>24</v>
      </c>
      <c r="AH94" s="182">
        <v>10</v>
      </c>
      <c r="AI94" s="182"/>
      <c r="AJ94" s="182">
        <v>3</v>
      </c>
      <c r="AK94" s="182">
        <v>3</v>
      </c>
      <c r="AL94" s="182"/>
      <c r="AM94" s="182"/>
      <c r="AN94" s="182">
        <v>5</v>
      </c>
      <c r="AO94" s="182"/>
      <c r="AP94" s="182"/>
      <c r="AQ94" s="182">
        <v>32</v>
      </c>
      <c r="AR94" s="149">
        <f t="shared" si="10"/>
        <v>192000</v>
      </c>
      <c r="AS94" s="150">
        <f t="shared" si="11"/>
        <v>9</v>
      </c>
      <c r="AT94" s="150">
        <f t="shared" si="15"/>
        <v>12000</v>
      </c>
      <c r="AU94" s="183">
        <f t="shared" si="16"/>
        <v>162</v>
      </c>
      <c r="AV94" s="183">
        <v>16</v>
      </c>
      <c r="AW94" s="135">
        <f t="shared" si="17"/>
        <v>9.8765432098765427E-2</v>
      </c>
      <c r="AX94" s="194">
        <v>169</v>
      </c>
      <c r="AY94" s="136">
        <f t="shared" si="12"/>
        <v>8.6486486486486491E-2</v>
      </c>
      <c r="AZ94" s="195">
        <v>1.32</v>
      </c>
      <c r="BA94" s="195">
        <v>1</v>
      </c>
      <c r="BB94" s="181">
        <v>203000</v>
      </c>
      <c r="BC94" s="138">
        <v>10219185</v>
      </c>
    </row>
    <row r="95" spans="1:55" ht="21">
      <c r="A95">
        <v>4</v>
      </c>
      <c r="B95" s="121" t="s">
        <v>139</v>
      </c>
      <c r="C95" s="140" t="s">
        <v>54</v>
      </c>
      <c r="D95" s="180">
        <v>1</v>
      </c>
      <c r="E95" s="180">
        <v>1</v>
      </c>
      <c r="F95" s="180">
        <v>2</v>
      </c>
      <c r="G95" s="180"/>
      <c r="H95" s="180">
        <v>2</v>
      </c>
      <c r="I95" s="180"/>
      <c r="J95" s="180">
        <v>1</v>
      </c>
      <c r="K95" s="180"/>
      <c r="L95" s="180">
        <v>7</v>
      </c>
      <c r="M95" s="198"/>
      <c r="N95" s="198"/>
      <c r="O95" s="198"/>
      <c r="P95" s="198">
        <v>40</v>
      </c>
      <c r="Q95" s="198">
        <v>83</v>
      </c>
      <c r="R95" s="198"/>
      <c r="S95" s="198">
        <v>15</v>
      </c>
      <c r="T95" s="198"/>
      <c r="U95" s="198"/>
      <c r="V95" s="198"/>
      <c r="W95" s="198"/>
      <c r="X95" s="198"/>
      <c r="Y95" s="198"/>
      <c r="Z95" s="198"/>
      <c r="AA95" s="198"/>
      <c r="AB95" s="183">
        <f t="shared" si="14"/>
        <v>138</v>
      </c>
      <c r="AC95" s="198"/>
      <c r="AD95" s="198">
        <v>42</v>
      </c>
      <c r="AE95" s="198"/>
      <c r="AF95" s="198">
        <v>12</v>
      </c>
      <c r="AG95" s="198">
        <v>16</v>
      </c>
      <c r="AH95" s="198"/>
      <c r="AI95" s="198">
        <v>9</v>
      </c>
      <c r="AJ95" s="198">
        <v>3</v>
      </c>
      <c r="AK95" s="198"/>
      <c r="AL95" s="198">
        <v>3</v>
      </c>
      <c r="AM95" s="198"/>
      <c r="AN95" s="198"/>
      <c r="AO95" s="198"/>
      <c r="AP95" s="198"/>
      <c r="AQ95" s="198"/>
      <c r="AR95" s="149">
        <f t="shared" si="10"/>
        <v>79000</v>
      </c>
      <c r="AS95" s="150">
        <f t="shared" si="11"/>
        <v>6</v>
      </c>
      <c r="AT95" s="150">
        <f t="shared" si="15"/>
        <v>4388.8888888888887</v>
      </c>
      <c r="AU95" s="183">
        <f t="shared" si="16"/>
        <v>138</v>
      </c>
      <c r="AV95" s="183">
        <v>18</v>
      </c>
      <c r="AW95" s="135">
        <f t="shared" si="17"/>
        <v>0.13043478260869565</v>
      </c>
      <c r="AX95" s="194">
        <v>183</v>
      </c>
      <c r="AY95" s="136">
        <f t="shared" si="12"/>
        <v>8.9552238805970144E-2</v>
      </c>
      <c r="AZ95" s="195">
        <v>1.06</v>
      </c>
      <c r="BA95" s="195">
        <v>1</v>
      </c>
      <c r="BB95" s="181">
        <v>85000</v>
      </c>
      <c r="BC95" s="138">
        <v>32805716</v>
      </c>
    </row>
    <row r="96" spans="1:55" ht="21">
      <c r="A96">
        <v>4</v>
      </c>
      <c r="B96" s="121" t="s">
        <v>70</v>
      </c>
      <c r="C96" s="140" t="s">
        <v>86</v>
      </c>
      <c r="D96" s="180">
        <v>1</v>
      </c>
      <c r="E96" s="180">
        <v>1</v>
      </c>
      <c r="F96" s="180">
        <v>2</v>
      </c>
      <c r="G96" s="180"/>
      <c r="H96" s="180">
        <v>1</v>
      </c>
      <c r="I96" s="180">
        <v>1</v>
      </c>
      <c r="J96" s="180"/>
      <c r="K96" s="180"/>
      <c r="L96" s="180">
        <v>6</v>
      </c>
      <c r="M96" s="182">
        <v>74</v>
      </c>
      <c r="N96" s="182">
        <v>0</v>
      </c>
      <c r="O96" s="182">
        <v>0</v>
      </c>
      <c r="P96" s="182">
        <v>19</v>
      </c>
      <c r="Q96" s="182">
        <v>84</v>
      </c>
      <c r="R96" s="182">
        <v>0</v>
      </c>
      <c r="S96" s="182">
        <v>27</v>
      </c>
      <c r="T96" s="182">
        <v>0</v>
      </c>
      <c r="U96" s="182">
        <v>0</v>
      </c>
      <c r="V96" s="182">
        <v>0</v>
      </c>
      <c r="W96" s="182">
        <v>0</v>
      </c>
      <c r="X96" s="182">
        <v>0</v>
      </c>
      <c r="Y96" s="182"/>
      <c r="Z96" s="182"/>
      <c r="AA96" s="182"/>
      <c r="AB96" s="183">
        <f t="shared" si="14"/>
        <v>130</v>
      </c>
      <c r="AC96" s="183"/>
      <c r="AD96" s="183"/>
      <c r="AE96" s="183">
        <v>2</v>
      </c>
      <c r="AF96" s="183">
        <v>15</v>
      </c>
      <c r="AG96" s="183">
        <v>11</v>
      </c>
      <c r="AH96" s="183">
        <v>3</v>
      </c>
      <c r="AI96" s="183"/>
      <c r="AJ96" s="183"/>
      <c r="AK96" s="183"/>
      <c r="AL96" s="183"/>
      <c r="AM96" s="183"/>
      <c r="AN96" s="183"/>
      <c r="AO96" s="183"/>
      <c r="AP96" s="183"/>
      <c r="AQ96" s="183"/>
      <c r="AR96" s="149">
        <f t="shared" si="10"/>
        <v>31000</v>
      </c>
      <c r="AS96" s="150">
        <f t="shared" si="11"/>
        <v>4</v>
      </c>
      <c r="AT96" s="150">
        <f t="shared" si="15"/>
        <v>3444.4444444444443</v>
      </c>
      <c r="AU96" s="183">
        <f t="shared" si="16"/>
        <v>130</v>
      </c>
      <c r="AV96" s="183">
        <v>9</v>
      </c>
      <c r="AW96" s="135">
        <f t="shared" si="17"/>
        <v>6.9230769230769235E-2</v>
      </c>
      <c r="AX96" s="194">
        <v>87</v>
      </c>
      <c r="AY96" s="136">
        <f t="shared" si="12"/>
        <v>9.375E-2</v>
      </c>
      <c r="AZ96" s="195">
        <v>1.44</v>
      </c>
      <c r="BA96" s="195">
        <v>1</v>
      </c>
      <c r="BB96" s="181">
        <v>31000</v>
      </c>
      <c r="BC96" s="138">
        <v>8411181</v>
      </c>
    </row>
    <row r="97" spans="1:55" ht="21">
      <c r="A97">
        <v>4</v>
      </c>
      <c r="B97" s="121" t="s">
        <v>139</v>
      </c>
      <c r="C97" s="140" t="s">
        <v>50</v>
      </c>
      <c r="D97" s="180">
        <v>1</v>
      </c>
      <c r="E97" s="180"/>
      <c r="F97" s="180">
        <v>1</v>
      </c>
      <c r="G97" s="180">
        <v>1</v>
      </c>
      <c r="H97" s="180"/>
      <c r="I97" s="180"/>
      <c r="J97" s="180">
        <v>1</v>
      </c>
      <c r="K97" s="180"/>
      <c r="L97" s="180">
        <v>4</v>
      </c>
      <c r="M97" s="202">
        <v>22</v>
      </c>
      <c r="N97" s="202">
        <v>30</v>
      </c>
      <c r="O97" s="202"/>
      <c r="P97" s="202">
        <v>16</v>
      </c>
      <c r="Q97" s="202">
        <v>20</v>
      </c>
      <c r="R97" s="202"/>
      <c r="S97" s="202">
        <v>18</v>
      </c>
      <c r="T97" s="202"/>
      <c r="U97" s="202"/>
      <c r="V97" s="202"/>
      <c r="W97" s="202"/>
      <c r="X97" s="202"/>
      <c r="Y97" s="202"/>
      <c r="Z97" s="202"/>
      <c r="AA97" s="202"/>
      <c r="AB97" s="183">
        <f t="shared" si="14"/>
        <v>84</v>
      </c>
      <c r="AC97" s="202"/>
      <c r="AD97" s="202">
        <v>20</v>
      </c>
      <c r="AE97" s="202"/>
      <c r="AF97" s="202">
        <v>9</v>
      </c>
      <c r="AG97" s="202">
        <v>8</v>
      </c>
      <c r="AH97" s="202"/>
      <c r="AI97" s="202">
        <v>9</v>
      </c>
      <c r="AJ97" s="202">
        <v>2</v>
      </c>
      <c r="AK97" s="202"/>
      <c r="AL97" s="202">
        <v>5</v>
      </c>
      <c r="AM97" s="202"/>
      <c r="AN97" s="202"/>
      <c r="AO97" s="202"/>
      <c r="AP97" s="202"/>
      <c r="AQ97" s="202"/>
      <c r="AR97" s="149">
        <f t="shared" si="10"/>
        <v>46000</v>
      </c>
      <c r="AS97" s="150">
        <f t="shared" si="11"/>
        <v>6</v>
      </c>
      <c r="AT97" s="150">
        <f t="shared" si="15"/>
        <v>1586.2068965517242</v>
      </c>
      <c r="AU97" s="183">
        <f t="shared" si="16"/>
        <v>84</v>
      </c>
      <c r="AV97" s="183">
        <v>29</v>
      </c>
      <c r="AW97" s="135">
        <f t="shared" si="17"/>
        <v>0.34523809523809523</v>
      </c>
      <c r="AX97" s="194">
        <v>56</v>
      </c>
      <c r="AY97" s="136">
        <f t="shared" si="12"/>
        <v>0.3411764705882353</v>
      </c>
      <c r="AZ97" s="195">
        <v>1.04</v>
      </c>
      <c r="BA97" s="195">
        <v>1</v>
      </c>
      <c r="BB97" s="181">
        <v>53000</v>
      </c>
      <c r="BC97" s="138">
        <v>10323796</v>
      </c>
    </row>
    <row r="98" spans="1:55" ht="21">
      <c r="A98">
        <v>4</v>
      </c>
      <c r="B98" s="121" t="s">
        <v>70</v>
      </c>
      <c r="C98" s="140" t="s">
        <v>88</v>
      </c>
      <c r="D98" s="180">
        <v>1</v>
      </c>
      <c r="E98" s="180"/>
      <c r="F98" s="180">
        <v>3</v>
      </c>
      <c r="G98" s="180">
        <v>1</v>
      </c>
      <c r="H98" s="180">
        <v>1</v>
      </c>
      <c r="I98" s="180"/>
      <c r="J98" s="180">
        <v>2</v>
      </c>
      <c r="K98" s="180"/>
      <c r="L98" s="180">
        <v>8</v>
      </c>
      <c r="M98" s="182">
        <v>20</v>
      </c>
      <c r="N98" s="182">
        <v>0</v>
      </c>
      <c r="O98" s="182">
        <v>0</v>
      </c>
      <c r="P98" s="182">
        <v>35</v>
      </c>
      <c r="Q98" s="182">
        <v>32</v>
      </c>
      <c r="R98" s="182">
        <v>0</v>
      </c>
      <c r="S98" s="182">
        <v>5</v>
      </c>
      <c r="T98" s="182">
        <v>0</v>
      </c>
      <c r="U98" s="182">
        <v>0</v>
      </c>
      <c r="V98" s="182">
        <v>0</v>
      </c>
      <c r="W98" s="182">
        <v>0</v>
      </c>
      <c r="X98" s="182">
        <v>0</v>
      </c>
      <c r="Y98" s="182">
        <v>0</v>
      </c>
      <c r="Z98" s="182"/>
      <c r="AA98" s="182"/>
      <c r="AB98" s="183">
        <f t="shared" si="14"/>
        <v>72</v>
      </c>
      <c r="AC98" s="183"/>
      <c r="AD98" s="183"/>
      <c r="AE98" s="183">
        <v>5</v>
      </c>
      <c r="AF98" s="183">
        <v>10</v>
      </c>
      <c r="AG98" s="183">
        <v>17</v>
      </c>
      <c r="AH98" s="183"/>
      <c r="AI98" s="183">
        <v>3</v>
      </c>
      <c r="AJ98" s="183">
        <v>2</v>
      </c>
      <c r="AK98" s="183"/>
      <c r="AL98" s="183"/>
      <c r="AM98" s="183"/>
      <c r="AN98" s="183"/>
      <c r="AO98" s="183"/>
      <c r="AP98" s="183"/>
      <c r="AQ98" s="183"/>
      <c r="AR98" s="149">
        <f t="shared" si="10"/>
        <v>35000</v>
      </c>
      <c r="AS98" s="150">
        <f t="shared" si="11"/>
        <v>5</v>
      </c>
      <c r="AT98" s="150">
        <f t="shared" si="15"/>
        <v>7000</v>
      </c>
      <c r="AU98" s="183">
        <f t="shared" si="16"/>
        <v>72</v>
      </c>
      <c r="AV98" s="183">
        <v>5</v>
      </c>
      <c r="AW98" s="135">
        <f t="shared" si="17"/>
        <v>6.9444444444444448E-2</v>
      </c>
      <c r="AX98" s="194">
        <v>42</v>
      </c>
      <c r="AY98" s="136">
        <f t="shared" si="12"/>
        <v>0.10638297872340426</v>
      </c>
      <c r="AZ98" s="195">
        <v>1.04</v>
      </c>
      <c r="BA98" s="195">
        <v>1</v>
      </c>
      <c r="BB98" s="181">
        <v>37000</v>
      </c>
      <c r="BC98" s="138">
        <v>6450246</v>
      </c>
    </row>
    <row r="99" spans="1:55" ht="21">
      <c r="A99">
        <v>4</v>
      </c>
      <c r="B99" s="121" t="s">
        <v>21</v>
      </c>
      <c r="C99" s="140" t="s">
        <v>33</v>
      </c>
      <c r="D99" s="180"/>
      <c r="E99" s="180">
        <v>1</v>
      </c>
      <c r="F99" s="180">
        <v>1</v>
      </c>
      <c r="G99" s="180">
        <v>1</v>
      </c>
      <c r="H99" s="180">
        <v>1</v>
      </c>
      <c r="I99" s="180">
        <v>1</v>
      </c>
      <c r="J99" s="180"/>
      <c r="K99" s="180"/>
      <c r="L99" s="180">
        <v>5</v>
      </c>
      <c r="M99" s="183">
        <v>67</v>
      </c>
      <c r="N99" s="183"/>
      <c r="O99" s="182">
        <v>0</v>
      </c>
      <c r="P99" s="182">
        <v>0</v>
      </c>
      <c r="Q99" s="182">
        <v>176</v>
      </c>
      <c r="R99" s="182">
        <v>0</v>
      </c>
      <c r="S99" s="182">
        <v>0</v>
      </c>
      <c r="T99" s="182">
        <v>0</v>
      </c>
      <c r="U99" s="182">
        <v>0</v>
      </c>
      <c r="V99" s="182">
        <v>0</v>
      </c>
      <c r="W99" s="182">
        <v>0</v>
      </c>
      <c r="X99" s="182">
        <v>0</v>
      </c>
      <c r="Y99" s="182">
        <v>0</v>
      </c>
      <c r="Z99" s="182">
        <v>0</v>
      </c>
      <c r="AA99" s="183"/>
      <c r="AB99" s="183">
        <f t="shared" si="14"/>
        <v>176</v>
      </c>
      <c r="AC99" s="183"/>
      <c r="AD99" s="183"/>
      <c r="AE99" s="182"/>
      <c r="AF99" s="182"/>
      <c r="AG99" s="182">
        <v>19</v>
      </c>
      <c r="AH99" s="182">
        <v>24</v>
      </c>
      <c r="AI99" s="182"/>
      <c r="AJ99" s="182"/>
      <c r="AK99" s="182"/>
      <c r="AL99" s="182"/>
      <c r="AM99" s="182"/>
      <c r="AN99" s="182"/>
      <c r="AO99" s="182"/>
      <c r="AP99" s="182"/>
      <c r="AQ99" s="183"/>
      <c r="AR99" s="149">
        <f t="shared" si="10"/>
        <v>43000</v>
      </c>
      <c r="AS99" s="150">
        <f t="shared" si="11"/>
        <v>2</v>
      </c>
      <c r="AT99" s="150">
        <f t="shared" si="15"/>
        <v>21500</v>
      </c>
      <c r="AU99" s="183">
        <f t="shared" si="16"/>
        <v>176</v>
      </c>
      <c r="AV99" s="183">
        <v>2</v>
      </c>
      <c r="AW99" s="135"/>
      <c r="AX99" s="194">
        <v>117</v>
      </c>
      <c r="AY99" s="136">
        <f t="shared" si="12"/>
        <v>1.680672268907563E-2</v>
      </c>
      <c r="AZ99" s="195">
        <v>1.25</v>
      </c>
      <c r="BA99" s="195">
        <v>1</v>
      </c>
      <c r="BB99" s="181">
        <v>43000</v>
      </c>
      <c r="BC99" s="138">
        <v>6224500</v>
      </c>
    </row>
    <row r="100" spans="1:55" ht="21">
      <c r="A100">
        <v>4</v>
      </c>
      <c r="B100" s="121" t="s">
        <v>21</v>
      </c>
      <c r="C100" s="140" t="s">
        <v>24</v>
      </c>
      <c r="D100" s="180">
        <v>1</v>
      </c>
      <c r="E100" s="180">
        <v>1</v>
      </c>
      <c r="F100" s="180">
        <v>2</v>
      </c>
      <c r="G100" s="180"/>
      <c r="H100" s="180"/>
      <c r="I100" s="180"/>
      <c r="J100" s="180"/>
      <c r="K100" s="180"/>
      <c r="L100" s="180">
        <v>4</v>
      </c>
      <c r="M100" s="201">
        <v>16</v>
      </c>
      <c r="N100" s="201"/>
      <c r="O100" s="201">
        <v>0</v>
      </c>
      <c r="P100" s="201">
        <v>0</v>
      </c>
      <c r="Q100" s="201">
        <v>0</v>
      </c>
      <c r="R100" s="201">
        <v>159</v>
      </c>
      <c r="S100" s="201">
        <v>0</v>
      </c>
      <c r="T100" s="201">
        <v>0</v>
      </c>
      <c r="U100" s="201">
        <v>0</v>
      </c>
      <c r="V100" s="201">
        <v>0</v>
      </c>
      <c r="W100" s="201">
        <v>0</v>
      </c>
      <c r="X100" s="201">
        <v>0</v>
      </c>
      <c r="Y100" s="201">
        <v>0</v>
      </c>
      <c r="Z100" s="201">
        <v>9</v>
      </c>
      <c r="AA100" s="182"/>
      <c r="AB100" s="183">
        <f t="shared" si="14"/>
        <v>168</v>
      </c>
      <c r="AC100" s="201"/>
      <c r="AD100" s="201"/>
      <c r="AE100" s="201">
        <v>8.3689999999999998</v>
      </c>
      <c r="AF100" s="201">
        <v>7.06</v>
      </c>
      <c r="AG100" s="201"/>
      <c r="AH100" s="201">
        <v>25</v>
      </c>
      <c r="AI100" s="201"/>
      <c r="AJ100" s="201"/>
      <c r="AK100" s="201">
        <v>0.93700000000000006</v>
      </c>
      <c r="AL100" s="201"/>
      <c r="AM100" s="201"/>
      <c r="AN100" s="201">
        <v>4</v>
      </c>
      <c r="AO100" s="201"/>
      <c r="AP100" s="201"/>
      <c r="AQ100" s="182"/>
      <c r="AR100" s="149">
        <f t="shared" si="10"/>
        <v>40429</v>
      </c>
      <c r="AS100" s="150">
        <f t="shared" si="11"/>
        <v>5</v>
      </c>
      <c r="AT100" s="150">
        <f t="shared" si="15"/>
        <v>13476.333333333334</v>
      </c>
      <c r="AU100" s="183">
        <f t="shared" si="16"/>
        <v>168</v>
      </c>
      <c r="AV100" s="183">
        <v>3</v>
      </c>
      <c r="AW100" s="135">
        <f t="shared" si="17"/>
        <v>1.7857142857142856E-2</v>
      </c>
      <c r="AX100" s="194">
        <v>70</v>
      </c>
      <c r="AY100" s="136">
        <f t="shared" si="12"/>
        <v>4.1095890410958902E-2</v>
      </c>
      <c r="AZ100" s="195">
        <v>1.04</v>
      </c>
      <c r="BA100" s="195">
        <v>1</v>
      </c>
      <c r="BB100" s="181">
        <v>45366</v>
      </c>
      <c r="BC100" s="138">
        <v>1856445</v>
      </c>
    </row>
    <row r="101" spans="1:55" ht="21.6" thickBot="1">
      <c r="A101">
        <v>4</v>
      </c>
      <c r="B101" s="122" t="s">
        <v>70</v>
      </c>
      <c r="C101" s="141" t="s">
        <v>92</v>
      </c>
      <c r="D101" s="180">
        <v>1</v>
      </c>
      <c r="E101" s="180">
        <v>1</v>
      </c>
      <c r="F101" s="180"/>
      <c r="G101" s="180"/>
      <c r="H101" s="180">
        <v>2</v>
      </c>
      <c r="I101" s="180"/>
      <c r="J101" s="180"/>
      <c r="K101" s="180">
        <v>1</v>
      </c>
      <c r="L101" s="180">
        <v>5</v>
      </c>
      <c r="M101" s="182">
        <v>9</v>
      </c>
      <c r="N101" s="182">
        <v>45</v>
      </c>
      <c r="O101" s="182">
        <v>0</v>
      </c>
      <c r="P101" s="182">
        <v>36</v>
      </c>
      <c r="Q101" s="182">
        <v>50</v>
      </c>
      <c r="R101" s="182">
        <v>0</v>
      </c>
      <c r="S101" s="182">
        <v>10</v>
      </c>
      <c r="T101" s="182">
        <v>0</v>
      </c>
      <c r="U101" s="182">
        <v>0</v>
      </c>
      <c r="V101" s="182">
        <v>0</v>
      </c>
      <c r="W101" s="182">
        <v>0</v>
      </c>
      <c r="X101" s="182">
        <v>0</v>
      </c>
      <c r="Y101" s="182"/>
      <c r="Z101" s="182"/>
      <c r="AA101" s="182"/>
      <c r="AB101" s="183">
        <f t="shared" si="14"/>
        <v>141</v>
      </c>
      <c r="AC101" s="183"/>
      <c r="AD101" s="183">
        <v>100</v>
      </c>
      <c r="AE101" s="183">
        <v>2</v>
      </c>
      <c r="AF101" s="183">
        <v>7</v>
      </c>
      <c r="AG101" s="183">
        <v>4</v>
      </c>
      <c r="AH101" s="183">
        <v>1</v>
      </c>
      <c r="AI101" s="183">
        <v>1</v>
      </c>
      <c r="AJ101" s="183"/>
      <c r="AK101" s="183"/>
      <c r="AL101" s="183"/>
      <c r="AM101" s="183"/>
      <c r="AN101" s="183"/>
      <c r="AO101" s="183"/>
      <c r="AP101" s="183"/>
      <c r="AQ101" s="183"/>
      <c r="AR101" s="149">
        <f t="shared" si="10"/>
        <v>115000</v>
      </c>
      <c r="AS101" s="150">
        <f t="shared" si="11"/>
        <v>6</v>
      </c>
      <c r="AT101" s="150">
        <f t="shared" si="15"/>
        <v>38333.333333333336</v>
      </c>
      <c r="AU101" s="183">
        <f t="shared" si="16"/>
        <v>141</v>
      </c>
      <c r="AV101" s="183">
        <v>3</v>
      </c>
      <c r="AW101" s="135">
        <f t="shared" si="17"/>
        <v>2.1276595744680851E-2</v>
      </c>
      <c r="AX101" s="194">
        <v>35</v>
      </c>
      <c r="AY101" s="136">
        <f t="shared" si="12"/>
        <v>7.8947368421052627E-2</v>
      </c>
      <c r="AZ101" s="195">
        <v>0.95</v>
      </c>
      <c r="BA101" s="195">
        <v>0.75</v>
      </c>
      <c r="BB101" s="181">
        <v>115000</v>
      </c>
      <c r="BC101" s="138">
        <v>3024553</v>
      </c>
    </row>
    <row r="102" spans="1:55" ht="21">
      <c r="A102">
        <v>5</v>
      </c>
      <c r="B102" s="120" t="s">
        <v>70</v>
      </c>
      <c r="C102" s="139" t="s">
        <v>69</v>
      </c>
      <c r="D102" s="180">
        <v>1</v>
      </c>
      <c r="E102" s="180"/>
      <c r="F102" s="180">
        <v>1</v>
      </c>
      <c r="G102" s="180"/>
      <c r="H102" s="180">
        <v>1</v>
      </c>
      <c r="I102" s="180">
        <v>1</v>
      </c>
      <c r="J102" s="180"/>
      <c r="K102" s="180"/>
      <c r="L102" s="180">
        <v>4</v>
      </c>
      <c r="M102" s="180">
        <v>20</v>
      </c>
      <c r="N102" s="180">
        <v>17</v>
      </c>
      <c r="O102" s="180"/>
      <c r="P102" s="180">
        <v>61</v>
      </c>
      <c r="Q102" s="180">
        <v>75</v>
      </c>
      <c r="R102" s="180"/>
      <c r="S102" s="180"/>
      <c r="T102" s="180"/>
      <c r="U102" s="180"/>
      <c r="V102" s="180"/>
      <c r="W102" s="180"/>
      <c r="X102" s="180"/>
      <c r="Y102" s="180"/>
      <c r="Z102" s="180"/>
      <c r="AA102" s="180"/>
      <c r="AB102" s="183">
        <f t="shared" si="14"/>
        <v>153</v>
      </c>
      <c r="AC102" s="180"/>
      <c r="AD102" s="180">
        <v>7</v>
      </c>
      <c r="AE102" s="180"/>
      <c r="AF102" s="180">
        <v>3</v>
      </c>
      <c r="AG102" s="180">
        <v>5</v>
      </c>
      <c r="AH102" s="180"/>
      <c r="AI102" s="180"/>
      <c r="AJ102" s="180">
        <v>2</v>
      </c>
      <c r="AK102" s="180"/>
      <c r="AL102" s="180">
        <v>3</v>
      </c>
      <c r="AM102" s="180"/>
      <c r="AN102" s="180"/>
      <c r="AO102" s="180"/>
      <c r="AP102" s="180"/>
      <c r="AQ102" s="180">
        <v>2</v>
      </c>
      <c r="AR102" s="149">
        <f t="shared" si="10"/>
        <v>17000</v>
      </c>
      <c r="AS102" s="150">
        <f t="shared" si="11"/>
        <v>6</v>
      </c>
      <c r="AT102" s="150">
        <f t="shared" si="15"/>
        <v>4250</v>
      </c>
      <c r="AU102" s="183">
        <f t="shared" si="16"/>
        <v>153</v>
      </c>
      <c r="AV102" s="183">
        <v>4</v>
      </c>
      <c r="AW102" s="135">
        <f t="shared" si="17"/>
        <v>2.6143790849673203E-2</v>
      </c>
      <c r="AX102" s="203">
        <v>21</v>
      </c>
      <c r="AY102" s="136">
        <f t="shared" si="12"/>
        <v>0.16</v>
      </c>
      <c r="AZ102" s="185">
        <v>1.05</v>
      </c>
      <c r="BA102" s="185">
        <v>1</v>
      </c>
      <c r="BB102" s="151">
        <v>22000</v>
      </c>
      <c r="BC102" s="138">
        <v>3750342</v>
      </c>
    </row>
    <row r="103" spans="1:55" ht="21">
      <c r="A103">
        <v>5</v>
      </c>
      <c r="B103" s="121" t="s">
        <v>21</v>
      </c>
      <c r="C103" s="140" t="s">
        <v>36</v>
      </c>
      <c r="D103" s="18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3">
        <v>79</v>
      </c>
      <c r="AC103" s="181"/>
      <c r="AD103" s="181"/>
      <c r="AE103" s="181"/>
      <c r="AF103" s="181"/>
      <c r="AG103" s="181"/>
      <c r="AH103" s="181"/>
      <c r="AI103" s="181"/>
      <c r="AJ103" s="181"/>
      <c r="AK103" s="181"/>
      <c r="AL103" s="181"/>
      <c r="AM103" s="181"/>
      <c r="AN103" s="181"/>
      <c r="AO103" s="181"/>
      <c r="AP103" s="181"/>
      <c r="AQ103" s="181"/>
      <c r="AR103" s="149">
        <f t="shared" si="10"/>
        <v>0</v>
      </c>
      <c r="AS103" s="150">
        <f t="shared" si="11"/>
        <v>0</v>
      </c>
      <c r="AT103" s="150">
        <v>0</v>
      </c>
      <c r="AU103" s="183">
        <f t="shared" si="16"/>
        <v>79</v>
      </c>
      <c r="AV103" s="183">
        <v>0</v>
      </c>
      <c r="AW103" s="135"/>
      <c r="AX103" s="203">
        <v>0</v>
      </c>
      <c r="AY103" s="136">
        <v>0</v>
      </c>
      <c r="AZ103" s="185">
        <v>0</v>
      </c>
      <c r="BA103" s="185">
        <v>0</v>
      </c>
      <c r="BB103" s="151">
        <v>0</v>
      </c>
      <c r="BC103" s="138">
        <v>0</v>
      </c>
    </row>
    <row r="104" spans="1:55" ht="21">
      <c r="A104">
        <v>5</v>
      </c>
      <c r="B104" s="121" t="s">
        <v>139</v>
      </c>
      <c r="C104" s="140" t="s">
        <v>149</v>
      </c>
      <c r="D104" s="180"/>
      <c r="E104" s="180">
        <v>1</v>
      </c>
      <c r="F104" s="180"/>
      <c r="G104" s="180"/>
      <c r="H104" s="180"/>
      <c r="I104" s="180">
        <v>1</v>
      </c>
      <c r="J104" s="180">
        <v>2</v>
      </c>
      <c r="K104" s="180">
        <v>1</v>
      </c>
      <c r="L104" s="180">
        <v>5</v>
      </c>
      <c r="M104" s="180">
        <v>86</v>
      </c>
      <c r="N104" s="180">
        <v>0</v>
      </c>
      <c r="O104" s="180">
        <v>0</v>
      </c>
      <c r="P104" s="180">
        <v>60</v>
      </c>
      <c r="Q104" s="180">
        <v>112</v>
      </c>
      <c r="R104" s="180">
        <v>0</v>
      </c>
      <c r="S104" s="180">
        <v>2</v>
      </c>
      <c r="T104" s="180">
        <v>0</v>
      </c>
      <c r="U104" s="180">
        <v>0</v>
      </c>
      <c r="V104" s="180">
        <v>0</v>
      </c>
      <c r="W104" s="180">
        <v>0</v>
      </c>
      <c r="X104" s="180">
        <v>0</v>
      </c>
      <c r="Y104" s="180">
        <v>0</v>
      </c>
      <c r="Z104" s="180">
        <v>0</v>
      </c>
      <c r="AA104" s="180">
        <v>0</v>
      </c>
      <c r="AB104" s="183">
        <f t="shared" si="14"/>
        <v>174</v>
      </c>
      <c r="AC104" s="180"/>
      <c r="AD104" s="180">
        <v>5</v>
      </c>
      <c r="AE104" s="180">
        <v>6</v>
      </c>
      <c r="AF104" s="180">
        <v>25</v>
      </c>
      <c r="AG104" s="180">
        <v>25</v>
      </c>
      <c r="AH104" s="180">
        <v>6</v>
      </c>
      <c r="AI104" s="180"/>
      <c r="AJ104" s="180">
        <v>6</v>
      </c>
      <c r="AK104" s="180"/>
      <c r="AL104" s="180">
        <v>20</v>
      </c>
      <c r="AM104" s="180"/>
      <c r="AN104" s="180"/>
      <c r="AO104" s="180">
        <v>22</v>
      </c>
      <c r="AP104" s="180"/>
      <c r="AQ104" s="180">
        <v>6</v>
      </c>
      <c r="AR104" s="149">
        <f t="shared" si="10"/>
        <v>73000</v>
      </c>
      <c r="AS104" s="150">
        <f t="shared" si="11"/>
        <v>9</v>
      </c>
      <c r="AT104" s="150">
        <f t="shared" si="15"/>
        <v>2807.6923076923076</v>
      </c>
      <c r="AU104" s="183">
        <f t="shared" si="16"/>
        <v>174</v>
      </c>
      <c r="AV104" s="183">
        <v>26</v>
      </c>
      <c r="AW104" s="135">
        <f t="shared" si="17"/>
        <v>0.14942528735632185</v>
      </c>
      <c r="AX104" s="203">
        <v>73</v>
      </c>
      <c r="AY104" s="136">
        <f t="shared" si="12"/>
        <v>0.26262626262626265</v>
      </c>
      <c r="AZ104" s="185">
        <v>1.08</v>
      </c>
      <c r="BA104" s="185">
        <v>1</v>
      </c>
      <c r="BB104" s="151">
        <v>121000</v>
      </c>
      <c r="BC104" s="138">
        <v>29744749</v>
      </c>
    </row>
    <row r="105" spans="1:55" ht="21">
      <c r="A105">
        <v>5</v>
      </c>
      <c r="B105" s="121" t="s">
        <v>70</v>
      </c>
      <c r="C105" s="140" t="s">
        <v>90</v>
      </c>
      <c r="D105" s="180">
        <v>1</v>
      </c>
      <c r="E105" s="180"/>
      <c r="F105" s="180"/>
      <c r="G105" s="180"/>
      <c r="H105" s="180">
        <v>2</v>
      </c>
      <c r="I105" s="180"/>
      <c r="J105" s="180">
        <v>2</v>
      </c>
      <c r="K105" s="180">
        <v>1</v>
      </c>
      <c r="L105" s="180">
        <v>6</v>
      </c>
      <c r="M105" s="180">
        <v>48</v>
      </c>
      <c r="N105" s="180">
        <v>40</v>
      </c>
      <c r="O105" s="180"/>
      <c r="P105" s="180">
        <v>24</v>
      </c>
      <c r="Q105" s="180">
        <v>62</v>
      </c>
      <c r="R105" s="180">
        <v>18</v>
      </c>
      <c r="S105" s="180">
        <v>14</v>
      </c>
      <c r="T105" s="180">
        <v>5</v>
      </c>
      <c r="U105" s="180"/>
      <c r="V105" s="180"/>
      <c r="W105" s="180"/>
      <c r="X105" s="180"/>
      <c r="Y105" s="180"/>
      <c r="Z105" s="180"/>
      <c r="AA105" s="180"/>
      <c r="AB105" s="183">
        <f t="shared" si="14"/>
        <v>163</v>
      </c>
      <c r="AC105" s="180"/>
      <c r="AD105" s="180">
        <v>23</v>
      </c>
      <c r="AE105" s="180"/>
      <c r="AF105" s="180">
        <v>6</v>
      </c>
      <c r="AG105" s="180">
        <v>34</v>
      </c>
      <c r="AH105" s="180"/>
      <c r="AI105" s="180">
        <v>10</v>
      </c>
      <c r="AJ105" s="180">
        <v>7</v>
      </c>
      <c r="AK105" s="180"/>
      <c r="AL105" s="180"/>
      <c r="AM105" s="180"/>
      <c r="AN105" s="180"/>
      <c r="AO105" s="180"/>
      <c r="AP105" s="180"/>
      <c r="AQ105" s="180"/>
      <c r="AR105" s="149">
        <f t="shared" si="10"/>
        <v>73000</v>
      </c>
      <c r="AS105" s="150">
        <f t="shared" si="11"/>
        <v>5</v>
      </c>
      <c r="AT105" s="150">
        <f t="shared" si="15"/>
        <v>3650</v>
      </c>
      <c r="AU105" s="183">
        <f t="shared" si="16"/>
        <v>163</v>
      </c>
      <c r="AV105" s="183">
        <v>20</v>
      </c>
      <c r="AW105" s="135">
        <f t="shared" si="17"/>
        <v>0.12269938650306748</v>
      </c>
      <c r="AX105" s="203">
        <v>45</v>
      </c>
      <c r="AY105" s="136">
        <f t="shared" si="12"/>
        <v>0.30769230769230771</v>
      </c>
      <c r="AZ105" s="185">
        <v>1.05</v>
      </c>
      <c r="BA105" s="185">
        <v>1</v>
      </c>
      <c r="BB105" s="151">
        <v>80000</v>
      </c>
      <c r="BC105" s="138">
        <v>2443715</v>
      </c>
    </row>
    <row r="106" spans="1:55" ht="21">
      <c r="A106">
        <v>5</v>
      </c>
      <c r="B106" s="121" t="s">
        <v>70</v>
      </c>
      <c r="C106" s="140" t="s">
        <v>79</v>
      </c>
      <c r="D106" s="180">
        <v>1</v>
      </c>
      <c r="E106" s="180">
        <v>1</v>
      </c>
      <c r="F106" s="180">
        <v>1</v>
      </c>
      <c r="G106" s="180"/>
      <c r="H106" s="180"/>
      <c r="I106" s="180"/>
      <c r="J106" s="180">
        <v>1</v>
      </c>
      <c r="K106" s="180"/>
      <c r="L106" s="180">
        <v>4</v>
      </c>
      <c r="M106" s="180">
        <v>22</v>
      </c>
      <c r="N106" s="180"/>
      <c r="O106" s="180"/>
      <c r="P106" s="180">
        <v>53</v>
      </c>
      <c r="Q106" s="180">
        <v>12</v>
      </c>
      <c r="R106" s="180"/>
      <c r="S106" s="180"/>
      <c r="T106" s="180"/>
      <c r="U106" s="180"/>
      <c r="V106" s="180"/>
      <c r="W106" s="180"/>
      <c r="X106" s="180"/>
      <c r="Y106" s="180"/>
      <c r="Z106" s="180"/>
      <c r="AA106" s="180"/>
      <c r="AB106" s="183">
        <f t="shared" si="14"/>
        <v>65</v>
      </c>
      <c r="AC106" s="180"/>
      <c r="AD106" s="180"/>
      <c r="AE106" s="180">
        <v>5</v>
      </c>
      <c r="AF106" s="180">
        <v>6</v>
      </c>
      <c r="AG106" s="180">
        <v>3</v>
      </c>
      <c r="AH106" s="180"/>
      <c r="AI106" s="180"/>
      <c r="AJ106" s="180"/>
      <c r="AK106" s="180"/>
      <c r="AL106" s="180"/>
      <c r="AM106" s="180"/>
      <c r="AN106" s="180"/>
      <c r="AO106" s="180"/>
      <c r="AP106" s="180"/>
      <c r="AQ106" s="180"/>
      <c r="AR106" s="149">
        <f t="shared" si="10"/>
        <v>14000</v>
      </c>
      <c r="AS106" s="150">
        <f t="shared" si="11"/>
        <v>3</v>
      </c>
      <c r="AT106" s="150">
        <f t="shared" si="15"/>
        <v>4666.666666666667</v>
      </c>
      <c r="AU106" s="183">
        <f t="shared" si="16"/>
        <v>65</v>
      </c>
      <c r="AV106" s="183">
        <v>3</v>
      </c>
      <c r="AW106" s="135">
        <f t="shared" si="17"/>
        <v>4.6153846153846156E-2</v>
      </c>
      <c r="AX106" s="203">
        <v>24</v>
      </c>
      <c r="AY106" s="136">
        <f t="shared" si="12"/>
        <v>0.1111111111111111</v>
      </c>
      <c r="AZ106" s="185">
        <v>1</v>
      </c>
      <c r="BA106" s="185">
        <v>1</v>
      </c>
      <c r="BB106" s="151">
        <v>14000</v>
      </c>
      <c r="BC106" s="138">
        <v>2035143</v>
      </c>
    </row>
    <row r="107" spans="1:55" ht="21">
      <c r="A107">
        <v>5</v>
      </c>
      <c r="B107" s="121" t="s">
        <v>139</v>
      </c>
      <c r="C107" s="140" t="s">
        <v>60</v>
      </c>
      <c r="D107" s="180"/>
      <c r="E107" s="180"/>
      <c r="F107" s="180"/>
      <c r="G107" s="180"/>
      <c r="H107" s="180">
        <v>1</v>
      </c>
      <c r="I107" s="180">
        <v>1</v>
      </c>
      <c r="J107" s="180"/>
      <c r="K107" s="180"/>
      <c r="L107" s="180">
        <v>2</v>
      </c>
      <c r="M107" s="180">
        <v>23</v>
      </c>
      <c r="N107" s="180">
        <v>5</v>
      </c>
      <c r="O107" s="180">
        <v>0</v>
      </c>
      <c r="P107" s="180">
        <v>17</v>
      </c>
      <c r="Q107" s="180">
        <v>59</v>
      </c>
      <c r="R107" s="180">
        <v>0</v>
      </c>
      <c r="S107" s="180">
        <v>0</v>
      </c>
      <c r="T107" s="180">
        <v>0</v>
      </c>
      <c r="U107" s="180">
        <v>0</v>
      </c>
      <c r="V107" s="180">
        <v>9</v>
      </c>
      <c r="W107" s="180">
        <v>0</v>
      </c>
      <c r="X107" s="180">
        <v>0</v>
      </c>
      <c r="Y107" s="180">
        <v>0</v>
      </c>
      <c r="Z107" s="180">
        <v>0</v>
      </c>
      <c r="AA107" s="180">
        <v>0</v>
      </c>
      <c r="AB107" s="183">
        <f t="shared" si="14"/>
        <v>90</v>
      </c>
      <c r="AC107" s="180"/>
      <c r="AD107" s="180">
        <v>30</v>
      </c>
      <c r="AE107" s="180">
        <v>5</v>
      </c>
      <c r="AF107" s="180">
        <v>10</v>
      </c>
      <c r="AG107" s="180">
        <v>9</v>
      </c>
      <c r="AH107" s="180"/>
      <c r="AI107" s="180"/>
      <c r="AJ107" s="180">
        <v>1</v>
      </c>
      <c r="AK107" s="180"/>
      <c r="AL107" s="180">
        <v>29</v>
      </c>
      <c r="AM107" s="180"/>
      <c r="AN107" s="180">
        <v>4</v>
      </c>
      <c r="AO107" s="180"/>
      <c r="AP107" s="180"/>
      <c r="AQ107" s="180"/>
      <c r="AR107" s="149">
        <f t="shared" si="10"/>
        <v>54000</v>
      </c>
      <c r="AS107" s="150">
        <f t="shared" si="11"/>
        <v>7</v>
      </c>
      <c r="AT107" s="150">
        <f t="shared" si="15"/>
        <v>5400</v>
      </c>
      <c r="AU107" s="183">
        <f t="shared" si="16"/>
        <v>90</v>
      </c>
      <c r="AV107" s="183">
        <v>10</v>
      </c>
      <c r="AW107" s="135">
        <f t="shared" si="17"/>
        <v>0.1111111111111111</v>
      </c>
      <c r="AX107" s="203">
        <v>284</v>
      </c>
      <c r="AY107" s="136">
        <f t="shared" si="12"/>
        <v>3.4013605442176874E-2</v>
      </c>
      <c r="AZ107" s="185">
        <v>0.93</v>
      </c>
      <c r="BA107" s="185">
        <v>0.75</v>
      </c>
      <c r="BB107" s="151">
        <v>88000</v>
      </c>
      <c r="BC107" s="138">
        <v>15011325</v>
      </c>
    </row>
    <row r="108" spans="1:55" ht="21">
      <c r="A108">
        <v>5</v>
      </c>
      <c r="B108" s="121" t="s">
        <v>139</v>
      </c>
      <c r="C108" s="140" t="s">
        <v>57</v>
      </c>
      <c r="D108" s="180"/>
      <c r="E108" s="180"/>
      <c r="F108" s="180">
        <v>1</v>
      </c>
      <c r="G108" s="180"/>
      <c r="H108" s="180"/>
      <c r="I108" s="180"/>
      <c r="J108" s="180">
        <v>2</v>
      </c>
      <c r="K108" s="180">
        <v>1</v>
      </c>
      <c r="L108" s="180">
        <v>4</v>
      </c>
      <c r="M108" s="180">
        <v>41</v>
      </c>
      <c r="N108" s="180">
        <v>41</v>
      </c>
      <c r="O108" s="180">
        <v>0</v>
      </c>
      <c r="P108" s="180">
        <v>8</v>
      </c>
      <c r="Q108" s="180">
        <v>2</v>
      </c>
      <c r="R108" s="180">
        <v>0</v>
      </c>
      <c r="S108" s="180">
        <v>0</v>
      </c>
      <c r="T108" s="180">
        <v>0</v>
      </c>
      <c r="U108" s="180">
        <v>0</v>
      </c>
      <c r="V108" s="180">
        <v>0</v>
      </c>
      <c r="W108" s="180">
        <v>0</v>
      </c>
      <c r="X108" s="180">
        <v>0</v>
      </c>
      <c r="Y108" s="180">
        <v>0</v>
      </c>
      <c r="Z108" s="180">
        <v>0</v>
      </c>
      <c r="AA108" s="180">
        <v>0</v>
      </c>
      <c r="AB108" s="183">
        <f t="shared" si="14"/>
        <v>51</v>
      </c>
      <c r="AC108" s="180"/>
      <c r="AD108" s="180"/>
      <c r="AE108" s="180"/>
      <c r="AF108" s="180">
        <v>15</v>
      </c>
      <c r="AG108" s="180">
        <v>5</v>
      </c>
      <c r="AH108" s="180"/>
      <c r="AI108" s="180"/>
      <c r="AJ108" s="180">
        <v>0.15</v>
      </c>
      <c r="AK108" s="180"/>
      <c r="AL108" s="180"/>
      <c r="AM108" s="180"/>
      <c r="AN108" s="180">
        <v>10</v>
      </c>
      <c r="AO108" s="180">
        <v>24</v>
      </c>
      <c r="AP108" s="180"/>
      <c r="AQ108" s="180"/>
      <c r="AR108" s="149">
        <f t="shared" si="10"/>
        <v>20000</v>
      </c>
      <c r="AS108" s="150">
        <f t="shared" si="11"/>
        <v>5</v>
      </c>
      <c r="AT108" s="150">
        <f t="shared" si="15"/>
        <v>2000</v>
      </c>
      <c r="AU108" s="183">
        <f t="shared" si="16"/>
        <v>51</v>
      </c>
      <c r="AV108" s="183">
        <v>10</v>
      </c>
      <c r="AW108" s="135">
        <f t="shared" si="17"/>
        <v>0.19607843137254902</v>
      </c>
      <c r="AX108" s="203">
        <v>59</v>
      </c>
      <c r="AY108" s="136">
        <f t="shared" si="12"/>
        <v>0.14492753623188406</v>
      </c>
      <c r="AZ108" s="185">
        <v>1</v>
      </c>
      <c r="BA108" s="185">
        <v>1</v>
      </c>
      <c r="BB108" s="151">
        <v>54150</v>
      </c>
      <c r="BC108" s="138">
        <v>12465500</v>
      </c>
    </row>
    <row r="109" spans="1:55" ht="21">
      <c r="A109">
        <v>5</v>
      </c>
      <c r="B109" s="121" t="s">
        <v>139</v>
      </c>
      <c r="C109" s="140" t="s">
        <v>66</v>
      </c>
      <c r="D109" s="180"/>
      <c r="E109" s="180"/>
      <c r="F109" s="180">
        <v>1</v>
      </c>
      <c r="G109" s="180"/>
      <c r="H109" s="180">
        <v>1</v>
      </c>
      <c r="I109" s="180">
        <v>1</v>
      </c>
      <c r="J109" s="180"/>
      <c r="K109" s="180">
        <v>1</v>
      </c>
      <c r="L109" s="180">
        <v>4</v>
      </c>
      <c r="M109" s="180">
        <v>28</v>
      </c>
      <c r="N109" s="180">
        <v>25</v>
      </c>
      <c r="O109" s="180">
        <v>43</v>
      </c>
      <c r="P109" s="180">
        <v>86</v>
      </c>
      <c r="Q109" s="180">
        <v>66</v>
      </c>
      <c r="R109" s="180">
        <v>0</v>
      </c>
      <c r="S109" s="180">
        <v>0</v>
      </c>
      <c r="T109" s="180">
        <v>0</v>
      </c>
      <c r="U109" s="180">
        <v>0</v>
      </c>
      <c r="V109" s="180">
        <v>0</v>
      </c>
      <c r="W109" s="180">
        <v>0</v>
      </c>
      <c r="X109" s="180">
        <v>0</v>
      </c>
      <c r="Y109" s="180">
        <v>0</v>
      </c>
      <c r="Z109" s="180">
        <v>0</v>
      </c>
      <c r="AA109" s="180">
        <v>0</v>
      </c>
      <c r="AB109" s="183">
        <f t="shared" si="14"/>
        <v>220</v>
      </c>
      <c r="AC109" s="180"/>
      <c r="AD109" s="180"/>
      <c r="AE109" s="180">
        <v>17</v>
      </c>
      <c r="AF109" s="180">
        <v>15</v>
      </c>
      <c r="AG109" s="180">
        <v>13</v>
      </c>
      <c r="AH109" s="180"/>
      <c r="AI109" s="180"/>
      <c r="AJ109" s="180">
        <v>1</v>
      </c>
      <c r="AK109" s="180"/>
      <c r="AL109" s="180">
        <v>3.6</v>
      </c>
      <c r="AM109" s="180"/>
      <c r="AN109" s="180"/>
      <c r="AO109" s="180"/>
      <c r="AP109" s="180"/>
      <c r="AQ109" s="180"/>
      <c r="AR109" s="149">
        <f t="shared" si="10"/>
        <v>45000</v>
      </c>
      <c r="AS109" s="150">
        <f t="shared" si="11"/>
        <v>5</v>
      </c>
      <c r="AT109" s="150">
        <f t="shared" si="15"/>
        <v>1607.1428571428571</v>
      </c>
      <c r="AU109" s="183">
        <f t="shared" si="16"/>
        <v>220</v>
      </c>
      <c r="AV109" s="183">
        <v>28</v>
      </c>
      <c r="AW109" s="135">
        <f t="shared" si="17"/>
        <v>0.12727272727272726</v>
      </c>
      <c r="AX109" s="203">
        <v>25</v>
      </c>
      <c r="AY109" s="136">
        <f t="shared" si="12"/>
        <v>0.52830188679245282</v>
      </c>
      <c r="AZ109" s="185">
        <v>1.2</v>
      </c>
      <c r="BA109" s="185">
        <v>1</v>
      </c>
      <c r="BB109" s="151">
        <v>49600</v>
      </c>
      <c r="BC109" s="138">
        <v>13676809</v>
      </c>
    </row>
    <row r="110" spans="1:55" ht="21">
      <c r="A110">
        <v>5</v>
      </c>
      <c r="B110" s="121" t="s">
        <v>70</v>
      </c>
      <c r="C110" s="140" t="s">
        <v>82</v>
      </c>
      <c r="D110" s="180">
        <v>2</v>
      </c>
      <c r="E110" s="180"/>
      <c r="F110" s="180"/>
      <c r="G110" s="180"/>
      <c r="H110" s="180">
        <v>1</v>
      </c>
      <c r="I110" s="180"/>
      <c r="J110" s="180">
        <v>1</v>
      </c>
      <c r="K110" s="180">
        <v>2</v>
      </c>
      <c r="L110" s="180">
        <v>6</v>
      </c>
      <c r="M110" s="180">
        <v>6</v>
      </c>
      <c r="N110" s="180">
        <v>16</v>
      </c>
      <c r="O110" s="180"/>
      <c r="P110" s="180"/>
      <c r="Q110" s="180">
        <v>5</v>
      </c>
      <c r="R110" s="180">
        <v>1</v>
      </c>
      <c r="S110" s="180">
        <v>112</v>
      </c>
      <c r="T110" s="180"/>
      <c r="U110" s="180"/>
      <c r="V110" s="180"/>
      <c r="W110" s="180"/>
      <c r="X110" s="180"/>
      <c r="Y110" s="180"/>
      <c r="Z110" s="180"/>
      <c r="AA110" s="180"/>
      <c r="AB110" s="183">
        <f t="shared" si="14"/>
        <v>134</v>
      </c>
      <c r="AC110" s="180"/>
      <c r="AD110" s="180">
        <v>6</v>
      </c>
      <c r="AE110" s="180">
        <v>5</v>
      </c>
      <c r="AF110" s="180"/>
      <c r="AG110" s="180">
        <v>15</v>
      </c>
      <c r="AH110" s="180">
        <v>5</v>
      </c>
      <c r="AI110" s="180">
        <v>20</v>
      </c>
      <c r="AJ110" s="180">
        <v>1</v>
      </c>
      <c r="AK110" s="180"/>
      <c r="AL110" s="180"/>
      <c r="AM110" s="180"/>
      <c r="AN110" s="180"/>
      <c r="AO110" s="180"/>
      <c r="AP110" s="180"/>
      <c r="AQ110" s="180"/>
      <c r="AR110" s="149">
        <f t="shared" si="10"/>
        <v>51000</v>
      </c>
      <c r="AS110" s="150">
        <f t="shared" si="11"/>
        <v>6</v>
      </c>
      <c r="AT110" s="150">
        <f t="shared" si="15"/>
        <v>2684.2105263157896</v>
      </c>
      <c r="AU110" s="183">
        <f t="shared" si="16"/>
        <v>134</v>
      </c>
      <c r="AV110" s="183">
        <v>19</v>
      </c>
      <c r="AW110" s="135">
        <f t="shared" si="17"/>
        <v>0.1417910447761194</v>
      </c>
      <c r="AX110" s="203">
        <v>29</v>
      </c>
      <c r="AY110" s="136">
        <f t="shared" si="12"/>
        <v>0.39583333333333331</v>
      </c>
      <c r="AZ110" s="185">
        <v>1.25</v>
      </c>
      <c r="BA110" s="185">
        <v>1</v>
      </c>
      <c r="BB110" s="151">
        <v>52000</v>
      </c>
      <c r="BC110" s="138">
        <v>5785932</v>
      </c>
    </row>
    <row r="111" spans="1:55" ht="21">
      <c r="A111">
        <v>5</v>
      </c>
      <c r="B111" s="121" t="s">
        <v>21</v>
      </c>
      <c r="C111" s="140" t="s">
        <v>48</v>
      </c>
      <c r="D111" s="180">
        <v>1</v>
      </c>
      <c r="E111" s="180"/>
      <c r="F111" s="180"/>
      <c r="G111" s="180">
        <v>1</v>
      </c>
      <c r="H111" s="180"/>
      <c r="I111" s="180"/>
      <c r="J111" s="180"/>
      <c r="K111" s="180">
        <v>1</v>
      </c>
      <c r="L111" s="180">
        <v>3</v>
      </c>
      <c r="M111" s="180">
        <v>76</v>
      </c>
      <c r="N111" s="180">
        <v>73</v>
      </c>
      <c r="O111" s="180">
        <v>21</v>
      </c>
      <c r="P111" s="180">
        <v>49</v>
      </c>
      <c r="Q111" s="180">
        <v>48</v>
      </c>
      <c r="R111" s="180">
        <v>0</v>
      </c>
      <c r="S111" s="180">
        <v>0</v>
      </c>
      <c r="T111" s="180">
        <v>0</v>
      </c>
      <c r="U111" s="180">
        <v>0</v>
      </c>
      <c r="V111" s="180">
        <v>0</v>
      </c>
      <c r="W111" s="180">
        <v>0</v>
      </c>
      <c r="X111" s="180">
        <v>0</v>
      </c>
      <c r="Y111" s="180">
        <v>0</v>
      </c>
      <c r="Z111" s="180">
        <v>0</v>
      </c>
      <c r="AA111" s="180">
        <v>0</v>
      </c>
      <c r="AB111" s="183">
        <f t="shared" si="14"/>
        <v>191</v>
      </c>
      <c r="AC111" s="180"/>
      <c r="AD111" s="180"/>
      <c r="AE111" s="180">
        <v>10</v>
      </c>
      <c r="AF111" s="180">
        <v>12</v>
      </c>
      <c r="AG111" s="180">
        <v>35</v>
      </c>
      <c r="AH111" s="180"/>
      <c r="AI111" s="180"/>
      <c r="AJ111" s="180">
        <v>1</v>
      </c>
      <c r="AK111" s="180"/>
      <c r="AL111" s="180"/>
      <c r="AM111" s="180"/>
      <c r="AN111" s="180">
        <v>3</v>
      </c>
      <c r="AO111" s="180"/>
      <c r="AP111" s="180"/>
      <c r="AQ111" s="180"/>
      <c r="AR111" s="149">
        <f t="shared" si="10"/>
        <v>57000</v>
      </c>
      <c r="AS111" s="150">
        <f t="shared" si="11"/>
        <v>5</v>
      </c>
      <c r="AT111" s="150">
        <f t="shared" si="15"/>
        <v>3562.5</v>
      </c>
      <c r="AU111" s="183">
        <f t="shared" si="16"/>
        <v>191</v>
      </c>
      <c r="AV111" s="183">
        <v>16</v>
      </c>
      <c r="AW111" s="135">
        <f t="shared" si="17"/>
        <v>8.3769633507853408E-2</v>
      </c>
      <c r="AX111" s="203">
        <v>30</v>
      </c>
      <c r="AY111" s="136">
        <f t="shared" si="12"/>
        <v>0.34782608695652173</v>
      </c>
      <c r="AZ111" s="185">
        <v>0.96</v>
      </c>
      <c r="BA111" s="185">
        <v>0.75</v>
      </c>
      <c r="BB111" s="151">
        <v>61000</v>
      </c>
      <c r="BC111" s="138">
        <v>3877023</v>
      </c>
    </row>
    <row r="112" spans="1:55" ht="21">
      <c r="A112">
        <v>5</v>
      </c>
      <c r="B112" s="121" t="s">
        <v>70</v>
      </c>
      <c r="C112" s="140" t="s">
        <v>76</v>
      </c>
      <c r="D112" s="180">
        <v>1</v>
      </c>
      <c r="E112" s="180"/>
      <c r="F112" s="180"/>
      <c r="G112" s="180"/>
      <c r="H112" s="180">
        <v>1</v>
      </c>
      <c r="I112" s="180"/>
      <c r="J112" s="180">
        <v>2</v>
      </c>
      <c r="K112" s="180">
        <v>1</v>
      </c>
      <c r="L112" s="180">
        <v>5</v>
      </c>
      <c r="M112" s="180">
        <v>27</v>
      </c>
      <c r="N112" s="180">
        <v>50</v>
      </c>
      <c r="O112" s="180"/>
      <c r="P112" s="180">
        <v>16</v>
      </c>
      <c r="Q112" s="180">
        <v>66</v>
      </c>
      <c r="R112" s="180"/>
      <c r="S112" s="180">
        <v>47</v>
      </c>
      <c r="T112" s="180"/>
      <c r="U112" s="180"/>
      <c r="V112" s="180"/>
      <c r="W112" s="180"/>
      <c r="X112" s="180"/>
      <c r="Y112" s="180"/>
      <c r="Z112" s="180"/>
      <c r="AA112" s="180"/>
      <c r="AB112" s="183">
        <f t="shared" si="14"/>
        <v>179</v>
      </c>
      <c r="AC112" s="180"/>
      <c r="AD112" s="180">
        <v>14</v>
      </c>
      <c r="AE112" s="180"/>
      <c r="AF112" s="180">
        <v>6</v>
      </c>
      <c r="AG112" s="180">
        <v>14</v>
      </c>
      <c r="AH112" s="180"/>
      <c r="AI112" s="180">
        <v>12</v>
      </c>
      <c r="AJ112" s="180"/>
      <c r="AK112" s="180"/>
      <c r="AL112" s="180">
        <v>8</v>
      </c>
      <c r="AM112" s="180"/>
      <c r="AN112" s="180"/>
      <c r="AO112" s="180">
        <v>4</v>
      </c>
      <c r="AP112" s="180"/>
      <c r="AQ112" s="180"/>
      <c r="AR112" s="149">
        <f t="shared" si="10"/>
        <v>46000</v>
      </c>
      <c r="AS112" s="150">
        <f t="shared" si="11"/>
        <v>6</v>
      </c>
      <c r="AT112" s="150">
        <f t="shared" si="15"/>
        <v>4600</v>
      </c>
      <c r="AU112" s="183">
        <f t="shared" si="16"/>
        <v>179</v>
      </c>
      <c r="AV112" s="183">
        <v>10</v>
      </c>
      <c r="AW112" s="135">
        <f t="shared" si="17"/>
        <v>5.5865921787709494E-2</v>
      </c>
      <c r="AX112" s="203">
        <v>39</v>
      </c>
      <c r="AY112" s="136">
        <f t="shared" si="12"/>
        <v>0.20408163265306123</v>
      </c>
      <c r="AZ112" s="185">
        <v>1.45</v>
      </c>
      <c r="BA112" s="185">
        <v>1</v>
      </c>
      <c r="BB112" s="151">
        <v>58000</v>
      </c>
      <c r="BC112" s="138">
        <v>6716157</v>
      </c>
    </row>
    <row r="113" spans="1:55" ht="21">
      <c r="A113">
        <v>5</v>
      </c>
      <c r="B113" s="121" t="s">
        <v>21</v>
      </c>
      <c r="C113" s="140" t="s">
        <v>27</v>
      </c>
      <c r="D113" s="180">
        <v>4</v>
      </c>
      <c r="E113" s="180"/>
      <c r="F113" s="180">
        <v>1</v>
      </c>
      <c r="G113" s="180">
        <v>1</v>
      </c>
      <c r="H113" s="180"/>
      <c r="I113" s="180"/>
      <c r="J113" s="180"/>
      <c r="K113" s="180"/>
      <c r="L113" s="180">
        <v>6</v>
      </c>
      <c r="M113" s="180">
        <v>28</v>
      </c>
      <c r="N113" s="180"/>
      <c r="O113" s="180">
        <v>0</v>
      </c>
      <c r="P113" s="180">
        <v>52</v>
      </c>
      <c r="Q113" s="180">
        <v>0</v>
      </c>
      <c r="R113" s="180">
        <v>0</v>
      </c>
      <c r="S113" s="180">
        <v>0</v>
      </c>
      <c r="T113" s="180">
        <v>0</v>
      </c>
      <c r="U113" s="180">
        <v>0</v>
      </c>
      <c r="V113" s="180">
        <v>0</v>
      </c>
      <c r="W113" s="180">
        <v>0</v>
      </c>
      <c r="X113" s="180">
        <v>0</v>
      </c>
      <c r="Y113" s="180">
        <v>0</v>
      </c>
      <c r="Z113" s="180">
        <v>0</v>
      </c>
      <c r="AA113" s="180">
        <v>0</v>
      </c>
      <c r="AB113" s="183">
        <f t="shared" si="14"/>
        <v>52</v>
      </c>
      <c r="AC113" s="180"/>
      <c r="AD113" s="180">
        <v>20</v>
      </c>
      <c r="AE113" s="180"/>
      <c r="AF113" s="180">
        <v>11</v>
      </c>
      <c r="AG113" s="180">
        <v>12</v>
      </c>
      <c r="AH113" s="180"/>
      <c r="AI113" s="180"/>
      <c r="AJ113" s="180">
        <v>0.2</v>
      </c>
      <c r="AK113" s="180"/>
      <c r="AL113" s="180"/>
      <c r="AM113" s="180"/>
      <c r="AN113" s="180"/>
      <c r="AO113" s="180"/>
      <c r="AP113" s="180"/>
      <c r="AQ113" s="180"/>
      <c r="AR113" s="149">
        <f t="shared" si="10"/>
        <v>43000</v>
      </c>
      <c r="AS113" s="150">
        <f t="shared" si="11"/>
        <v>4</v>
      </c>
      <c r="AT113" s="150">
        <v>0</v>
      </c>
      <c r="AU113" s="183">
        <f t="shared" si="16"/>
        <v>52</v>
      </c>
      <c r="AV113" s="183">
        <v>5</v>
      </c>
      <c r="AW113" s="135">
        <f t="shared" si="17"/>
        <v>9.6153846153846159E-2</v>
      </c>
      <c r="AX113" s="203">
        <v>0</v>
      </c>
      <c r="AY113" s="136">
        <v>0</v>
      </c>
      <c r="AZ113" s="185">
        <v>0.94</v>
      </c>
      <c r="BA113" s="185">
        <v>0.75</v>
      </c>
      <c r="BB113" s="151">
        <v>43200</v>
      </c>
      <c r="BC113" s="138">
        <v>2371645</v>
      </c>
    </row>
    <row r="114" spans="1:55" ht="21">
      <c r="A114">
        <v>5</v>
      </c>
      <c r="B114" s="121" t="s">
        <v>70</v>
      </c>
      <c r="C114" s="140" t="s">
        <v>73</v>
      </c>
      <c r="D114" s="180"/>
      <c r="E114" s="180"/>
      <c r="F114" s="180"/>
      <c r="G114" s="180"/>
      <c r="H114" s="180">
        <v>2</v>
      </c>
      <c r="I114" s="180"/>
      <c r="J114" s="180"/>
      <c r="K114" s="180">
        <v>1</v>
      </c>
      <c r="L114" s="180">
        <v>3</v>
      </c>
      <c r="M114" s="180"/>
      <c r="N114" s="180">
        <v>9</v>
      </c>
      <c r="O114" s="180"/>
      <c r="P114" s="180">
        <v>21</v>
      </c>
      <c r="Q114" s="180">
        <v>14</v>
      </c>
      <c r="R114" s="180"/>
      <c r="S114" s="180">
        <v>6</v>
      </c>
      <c r="T114" s="180"/>
      <c r="U114" s="180"/>
      <c r="V114" s="180"/>
      <c r="W114" s="180"/>
      <c r="X114" s="180"/>
      <c r="Y114" s="180"/>
      <c r="Z114" s="180"/>
      <c r="AA114" s="180"/>
      <c r="AB114" s="183">
        <f t="shared" si="14"/>
        <v>50</v>
      </c>
      <c r="AC114" s="180"/>
      <c r="AD114" s="180">
        <v>9</v>
      </c>
      <c r="AE114" s="180">
        <v>2</v>
      </c>
      <c r="AF114" s="180">
        <v>8</v>
      </c>
      <c r="AG114" s="180">
        <v>11</v>
      </c>
      <c r="AH114" s="180"/>
      <c r="AI114" s="180">
        <v>3</v>
      </c>
      <c r="AJ114" s="180">
        <v>2</v>
      </c>
      <c r="AK114" s="180"/>
      <c r="AL114" s="180"/>
      <c r="AM114" s="180"/>
      <c r="AN114" s="180"/>
      <c r="AO114" s="180"/>
      <c r="AP114" s="180"/>
      <c r="AQ114" s="180"/>
      <c r="AR114" s="149">
        <f t="shared" si="10"/>
        <v>33000</v>
      </c>
      <c r="AS114" s="150">
        <f t="shared" si="11"/>
        <v>6</v>
      </c>
      <c r="AT114" s="150">
        <f t="shared" si="15"/>
        <v>1941.1764705882354</v>
      </c>
      <c r="AU114" s="183">
        <f t="shared" si="16"/>
        <v>50</v>
      </c>
      <c r="AV114" s="183">
        <v>17</v>
      </c>
      <c r="AW114" s="135">
        <f t="shared" si="17"/>
        <v>0.34</v>
      </c>
      <c r="AX114" s="203">
        <v>39</v>
      </c>
      <c r="AY114" s="136">
        <f t="shared" si="12"/>
        <v>0.30357142857142855</v>
      </c>
      <c r="AZ114" s="185">
        <v>1.1000000000000001</v>
      </c>
      <c r="BA114" s="185">
        <v>1</v>
      </c>
      <c r="BB114" s="151">
        <v>35000</v>
      </c>
      <c r="BC114" s="138">
        <v>11152384</v>
      </c>
    </row>
    <row r="115" spans="1:55" ht="21">
      <c r="A115">
        <v>5</v>
      </c>
      <c r="B115" s="121" t="s">
        <v>21</v>
      </c>
      <c r="C115" s="140" t="s">
        <v>30</v>
      </c>
      <c r="D115" s="180">
        <v>1</v>
      </c>
      <c r="E115" s="180"/>
      <c r="F115" s="180">
        <v>1</v>
      </c>
      <c r="G115" s="180"/>
      <c r="H115" s="180">
        <v>1</v>
      </c>
      <c r="I115" s="180"/>
      <c r="J115" s="180"/>
      <c r="K115" s="180">
        <v>1</v>
      </c>
      <c r="L115" s="180">
        <v>4</v>
      </c>
      <c r="M115" s="180">
        <v>134</v>
      </c>
      <c r="N115" s="180">
        <v>3</v>
      </c>
      <c r="O115" s="180"/>
      <c r="P115" s="180">
        <v>20</v>
      </c>
      <c r="Q115" s="180">
        <v>30</v>
      </c>
      <c r="R115" s="180">
        <v>0</v>
      </c>
      <c r="S115" s="180">
        <v>0</v>
      </c>
      <c r="T115" s="180">
        <v>0</v>
      </c>
      <c r="U115" s="180">
        <v>0</v>
      </c>
      <c r="V115" s="180">
        <v>0</v>
      </c>
      <c r="W115" s="180">
        <v>0</v>
      </c>
      <c r="X115" s="180">
        <v>0</v>
      </c>
      <c r="Y115" s="180">
        <v>0</v>
      </c>
      <c r="Z115" s="180">
        <v>0</v>
      </c>
      <c r="AA115" s="180">
        <v>0</v>
      </c>
      <c r="AB115" s="183">
        <f t="shared" si="14"/>
        <v>53</v>
      </c>
      <c r="AC115" s="180"/>
      <c r="AD115" s="180">
        <v>16</v>
      </c>
      <c r="AE115" s="180">
        <v>3</v>
      </c>
      <c r="AF115" s="180">
        <v>19</v>
      </c>
      <c r="AG115" s="180">
        <v>5</v>
      </c>
      <c r="AH115" s="180"/>
      <c r="AI115" s="180"/>
      <c r="AJ115" s="180">
        <v>2</v>
      </c>
      <c r="AK115" s="180"/>
      <c r="AL115" s="180"/>
      <c r="AM115" s="180"/>
      <c r="AN115" s="180"/>
      <c r="AO115" s="180"/>
      <c r="AP115" s="180"/>
      <c r="AQ115" s="180"/>
      <c r="AR115" s="149">
        <f t="shared" si="10"/>
        <v>43000</v>
      </c>
      <c r="AS115" s="150">
        <f t="shared" si="11"/>
        <v>5</v>
      </c>
      <c r="AT115" s="150">
        <f t="shared" si="15"/>
        <v>7166.666666666667</v>
      </c>
      <c r="AU115" s="183">
        <f t="shared" si="16"/>
        <v>53</v>
      </c>
      <c r="AV115" s="183">
        <v>6</v>
      </c>
      <c r="AW115" s="135">
        <f t="shared" si="17"/>
        <v>0.11320754716981132</v>
      </c>
      <c r="AX115" s="203">
        <v>73</v>
      </c>
      <c r="AY115" s="136">
        <f t="shared" si="12"/>
        <v>7.5949367088607597E-2</v>
      </c>
      <c r="AZ115" s="185">
        <v>0.79</v>
      </c>
      <c r="BA115" s="185">
        <v>0.25</v>
      </c>
      <c r="BB115" s="151">
        <v>45000</v>
      </c>
      <c r="BC115" s="138">
        <v>1841092</v>
      </c>
    </row>
    <row r="116" spans="1:55" ht="21">
      <c r="A116">
        <v>5</v>
      </c>
      <c r="B116" s="121" t="s">
        <v>70</v>
      </c>
      <c r="C116" s="140" t="s">
        <v>85</v>
      </c>
      <c r="D116" s="180">
        <v>1</v>
      </c>
      <c r="E116" s="180"/>
      <c r="F116" s="180"/>
      <c r="G116" s="180"/>
      <c r="H116" s="180">
        <v>1</v>
      </c>
      <c r="I116" s="180"/>
      <c r="J116" s="180">
        <v>2</v>
      </c>
      <c r="K116" s="180">
        <v>1</v>
      </c>
      <c r="L116" s="180">
        <v>5</v>
      </c>
      <c r="M116" s="180">
        <v>39</v>
      </c>
      <c r="N116" s="180">
        <v>0</v>
      </c>
      <c r="O116" s="180">
        <v>5</v>
      </c>
      <c r="P116" s="180">
        <v>11</v>
      </c>
      <c r="Q116" s="180">
        <v>38</v>
      </c>
      <c r="R116" s="180">
        <v>0</v>
      </c>
      <c r="S116" s="180">
        <v>0</v>
      </c>
      <c r="T116" s="180">
        <v>2</v>
      </c>
      <c r="U116" s="180">
        <v>0</v>
      </c>
      <c r="V116" s="180">
        <v>0</v>
      </c>
      <c r="W116" s="180">
        <v>0</v>
      </c>
      <c r="X116" s="180">
        <v>0</v>
      </c>
      <c r="Y116" s="180">
        <v>0</v>
      </c>
      <c r="Z116" s="180">
        <v>0</v>
      </c>
      <c r="AA116" s="180">
        <v>13</v>
      </c>
      <c r="AB116" s="183">
        <f t="shared" si="14"/>
        <v>69</v>
      </c>
      <c r="AC116" s="180"/>
      <c r="AD116" s="180"/>
      <c r="AE116" s="180">
        <v>1.5</v>
      </c>
      <c r="AF116" s="180">
        <v>3.3</v>
      </c>
      <c r="AG116" s="180">
        <v>11.4</v>
      </c>
      <c r="AH116" s="180"/>
      <c r="AI116" s="180"/>
      <c r="AJ116" s="180">
        <v>0.01</v>
      </c>
      <c r="AK116" s="180"/>
      <c r="AL116" s="180"/>
      <c r="AM116" s="180"/>
      <c r="AN116" s="180"/>
      <c r="AO116" s="180"/>
      <c r="AP116" s="180"/>
      <c r="AQ116" s="180"/>
      <c r="AR116" s="149">
        <f t="shared" si="10"/>
        <v>16200</v>
      </c>
      <c r="AS116" s="150">
        <f t="shared" si="11"/>
        <v>4</v>
      </c>
      <c r="AT116" s="150">
        <f t="shared" si="15"/>
        <v>1080</v>
      </c>
      <c r="AU116" s="183">
        <f t="shared" si="16"/>
        <v>69</v>
      </c>
      <c r="AV116" s="183">
        <v>15</v>
      </c>
      <c r="AW116" s="135">
        <f t="shared" si="17"/>
        <v>0.21739130434782608</v>
      </c>
      <c r="AX116" s="203">
        <v>66</v>
      </c>
      <c r="AY116" s="136">
        <f t="shared" si="12"/>
        <v>0.18518518518518517</v>
      </c>
      <c r="AZ116" s="185">
        <v>1.25</v>
      </c>
      <c r="BA116" s="185">
        <v>1</v>
      </c>
      <c r="BB116" s="151">
        <v>16210</v>
      </c>
      <c r="BC116" s="138">
        <v>4858460</v>
      </c>
    </row>
    <row r="117" spans="1:55" ht="21">
      <c r="A117">
        <v>5</v>
      </c>
      <c r="B117" s="121" t="s">
        <v>21</v>
      </c>
      <c r="C117" s="140" t="s">
        <v>45</v>
      </c>
      <c r="D117" s="180"/>
      <c r="E117" s="180">
        <v>1</v>
      </c>
      <c r="F117" s="180">
        <v>4</v>
      </c>
      <c r="G117" s="180"/>
      <c r="H117" s="180"/>
      <c r="I117" s="180"/>
      <c r="J117" s="180"/>
      <c r="K117" s="180">
        <v>1</v>
      </c>
      <c r="L117" s="180">
        <v>6</v>
      </c>
      <c r="M117" s="180">
        <v>89</v>
      </c>
      <c r="N117" s="180"/>
      <c r="O117" s="180">
        <v>0</v>
      </c>
      <c r="P117" s="180">
        <v>39</v>
      </c>
      <c r="Q117" s="180">
        <v>4</v>
      </c>
      <c r="R117" s="180">
        <v>0</v>
      </c>
      <c r="S117" s="180">
        <v>0</v>
      </c>
      <c r="T117" s="180">
        <v>0</v>
      </c>
      <c r="U117" s="180">
        <v>0</v>
      </c>
      <c r="V117" s="180">
        <v>0</v>
      </c>
      <c r="W117" s="180">
        <v>0</v>
      </c>
      <c r="X117" s="180">
        <v>0</v>
      </c>
      <c r="Y117" s="180">
        <v>0</v>
      </c>
      <c r="Z117" s="180">
        <v>0</v>
      </c>
      <c r="AA117" s="180">
        <v>0</v>
      </c>
      <c r="AB117" s="183">
        <f t="shared" si="14"/>
        <v>43</v>
      </c>
      <c r="AC117" s="180"/>
      <c r="AD117" s="180"/>
      <c r="AE117" s="180">
        <v>69</v>
      </c>
      <c r="AF117" s="180">
        <v>40</v>
      </c>
      <c r="AG117" s="180">
        <v>108</v>
      </c>
      <c r="AH117" s="180"/>
      <c r="AI117" s="180"/>
      <c r="AJ117" s="180">
        <v>5</v>
      </c>
      <c r="AK117" s="180"/>
      <c r="AL117" s="180"/>
      <c r="AM117" s="180"/>
      <c r="AN117" s="180"/>
      <c r="AO117" s="180"/>
      <c r="AP117" s="180"/>
      <c r="AQ117" s="180"/>
      <c r="AR117" s="149">
        <f t="shared" si="10"/>
        <v>217000</v>
      </c>
      <c r="AS117" s="150">
        <f t="shared" si="11"/>
        <v>4</v>
      </c>
      <c r="AT117" s="150">
        <f t="shared" si="15"/>
        <v>36166.666666666664</v>
      </c>
      <c r="AU117" s="183">
        <f t="shared" si="16"/>
        <v>43</v>
      </c>
      <c r="AV117" s="183">
        <v>6</v>
      </c>
      <c r="AW117" s="135">
        <f t="shared" si="17"/>
        <v>0.13953488372093023</v>
      </c>
      <c r="AX117" s="203">
        <v>179</v>
      </c>
      <c r="AY117" s="136">
        <f t="shared" si="12"/>
        <v>3.2432432432432434E-2</v>
      </c>
      <c r="AZ117" s="185">
        <v>1</v>
      </c>
      <c r="BA117" s="185">
        <v>1</v>
      </c>
      <c r="BB117" s="151">
        <v>222000</v>
      </c>
      <c r="BC117" s="138">
        <v>7184529</v>
      </c>
    </row>
    <row r="118" spans="1:55" ht="21">
      <c r="A118">
        <v>5</v>
      </c>
      <c r="B118" s="121" t="s">
        <v>21</v>
      </c>
      <c r="C118" s="140" t="s">
        <v>20</v>
      </c>
      <c r="D118" s="180">
        <v>1</v>
      </c>
      <c r="E118" s="180"/>
      <c r="F118" s="180"/>
      <c r="G118" s="180">
        <v>1</v>
      </c>
      <c r="H118" s="180">
        <v>1</v>
      </c>
      <c r="I118" s="180">
        <v>1</v>
      </c>
      <c r="J118" s="180"/>
      <c r="K118" s="180">
        <v>1</v>
      </c>
      <c r="L118" s="180">
        <v>5</v>
      </c>
      <c r="M118" s="180">
        <v>115</v>
      </c>
      <c r="N118" s="180">
        <v>113</v>
      </c>
      <c r="O118" s="180">
        <v>0</v>
      </c>
      <c r="P118" s="180">
        <v>110</v>
      </c>
      <c r="Q118" s="180">
        <v>14</v>
      </c>
      <c r="R118" s="180">
        <v>0</v>
      </c>
      <c r="S118" s="180">
        <v>0</v>
      </c>
      <c r="T118" s="180">
        <v>0</v>
      </c>
      <c r="U118" s="180">
        <v>0</v>
      </c>
      <c r="V118" s="180">
        <v>0</v>
      </c>
      <c r="W118" s="180">
        <v>0</v>
      </c>
      <c r="X118" s="180">
        <v>0</v>
      </c>
      <c r="Y118" s="180">
        <v>0</v>
      </c>
      <c r="Z118" s="180">
        <v>0</v>
      </c>
      <c r="AA118" s="180"/>
      <c r="AB118" s="183">
        <f t="shared" si="14"/>
        <v>237</v>
      </c>
      <c r="AC118" s="180"/>
      <c r="AD118" s="180">
        <v>166.3</v>
      </c>
      <c r="AE118" s="180">
        <v>12</v>
      </c>
      <c r="AF118" s="180">
        <v>40</v>
      </c>
      <c r="AG118" s="180">
        <v>24</v>
      </c>
      <c r="AH118" s="180"/>
      <c r="AI118" s="180"/>
      <c r="AJ118" s="180">
        <v>0.375</v>
      </c>
      <c r="AK118" s="180"/>
      <c r="AL118" s="180"/>
      <c r="AM118" s="180"/>
      <c r="AN118" s="180">
        <v>5</v>
      </c>
      <c r="AO118" s="180"/>
      <c r="AP118" s="180">
        <v>28.9</v>
      </c>
      <c r="AQ118" s="180"/>
      <c r="AR118" s="149">
        <f t="shared" si="10"/>
        <v>242300</v>
      </c>
      <c r="AS118" s="150">
        <f t="shared" si="11"/>
        <v>7</v>
      </c>
      <c r="AT118" s="150">
        <f t="shared" si="15"/>
        <v>30287.5</v>
      </c>
      <c r="AU118" s="183">
        <f t="shared" si="16"/>
        <v>237</v>
      </c>
      <c r="AV118" s="183">
        <v>8</v>
      </c>
      <c r="AW118" s="135">
        <f t="shared" si="17"/>
        <v>3.3755274261603373E-2</v>
      </c>
      <c r="AX118" s="203">
        <v>146</v>
      </c>
      <c r="AY118" s="136">
        <f t="shared" si="12"/>
        <v>5.1948051948051951E-2</v>
      </c>
      <c r="AZ118" s="185">
        <v>1.21</v>
      </c>
      <c r="BA118" s="185">
        <v>1</v>
      </c>
      <c r="BB118" s="151">
        <v>276575</v>
      </c>
      <c r="BC118" s="138">
        <v>5836244</v>
      </c>
    </row>
    <row r="119" spans="1:55" ht="21">
      <c r="A119">
        <v>5</v>
      </c>
      <c r="B119" s="121" t="s">
        <v>139</v>
      </c>
      <c r="C119" s="140" t="s">
        <v>54</v>
      </c>
      <c r="D119" s="180">
        <v>1</v>
      </c>
      <c r="E119" s="180">
        <v>1</v>
      </c>
      <c r="F119" s="180"/>
      <c r="G119" s="180"/>
      <c r="H119" s="180">
        <v>1</v>
      </c>
      <c r="I119" s="180">
        <v>2</v>
      </c>
      <c r="J119" s="180"/>
      <c r="K119" s="180">
        <v>1</v>
      </c>
      <c r="L119" s="180">
        <v>6</v>
      </c>
      <c r="M119" s="180"/>
      <c r="N119" s="180">
        <v>88</v>
      </c>
      <c r="O119" s="180">
        <v>17</v>
      </c>
      <c r="P119" s="180">
        <v>0</v>
      </c>
      <c r="Q119" s="180">
        <v>73</v>
      </c>
      <c r="R119" s="180">
        <v>0</v>
      </c>
      <c r="S119" s="180">
        <v>12</v>
      </c>
      <c r="T119" s="180">
        <v>0</v>
      </c>
      <c r="U119" s="180">
        <v>0</v>
      </c>
      <c r="V119" s="180">
        <v>0</v>
      </c>
      <c r="W119" s="180">
        <v>0</v>
      </c>
      <c r="X119" s="180">
        <v>0</v>
      </c>
      <c r="Y119" s="180">
        <v>0</v>
      </c>
      <c r="Z119" s="180">
        <v>0</v>
      </c>
      <c r="AA119" s="180">
        <v>2</v>
      </c>
      <c r="AB119" s="183">
        <f t="shared" si="14"/>
        <v>192</v>
      </c>
      <c r="AC119" s="180"/>
      <c r="AD119" s="180">
        <v>62</v>
      </c>
      <c r="AE119" s="180">
        <v>8</v>
      </c>
      <c r="AF119" s="180"/>
      <c r="AG119" s="180">
        <v>20</v>
      </c>
      <c r="AH119" s="180"/>
      <c r="AI119" s="180">
        <v>4</v>
      </c>
      <c r="AJ119" s="180">
        <v>3</v>
      </c>
      <c r="AK119" s="180"/>
      <c r="AL119" s="180">
        <v>6</v>
      </c>
      <c r="AM119" s="180"/>
      <c r="AN119" s="180"/>
      <c r="AO119" s="180"/>
      <c r="AP119" s="180"/>
      <c r="AQ119" s="180"/>
      <c r="AR119" s="149">
        <f t="shared" si="10"/>
        <v>94000</v>
      </c>
      <c r="AS119" s="150">
        <f t="shared" si="11"/>
        <v>6</v>
      </c>
      <c r="AT119" s="150">
        <f t="shared" si="15"/>
        <v>1323.943661971831</v>
      </c>
      <c r="AU119" s="183">
        <f t="shared" si="16"/>
        <v>192</v>
      </c>
      <c r="AV119" s="183">
        <v>71</v>
      </c>
      <c r="AW119" s="135">
        <f t="shared" si="17"/>
        <v>0.36979166666666669</v>
      </c>
      <c r="AX119" s="203">
        <v>86</v>
      </c>
      <c r="AY119" s="136">
        <f t="shared" si="12"/>
        <v>0.45222929936305734</v>
      </c>
      <c r="AZ119" s="185">
        <v>1.03</v>
      </c>
      <c r="BA119" s="185">
        <v>1</v>
      </c>
      <c r="BB119" s="151">
        <v>103000</v>
      </c>
      <c r="BC119" s="138">
        <v>24150658</v>
      </c>
    </row>
    <row r="120" spans="1:55" ht="21">
      <c r="A120">
        <v>5</v>
      </c>
      <c r="B120" s="121" t="s">
        <v>70</v>
      </c>
      <c r="C120" s="140" t="s">
        <v>86</v>
      </c>
      <c r="D120" s="180"/>
      <c r="E120" s="180">
        <v>2</v>
      </c>
      <c r="F120" s="180"/>
      <c r="G120" s="180"/>
      <c r="H120" s="180"/>
      <c r="I120" s="180"/>
      <c r="J120" s="180">
        <v>2</v>
      </c>
      <c r="K120" s="180">
        <v>1</v>
      </c>
      <c r="L120" s="180">
        <v>5</v>
      </c>
      <c r="M120" s="180">
        <v>46</v>
      </c>
      <c r="N120" s="180"/>
      <c r="O120" s="180"/>
      <c r="P120" s="180">
        <v>76</v>
      </c>
      <c r="Q120" s="180">
        <v>34</v>
      </c>
      <c r="R120" s="180"/>
      <c r="S120" s="180">
        <v>15</v>
      </c>
      <c r="T120" s="180"/>
      <c r="U120" s="180"/>
      <c r="V120" s="180"/>
      <c r="W120" s="180"/>
      <c r="X120" s="180"/>
      <c r="Y120" s="180"/>
      <c r="Z120" s="180"/>
      <c r="AA120" s="180"/>
      <c r="AB120" s="183">
        <f t="shared" si="14"/>
        <v>125</v>
      </c>
      <c r="AC120" s="180"/>
      <c r="AD120" s="180"/>
      <c r="AE120" s="180">
        <v>2</v>
      </c>
      <c r="AF120" s="180">
        <v>6</v>
      </c>
      <c r="AG120" s="180">
        <v>3</v>
      </c>
      <c r="AH120" s="180">
        <v>3</v>
      </c>
      <c r="AI120" s="180">
        <v>2</v>
      </c>
      <c r="AJ120" s="180">
        <v>2</v>
      </c>
      <c r="AK120" s="180"/>
      <c r="AL120" s="180"/>
      <c r="AM120" s="180"/>
      <c r="AN120" s="180"/>
      <c r="AO120" s="180"/>
      <c r="AP120" s="180"/>
      <c r="AQ120" s="180"/>
      <c r="AR120" s="149">
        <f t="shared" si="10"/>
        <v>16000</v>
      </c>
      <c r="AS120" s="150">
        <f t="shared" si="11"/>
        <v>6</v>
      </c>
      <c r="AT120" s="150">
        <f t="shared" si="15"/>
        <v>3200</v>
      </c>
      <c r="AU120" s="183">
        <f t="shared" si="16"/>
        <v>125</v>
      </c>
      <c r="AV120" s="183">
        <v>5</v>
      </c>
      <c r="AW120" s="135">
        <f t="shared" si="17"/>
        <v>0.04</v>
      </c>
      <c r="AX120" s="203">
        <v>64</v>
      </c>
      <c r="AY120" s="136">
        <f t="shared" si="12"/>
        <v>7.2463768115942032E-2</v>
      </c>
      <c r="AZ120" s="185">
        <v>1.1499999999999999</v>
      </c>
      <c r="BA120" s="185">
        <v>1</v>
      </c>
      <c r="BB120" s="151">
        <v>18000</v>
      </c>
      <c r="BC120" s="138">
        <v>5210767</v>
      </c>
    </row>
    <row r="121" spans="1:55" ht="21">
      <c r="A121">
        <v>5</v>
      </c>
      <c r="B121" s="121" t="s">
        <v>139</v>
      </c>
      <c r="C121" s="140" t="s">
        <v>50</v>
      </c>
      <c r="D121" s="180">
        <v>1</v>
      </c>
      <c r="E121" s="180">
        <v>1</v>
      </c>
      <c r="F121" s="180"/>
      <c r="G121" s="180"/>
      <c r="H121" s="180">
        <v>1</v>
      </c>
      <c r="I121" s="180">
        <v>2</v>
      </c>
      <c r="J121" s="180"/>
      <c r="K121" s="180">
        <v>1</v>
      </c>
      <c r="L121" s="180">
        <v>6</v>
      </c>
      <c r="M121" s="180">
        <v>76</v>
      </c>
      <c r="N121" s="180">
        <v>30</v>
      </c>
      <c r="O121" s="180">
        <v>0</v>
      </c>
      <c r="P121" s="180">
        <v>12</v>
      </c>
      <c r="Q121" s="180">
        <v>36</v>
      </c>
      <c r="R121" s="180">
        <v>0</v>
      </c>
      <c r="S121" s="180">
        <v>30</v>
      </c>
      <c r="T121" s="180">
        <v>0</v>
      </c>
      <c r="U121" s="180">
        <v>0</v>
      </c>
      <c r="V121" s="180">
        <v>0</v>
      </c>
      <c r="W121" s="180">
        <v>0</v>
      </c>
      <c r="X121" s="180">
        <v>0</v>
      </c>
      <c r="Y121" s="180">
        <v>0</v>
      </c>
      <c r="Z121" s="180">
        <v>0</v>
      </c>
      <c r="AA121" s="180">
        <v>0</v>
      </c>
      <c r="AB121" s="183">
        <f t="shared" si="14"/>
        <v>108</v>
      </c>
      <c r="AC121" s="180"/>
      <c r="AD121" s="180">
        <v>20</v>
      </c>
      <c r="AE121" s="180"/>
      <c r="AF121" s="180">
        <v>9</v>
      </c>
      <c r="AG121" s="180">
        <v>8</v>
      </c>
      <c r="AH121" s="180"/>
      <c r="AI121" s="180">
        <v>9</v>
      </c>
      <c r="AJ121" s="180">
        <v>3</v>
      </c>
      <c r="AK121" s="180"/>
      <c r="AL121" s="180">
        <v>5</v>
      </c>
      <c r="AM121" s="180"/>
      <c r="AN121" s="180"/>
      <c r="AO121" s="180"/>
      <c r="AP121" s="180"/>
      <c r="AQ121" s="180"/>
      <c r="AR121" s="149">
        <f t="shared" si="10"/>
        <v>46000</v>
      </c>
      <c r="AS121" s="150">
        <f t="shared" si="11"/>
        <v>6</v>
      </c>
      <c r="AT121" s="150">
        <f t="shared" si="15"/>
        <v>7666.666666666667</v>
      </c>
      <c r="AU121" s="183">
        <f t="shared" si="16"/>
        <v>108</v>
      </c>
      <c r="AV121" s="183">
        <v>6</v>
      </c>
      <c r="AW121" s="135">
        <f t="shared" si="17"/>
        <v>5.5555555555555552E-2</v>
      </c>
      <c r="AX121" s="203">
        <v>37</v>
      </c>
      <c r="AY121" s="136">
        <f t="shared" si="12"/>
        <v>0.13953488372093023</v>
      </c>
      <c r="AZ121" s="185">
        <v>1.1000000000000001</v>
      </c>
      <c r="BA121" s="185">
        <v>1</v>
      </c>
      <c r="BB121" s="151">
        <v>54000</v>
      </c>
      <c r="BC121" s="138">
        <v>7860633</v>
      </c>
    </row>
    <row r="122" spans="1:55" ht="21">
      <c r="A122">
        <v>5</v>
      </c>
      <c r="B122" s="121" t="s">
        <v>70</v>
      </c>
      <c r="C122" s="140" t="s">
        <v>88</v>
      </c>
      <c r="D122" s="180">
        <v>1</v>
      </c>
      <c r="E122" s="180">
        <v>1</v>
      </c>
      <c r="F122" s="180">
        <v>3</v>
      </c>
      <c r="G122" s="180"/>
      <c r="H122" s="180">
        <v>1</v>
      </c>
      <c r="I122" s="180">
        <v>1</v>
      </c>
      <c r="J122" s="180"/>
      <c r="K122" s="180">
        <v>1</v>
      </c>
      <c r="L122" s="180">
        <v>8</v>
      </c>
      <c r="M122" s="180">
        <v>8</v>
      </c>
      <c r="N122" s="180">
        <v>0</v>
      </c>
      <c r="O122" s="180">
        <v>0</v>
      </c>
      <c r="P122" s="180">
        <v>12</v>
      </c>
      <c r="Q122" s="180">
        <v>33</v>
      </c>
      <c r="R122" s="180">
        <v>0</v>
      </c>
      <c r="S122" s="180">
        <v>42</v>
      </c>
      <c r="T122" s="180">
        <v>0</v>
      </c>
      <c r="U122" s="180">
        <v>0</v>
      </c>
      <c r="V122" s="180">
        <v>0</v>
      </c>
      <c r="W122" s="180">
        <v>0</v>
      </c>
      <c r="X122" s="180">
        <v>0</v>
      </c>
      <c r="Y122" s="180">
        <v>0</v>
      </c>
      <c r="Z122" s="180">
        <v>0</v>
      </c>
      <c r="AA122" s="180">
        <v>0</v>
      </c>
      <c r="AB122" s="183">
        <f t="shared" si="14"/>
        <v>87</v>
      </c>
      <c r="AC122" s="180"/>
      <c r="AD122" s="180">
        <v>10</v>
      </c>
      <c r="AE122" s="180">
        <v>7</v>
      </c>
      <c r="AF122" s="180">
        <v>10</v>
      </c>
      <c r="AG122" s="180">
        <v>8</v>
      </c>
      <c r="AH122" s="180"/>
      <c r="AI122" s="180">
        <v>8</v>
      </c>
      <c r="AJ122" s="180"/>
      <c r="AK122" s="180"/>
      <c r="AL122" s="180">
        <v>10</v>
      </c>
      <c r="AM122" s="180"/>
      <c r="AN122" s="180"/>
      <c r="AO122" s="180"/>
      <c r="AP122" s="180"/>
      <c r="AQ122" s="180"/>
      <c r="AR122" s="149">
        <f t="shared" si="10"/>
        <v>43000</v>
      </c>
      <c r="AS122" s="150">
        <f t="shared" si="11"/>
        <v>6</v>
      </c>
      <c r="AT122" s="150">
        <f t="shared" si="15"/>
        <v>10750</v>
      </c>
      <c r="AU122" s="183">
        <f t="shared" si="16"/>
        <v>87</v>
      </c>
      <c r="AV122" s="183">
        <v>4</v>
      </c>
      <c r="AW122" s="135">
        <f t="shared" si="17"/>
        <v>4.5977011494252873E-2</v>
      </c>
      <c r="AX122" s="203">
        <v>55</v>
      </c>
      <c r="AY122" s="136">
        <f t="shared" si="12"/>
        <v>6.7796610169491525E-2</v>
      </c>
      <c r="AZ122" s="185">
        <v>1.2</v>
      </c>
      <c r="BA122" s="185">
        <v>1</v>
      </c>
      <c r="BB122" s="151">
        <v>53000</v>
      </c>
      <c r="BC122" s="138">
        <v>4986237</v>
      </c>
    </row>
    <row r="123" spans="1:55" ht="21">
      <c r="A123">
        <v>5</v>
      </c>
      <c r="B123" s="121" t="s">
        <v>21</v>
      </c>
      <c r="C123" s="140" t="s">
        <v>33</v>
      </c>
      <c r="D123" s="180"/>
      <c r="E123" s="180">
        <v>1</v>
      </c>
      <c r="F123" s="180">
        <v>1</v>
      </c>
      <c r="G123" s="180">
        <v>1</v>
      </c>
      <c r="H123" s="180"/>
      <c r="I123" s="180">
        <v>1</v>
      </c>
      <c r="J123" s="180"/>
      <c r="K123" s="180"/>
      <c r="L123" s="180">
        <v>4</v>
      </c>
      <c r="M123" s="180">
        <v>66</v>
      </c>
      <c r="N123" s="180">
        <v>68</v>
      </c>
      <c r="O123" s="180"/>
      <c r="P123" s="180"/>
      <c r="Q123" s="180"/>
      <c r="R123" s="180"/>
      <c r="S123" s="180"/>
      <c r="T123" s="180"/>
      <c r="U123" s="180"/>
      <c r="V123" s="180"/>
      <c r="W123" s="180"/>
      <c r="X123" s="180"/>
      <c r="Y123" s="180"/>
      <c r="Z123" s="180"/>
      <c r="AA123" s="180"/>
      <c r="AB123" s="183">
        <f t="shared" si="14"/>
        <v>68</v>
      </c>
      <c r="AC123" s="180"/>
      <c r="AD123" s="180">
        <v>80</v>
      </c>
      <c r="AE123" s="180"/>
      <c r="AF123" s="180">
        <v>19</v>
      </c>
      <c r="AG123" s="180">
        <v>24</v>
      </c>
      <c r="AH123" s="180"/>
      <c r="AI123" s="180"/>
      <c r="AJ123" s="180"/>
      <c r="AK123" s="180"/>
      <c r="AL123" s="180"/>
      <c r="AM123" s="180"/>
      <c r="AN123" s="180"/>
      <c r="AO123" s="180"/>
      <c r="AP123" s="180"/>
      <c r="AQ123" s="180"/>
      <c r="AR123" s="149">
        <f t="shared" si="10"/>
        <v>123000</v>
      </c>
      <c r="AS123" s="150">
        <f t="shared" si="11"/>
        <v>3</v>
      </c>
      <c r="AT123" s="150">
        <f t="shared" si="15"/>
        <v>24600</v>
      </c>
      <c r="AU123" s="183">
        <f t="shared" si="16"/>
        <v>68</v>
      </c>
      <c r="AV123" s="183">
        <v>5</v>
      </c>
      <c r="AW123" s="135">
        <f t="shared" si="17"/>
        <v>7.3529411764705885E-2</v>
      </c>
      <c r="AX123" s="203">
        <v>191</v>
      </c>
      <c r="AY123" s="136">
        <f t="shared" si="12"/>
        <v>2.5510204081632654E-2</v>
      </c>
      <c r="AZ123" s="185">
        <v>1.04</v>
      </c>
      <c r="BA123" s="185">
        <v>1</v>
      </c>
      <c r="BB123" s="151">
        <v>123000</v>
      </c>
      <c r="BC123" s="138">
        <v>20568490</v>
      </c>
    </row>
    <row r="124" spans="1:55" ht="21">
      <c r="A124">
        <v>5</v>
      </c>
      <c r="B124" s="121" t="s">
        <v>21</v>
      </c>
      <c r="C124" s="140" t="s">
        <v>24</v>
      </c>
      <c r="D124" s="180">
        <v>1</v>
      </c>
      <c r="E124" s="180"/>
      <c r="F124" s="180"/>
      <c r="G124" s="180"/>
      <c r="H124" s="180"/>
      <c r="I124" s="180"/>
      <c r="J124" s="180"/>
      <c r="K124" s="180">
        <v>1</v>
      </c>
      <c r="L124" s="180">
        <v>2</v>
      </c>
      <c r="M124" s="180">
        <v>11</v>
      </c>
      <c r="N124" s="180"/>
      <c r="O124" s="180">
        <v>0</v>
      </c>
      <c r="P124" s="180">
        <v>0</v>
      </c>
      <c r="Q124" s="180">
        <v>107</v>
      </c>
      <c r="R124" s="180">
        <v>0</v>
      </c>
      <c r="S124" s="180">
        <v>8</v>
      </c>
      <c r="T124" s="180">
        <v>0</v>
      </c>
      <c r="U124" s="180">
        <v>0</v>
      </c>
      <c r="V124" s="180">
        <v>0</v>
      </c>
      <c r="W124" s="180">
        <v>0</v>
      </c>
      <c r="X124" s="180">
        <v>0</v>
      </c>
      <c r="Y124" s="180">
        <v>0</v>
      </c>
      <c r="Z124" s="180">
        <v>0</v>
      </c>
      <c r="AA124" s="180">
        <v>0</v>
      </c>
      <c r="AB124" s="183">
        <f t="shared" si="14"/>
        <v>115</v>
      </c>
      <c r="AC124" s="180"/>
      <c r="AD124" s="180"/>
      <c r="AE124" s="180"/>
      <c r="AF124" s="180"/>
      <c r="AG124" s="180">
        <v>11.5</v>
      </c>
      <c r="AH124" s="180"/>
      <c r="AI124" s="180">
        <v>0.32700000000000001</v>
      </c>
      <c r="AJ124" s="180">
        <v>0.32600000000000001</v>
      </c>
      <c r="AK124" s="180"/>
      <c r="AL124" s="180"/>
      <c r="AM124" s="180"/>
      <c r="AN124" s="180"/>
      <c r="AO124" s="180"/>
      <c r="AP124" s="180"/>
      <c r="AQ124" s="180"/>
      <c r="AR124" s="149">
        <f t="shared" si="10"/>
        <v>11827</v>
      </c>
      <c r="AS124" s="150">
        <f t="shared" si="11"/>
        <v>3</v>
      </c>
      <c r="AT124" s="150">
        <f t="shared" si="15"/>
        <v>3942.3333333333335</v>
      </c>
      <c r="AU124" s="183">
        <f t="shared" si="16"/>
        <v>115</v>
      </c>
      <c r="AV124" s="183">
        <v>3</v>
      </c>
      <c r="AW124" s="135">
        <f t="shared" si="17"/>
        <v>2.6086956521739129E-2</v>
      </c>
      <c r="AX124" s="203">
        <v>84</v>
      </c>
      <c r="AY124" s="136">
        <f t="shared" si="12"/>
        <v>3.4482758620689655E-2</v>
      </c>
      <c r="AZ124" s="185">
        <v>0.38</v>
      </c>
      <c r="BA124" s="185">
        <v>0</v>
      </c>
      <c r="BB124" s="151">
        <v>12153</v>
      </c>
      <c r="BC124" s="138">
        <v>0</v>
      </c>
    </row>
    <row r="125" spans="1:55" ht="21.6" thickBot="1">
      <c r="A125">
        <v>5</v>
      </c>
      <c r="B125" s="122" t="s">
        <v>70</v>
      </c>
      <c r="C125" s="141" t="s">
        <v>92</v>
      </c>
      <c r="D125" s="180">
        <v>1</v>
      </c>
      <c r="E125" s="180">
        <v>1</v>
      </c>
      <c r="F125" s="180">
        <v>1</v>
      </c>
      <c r="G125" s="180"/>
      <c r="H125" s="180">
        <v>1</v>
      </c>
      <c r="I125" s="180"/>
      <c r="J125" s="180"/>
      <c r="K125" s="180">
        <v>1</v>
      </c>
      <c r="L125" s="180">
        <v>5</v>
      </c>
      <c r="M125" s="180">
        <v>20</v>
      </c>
      <c r="N125" s="180">
        <v>10</v>
      </c>
      <c r="O125" s="180"/>
      <c r="P125" s="180">
        <v>44</v>
      </c>
      <c r="Q125" s="180">
        <v>18</v>
      </c>
      <c r="R125" s="180"/>
      <c r="S125" s="180"/>
      <c r="T125" s="180"/>
      <c r="U125" s="180"/>
      <c r="V125" s="180"/>
      <c r="W125" s="180"/>
      <c r="X125" s="180"/>
      <c r="Y125" s="180"/>
      <c r="Z125" s="180"/>
      <c r="AA125" s="180"/>
      <c r="AB125" s="183">
        <f t="shared" si="14"/>
        <v>72</v>
      </c>
      <c r="AC125" s="180"/>
      <c r="AD125" s="180">
        <v>15</v>
      </c>
      <c r="AE125" s="180">
        <v>2</v>
      </c>
      <c r="AF125" s="180">
        <v>5</v>
      </c>
      <c r="AG125" s="180">
        <v>4</v>
      </c>
      <c r="AH125" s="180">
        <v>1</v>
      </c>
      <c r="AI125" s="180">
        <v>2</v>
      </c>
      <c r="AJ125" s="180">
        <v>2</v>
      </c>
      <c r="AK125" s="180"/>
      <c r="AL125" s="180"/>
      <c r="AM125" s="180"/>
      <c r="AN125" s="180"/>
      <c r="AO125" s="180"/>
      <c r="AP125" s="180"/>
      <c r="AQ125" s="180"/>
      <c r="AR125" s="149">
        <f t="shared" si="10"/>
        <v>29000</v>
      </c>
      <c r="AS125" s="150">
        <f t="shared" si="11"/>
        <v>7</v>
      </c>
      <c r="AT125" s="150">
        <f t="shared" si="15"/>
        <v>14500</v>
      </c>
      <c r="AU125" s="183">
        <f t="shared" si="16"/>
        <v>72</v>
      </c>
      <c r="AV125" s="183">
        <v>2</v>
      </c>
      <c r="AW125" s="135">
        <f t="shared" si="17"/>
        <v>2.7777777777777776E-2</v>
      </c>
      <c r="AX125" s="203">
        <v>21</v>
      </c>
      <c r="AY125" s="136">
        <f t="shared" si="12"/>
        <v>8.6956521739130432E-2</v>
      </c>
      <c r="AZ125" s="185">
        <v>1.05</v>
      </c>
      <c r="BA125" s="185">
        <v>1</v>
      </c>
      <c r="BB125" s="151">
        <v>31000</v>
      </c>
      <c r="BC125" s="138">
        <v>4044253</v>
      </c>
    </row>
    <row r="126" spans="1:55" ht="21">
      <c r="A126">
        <v>6</v>
      </c>
      <c r="B126" s="120" t="s">
        <v>70</v>
      </c>
      <c r="C126" s="139" t="s">
        <v>69</v>
      </c>
      <c r="D126" s="180">
        <v>1</v>
      </c>
      <c r="E126" s="180">
        <v>2</v>
      </c>
      <c r="F126" s="180">
        <v>1</v>
      </c>
      <c r="G126" s="180"/>
      <c r="H126" s="180">
        <v>1</v>
      </c>
      <c r="I126" s="180"/>
      <c r="J126" s="180">
        <v>2</v>
      </c>
      <c r="K126" s="180"/>
      <c r="L126" s="180">
        <v>7</v>
      </c>
      <c r="M126" s="182">
        <v>30</v>
      </c>
      <c r="N126" s="182">
        <v>34</v>
      </c>
      <c r="O126" s="182"/>
      <c r="P126" s="182">
        <v>82</v>
      </c>
      <c r="Q126" s="182">
        <v>81</v>
      </c>
      <c r="R126" s="182"/>
      <c r="S126" s="182"/>
      <c r="T126" s="182"/>
      <c r="U126" s="182"/>
      <c r="V126" s="182"/>
      <c r="W126" s="182"/>
      <c r="X126" s="182"/>
      <c r="Y126" s="182"/>
      <c r="Z126" s="182"/>
      <c r="AA126" s="182"/>
      <c r="AB126" s="183">
        <f t="shared" si="14"/>
        <v>197</v>
      </c>
      <c r="AC126" s="183"/>
      <c r="AD126" s="183">
        <v>6</v>
      </c>
      <c r="AE126" s="183"/>
      <c r="AF126" s="183">
        <v>4</v>
      </c>
      <c r="AG126" s="183">
        <v>4</v>
      </c>
      <c r="AH126" s="183"/>
      <c r="AI126" s="183"/>
      <c r="AJ126" s="183">
        <v>2</v>
      </c>
      <c r="AK126" s="183"/>
      <c r="AL126" s="183">
        <v>7</v>
      </c>
      <c r="AM126" s="183"/>
      <c r="AN126" s="183"/>
      <c r="AO126" s="183"/>
      <c r="AP126" s="183"/>
      <c r="AQ126" s="183">
        <v>1</v>
      </c>
      <c r="AR126" s="149">
        <f t="shared" si="10"/>
        <v>15000</v>
      </c>
      <c r="AS126" s="150">
        <f t="shared" si="11"/>
        <v>6</v>
      </c>
      <c r="AT126" s="150">
        <f t="shared" si="15"/>
        <v>3750</v>
      </c>
      <c r="AU126" s="183">
        <f t="shared" si="16"/>
        <v>197</v>
      </c>
      <c r="AV126" s="183">
        <v>4</v>
      </c>
      <c r="AW126" s="135">
        <f t="shared" si="17"/>
        <v>2.030456852791878E-2</v>
      </c>
      <c r="AX126" s="180">
        <v>17</v>
      </c>
      <c r="AY126" s="136">
        <f t="shared" si="12"/>
        <v>0.19047619047619047</v>
      </c>
      <c r="AZ126" s="195">
        <v>1</v>
      </c>
      <c r="BA126" s="195">
        <v>1</v>
      </c>
      <c r="BB126" s="181">
        <v>24000</v>
      </c>
      <c r="BC126" s="138">
        <v>3600026</v>
      </c>
    </row>
    <row r="127" spans="1:55" ht="21">
      <c r="A127">
        <v>6</v>
      </c>
      <c r="B127" s="121" t="s">
        <v>21</v>
      </c>
      <c r="C127" s="140" t="s">
        <v>36</v>
      </c>
      <c r="D127" s="181"/>
      <c r="E127" s="181"/>
      <c r="F127" s="181"/>
      <c r="G127" s="181"/>
      <c r="H127" s="181"/>
      <c r="I127" s="181"/>
      <c r="J127" s="181"/>
      <c r="K127" s="181"/>
      <c r="L127" s="181"/>
      <c r="M127" s="182"/>
      <c r="N127" s="182"/>
      <c r="O127" s="182"/>
      <c r="P127" s="182"/>
      <c r="Q127" s="182"/>
      <c r="R127" s="182"/>
      <c r="S127" s="182"/>
      <c r="T127" s="182"/>
      <c r="U127" s="182"/>
      <c r="V127" s="182"/>
      <c r="W127" s="182"/>
      <c r="X127" s="182"/>
      <c r="Y127" s="182"/>
      <c r="Z127" s="182"/>
      <c r="AA127" s="182"/>
      <c r="AB127" s="183">
        <f t="shared" si="14"/>
        <v>0</v>
      </c>
      <c r="AC127" s="182"/>
      <c r="AD127" s="182"/>
      <c r="AE127" s="182"/>
      <c r="AF127" s="182"/>
      <c r="AG127" s="182"/>
      <c r="AH127" s="182"/>
      <c r="AI127" s="182"/>
      <c r="AJ127" s="182"/>
      <c r="AK127" s="182"/>
      <c r="AL127" s="182"/>
      <c r="AM127" s="182"/>
      <c r="AN127" s="182"/>
      <c r="AO127" s="182"/>
      <c r="AP127" s="182"/>
      <c r="AQ127" s="182"/>
      <c r="AR127" s="149">
        <f t="shared" si="10"/>
        <v>0</v>
      </c>
      <c r="AS127" s="150">
        <f t="shared" si="11"/>
        <v>0</v>
      </c>
      <c r="AT127" s="150">
        <v>0</v>
      </c>
      <c r="AU127" s="183">
        <f t="shared" si="16"/>
        <v>0</v>
      </c>
      <c r="AV127" s="183">
        <v>0</v>
      </c>
      <c r="AW127" s="135"/>
      <c r="AX127" s="180">
        <v>0</v>
      </c>
      <c r="AY127" s="136">
        <v>0</v>
      </c>
      <c r="AZ127" s="195">
        <v>0</v>
      </c>
      <c r="BA127" s="195">
        <v>0</v>
      </c>
      <c r="BB127" s="181">
        <v>0</v>
      </c>
      <c r="BC127" s="138">
        <v>0</v>
      </c>
    </row>
    <row r="128" spans="1:55" ht="21">
      <c r="A128">
        <v>6</v>
      </c>
      <c r="B128" s="121" t="s">
        <v>139</v>
      </c>
      <c r="C128" s="140" t="s">
        <v>149</v>
      </c>
      <c r="D128" s="180"/>
      <c r="E128" s="180">
        <v>1</v>
      </c>
      <c r="F128" s="180">
        <v>1</v>
      </c>
      <c r="G128" s="180"/>
      <c r="H128" s="180">
        <v>1</v>
      </c>
      <c r="I128" s="180">
        <v>1</v>
      </c>
      <c r="J128" s="180"/>
      <c r="K128" s="180">
        <v>1</v>
      </c>
      <c r="L128" s="180">
        <v>5</v>
      </c>
      <c r="M128" s="182">
        <v>64</v>
      </c>
      <c r="N128" s="182">
        <v>64</v>
      </c>
      <c r="O128" s="182">
        <v>0</v>
      </c>
      <c r="P128" s="182">
        <v>64</v>
      </c>
      <c r="Q128" s="182">
        <v>81</v>
      </c>
      <c r="R128" s="182">
        <v>0</v>
      </c>
      <c r="S128" s="182">
        <v>53</v>
      </c>
      <c r="T128" s="182">
        <v>0</v>
      </c>
      <c r="U128" s="182"/>
      <c r="V128" s="182">
        <v>0</v>
      </c>
      <c r="W128" s="182"/>
      <c r="X128" s="182"/>
      <c r="Y128" s="182"/>
      <c r="Z128" s="182"/>
      <c r="AA128" s="182">
        <v>0</v>
      </c>
      <c r="AB128" s="183">
        <f t="shared" si="14"/>
        <v>262</v>
      </c>
      <c r="AC128" s="182"/>
      <c r="AD128" s="182">
        <v>50</v>
      </c>
      <c r="AE128" s="182">
        <v>6</v>
      </c>
      <c r="AF128" s="182">
        <v>30</v>
      </c>
      <c r="AG128" s="182">
        <v>15</v>
      </c>
      <c r="AH128" s="182">
        <v>6</v>
      </c>
      <c r="AI128" s="182">
        <v>15</v>
      </c>
      <c r="AJ128" s="182">
        <v>5</v>
      </c>
      <c r="AK128" s="182"/>
      <c r="AL128" s="182">
        <v>30</v>
      </c>
      <c r="AM128" s="182"/>
      <c r="AN128" s="182"/>
      <c r="AO128" s="182"/>
      <c r="AP128" s="182"/>
      <c r="AQ128" s="182">
        <v>6</v>
      </c>
      <c r="AR128" s="149">
        <f t="shared" si="10"/>
        <v>128000</v>
      </c>
      <c r="AS128" s="150">
        <f t="shared" si="11"/>
        <v>9</v>
      </c>
      <c r="AT128" s="150">
        <f t="shared" si="15"/>
        <v>8000</v>
      </c>
      <c r="AU128" s="183">
        <f t="shared" si="16"/>
        <v>262</v>
      </c>
      <c r="AV128" s="183">
        <v>16</v>
      </c>
      <c r="AW128" s="135">
        <f t="shared" si="17"/>
        <v>6.1068702290076333E-2</v>
      </c>
      <c r="AX128" s="180">
        <v>53</v>
      </c>
      <c r="AY128" s="136">
        <f t="shared" ref="AY128:AY191" si="19">AV128/SUM(AV128+AX128)</f>
        <v>0.2318840579710145</v>
      </c>
      <c r="AZ128" s="195">
        <v>1</v>
      </c>
      <c r="BA128" s="195">
        <v>1</v>
      </c>
      <c r="BB128" s="181">
        <v>163000</v>
      </c>
      <c r="BC128" s="138">
        <v>18641632</v>
      </c>
    </row>
    <row r="129" spans="1:55" ht="21">
      <c r="A129">
        <v>6</v>
      </c>
      <c r="B129" s="121" t="s">
        <v>70</v>
      </c>
      <c r="C129" s="140" t="s">
        <v>90</v>
      </c>
      <c r="D129" s="180"/>
      <c r="E129" s="180">
        <v>1</v>
      </c>
      <c r="F129" s="180">
        <v>2</v>
      </c>
      <c r="G129" s="180"/>
      <c r="H129" s="180">
        <v>1</v>
      </c>
      <c r="I129" s="180"/>
      <c r="J129" s="180">
        <v>2</v>
      </c>
      <c r="K129" s="180"/>
      <c r="L129" s="180">
        <v>6</v>
      </c>
      <c r="M129" s="182">
        <v>18</v>
      </c>
      <c r="N129" s="182">
        <v>42</v>
      </c>
      <c r="O129" s="182"/>
      <c r="P129" s="182">
        <v>26</v>
      </c>
      <c r="Q129" s="182">
        <v>82</v>
      </c>
      <c r="R129" s="182">
        <v>7</v>
      </c>
      <c r="S129" s="182">
        <v>2</v>
      </c>
      <c r="T129" s="182">
        <v>3</v>
      </c>
      <c r="U129" s="182"/>
      <c r="V129" s="182">
        <v>3</v>
      </c>
      <c r="W129" s="182"/>
      <c r="X129" s="182"/>
      <c r="Y129" s="182"/>
      <c r="Z129" s="182"/>
      <c r="AA129" s="182"/>
      <c r="AB129" s="183">
        <f t="shared" si="14"/>
        <v>165</v>
      </c>
      <c r="AC129" s="183"/>
      <c r="AD129" s="183">
        <v>27</v>
      </c>
      <c r="AE129" s="183"/>
      <c r="AF129" s="183">
        <v>8</v>
      </c>
      <c r="AG129" s="183">
        <v>21</v>
      </c>
      <c r="AH129" s="183"/>
      <c r="AI129" s="183"/>
      <c r="AJ129" s="183">
        <v>1</v>
      </c>
      <c r="AK129" s="183"/>
      <c r="AL129" s="183">
        <v>54</v>
      </c>
      <c r="AM129" s="183"/>
      <c r="AN129" s="183"/>
      <c r="AO129" s="183"/>
      <c r="AP129" s="183"/>
      <c r="AQ129" s="183"/>
      <c r="AR129" s="149">
        <f t="shared" si="10"/>
        <v>56000</v>
      </c>
      <c r="AS129" s="150">
        <f t="shared" si="11"/>
        <v>5</v>
      </c>
      <c r="AT129" s="150">
        <f t="shared" si="15"/>
        <v>9333.3333333333339</v>
      </c>
      <c r="AU129" s="183">
        <f t="shared" si="16"/>
        <v>165</v>
      </c>
      <c r="AV129" s="183">
        <v>6</v>
      </c>
      <c r="AW129" s="135">
        <f t="shared" si="17"/>
        <v>3.6363636363636362E-2</v>
      </c>
      <c r="AX129" s="180">
        <v>14</v>
      </c>
      <c r="AY129" s="136">
        <f t="shared" si="19"/>
        <v>0.3</v>
      </c>
      <c r="AZ129" s="195">
        <v>1</v>
      </c>
      <c r="BA129" s="195">
        <v>1</v>
      </c>
      <c r="BB129" s="181">
        <v>111000</v>
      </c>
      <c r="BC129" s="138">
        <v>267604</v>
      </c>
    </row>
    <row r="130" spans="1:55" ht="21">
      <c r="A130">
        <v>6</v>
      </c>
      <c r="B130" s="121" t="s">
        <v>70</v>
      </c>
      <c r="C130" s="140" t="s">
        <v>79</v>
      </c>
      <c r="D130" s="180"/>
      <c r="E130" s="180">
        <v>2</v>
      </c>
      <c r="F130" s="180">
        <v>1</v>
      </c>
      <c r="G130" s="180"/>
      <c r="H130" s="180">
        <v>3</v>
      </c>
      <c r="I130" s="180"/>
      <c r="J130" s="180"/>
      <c r="K130" s="180"/>
      <c r="L130" s="180">
        <v>6</v>
      </c>
      <c r="M130" s="182">
        <v>17</v>
      </c>
      <c r="N130" s="182">
        <v>60</v>
      </c>
      <c r="O130" s="182"/>
      <c r="P130" s="182">
        <v>8</v>
      </c>
      <c r="Q130" s="182">
        <v>14</v>
      </c>
      <c r="R130" s="182"/>
      <c r="S130" s="182">
        <v>10</v>
      </c>
      <c r="T130" s="182"/>
      <c r="U130" s="182"/>
      <c r="V130" s="182"/>
      <c r="W130" s="182"/>
      <c r="X130" s="182"/>
      <c r="Y130" s="182"/>
      <c r="Z130" s="182"/>
      <c r="AA130" s="182">
        <v>48</v>
      </c>
      <c r="AB130" s="183">
        <f t="shared" si="14"/>
        <v>140</v>
      </c>
      <c r="AC130" s="183"/>
      <c r="AD130" s="183">
        <v>15</v>
      </c>
      <c r="AE130" s="183">
        <v>3</v>
      </c>
      <c r="AF130" s="183">
        <v>6</v>
      </c>
      <c r="AG130" s="183">
        <v>8</v>
      </c>
      <c r="AH130" s="183"/>
      <c r="AI130" s="183">
        <v>6</v>
      </c>
      <c r="AJ130" s="183">
        <v>1</v>
      </c>
      <c r="AK130" s="183"/>
      <c r="AL130" s="183">
        <v>5</v>
      </c>
      <c r="AM130" s="183"/>
      <c r="AN130" s="183"/>
      <c r="AO130" s="183"/>
      <c r="AP130" s="183"/>
      <c r="AQ130" s="183"/>
      <c r="AR130" s="149">
        <f t="shared" ref="AR130:AR193" si="20">(SUM(AD130:AI130)+AQ130)*1000</f>
        <v>38000</v>
      </c>
      <c r="AS130" s="150">
        <f t="shared" ref="AS130:AS193" si="21">COUNTIF(AD130:AQ130,"&gt;0")</f>
        <v>7</v>
      </c>
      <c r="AT130" s="150">
        <f t="shared" si="15"/>
        <v>12666.666666666666</v>
      </c>
      <c r="AU130" s="183">
        <f t="shared" si="16"/>
        <v>140</v>
      </c>
      <c r="AV130" s="183">
        <v>3</v>
      </c>
      <c r="AW130" s="135">
        <f t="shared" si="17"/>
        <v>2.1428571428571429E-2</v>
      </c>
      <c r="AX130" s="180">
        <v>19</v>
      </c>
      <c r="AY130" s="136">
        <f t="shared" si="19"/>
        <v>0.13636363636363635</v>
      </c>
      <c r="AZ130" s="195">
        <v>0.95</v>
      </c>
      <c r="BA130" s="195">
        <v>0.75</v>
      </c>
      <c r="BB130" s="181">
        <v>44000</v>
      </c>
      <c r="BC130" s="138">
        <v>410077</v>
      </c>
    </row>
    <row r="131" spans="1:55" ht="21">
      <c r="A131">
        <v>6</v>
      </c>
      <c r="B131" s="121" t="s">
        <v>139</v>
      </c>
      <c r="C131" s="140" t="s">
        <v>60</v>
      </c>
      <c r="D131" s="180"/>
      <c r="E131" s="180">
        <v>1</v>
      </c>
      <c r="F131" s="180"/>
      <c r="G131" s="180"/>
      <c r="H131" s="180">
        <v>1</v>
      </c>
      <c r="I131" s="180"/>
      <c r="J131" s="180">
        <v>1</v>
      </c>
      <c r="K131" s="180">
        <v>1</v>
      </c>
      <c r="L131" s="180">
        <v>4</v>
      </c>
      <c r="M131" s="182">
        <v>156</v>
      </c>
      <c r="N131" s="182">
        <v>346</v>
      </c>
      <c r="O131" s="182">
        <v>12</v>
      </c>
      <c r="P131" s="182">
        <v>19</v>
      </c>
      <c r="Q131" s="182">
        <v>39</v>
      </c>
      <c r="R131" s="182"/>
      <c r="S131" s="182">
        <v>75</v>
      </c>
      <c r="T131" s="182">
        <v>0</v>
      </c>
      <c r="U131" s="182"/>
      <c r="V131" s="182">
        <v>0</v>
      </c>
      <c r="W131" s="182"/>
      <c r="X131" s="182">
        <v>0</v>
      </c>
      <c r="Y131" s="182">
        <v>0</v>
      </c>
      <c r="Z131" s="182"/>
      <c r="AA131" s="182"/>
      <c r="AB131" s="183">
        <f t="shared" ref="AB131:AB194" si="22">SUM(N131:AA131)</f>
        <v>491</v>
      </c>
      <c r="AC131" s="182"/>
      <c r="AD131" s="182">
        <v>37</v>
      </c>
      <c r="AE131" s="182">
        <v>6</v>
      </c>
      <c r="AF131" s="182">
        <v>23</v>
      </c>
      <c r="AG131" s="182">
        <v>8</v>
      </c>
      <c r="AH131" s="182"/>
      <c r="AI131" s="182">
        <v>10</v>
      </c>
      <c r="AJ131" s="182">
        <v>1</v>
      </c>
      <c r="AK131" s="182"/>
      <c r="AL131" s="182">
        <v>13</v>
      </c>
      <c r="AM131" s="182"/>
      <c r="AN131" s="182">
        <v>8</v>
      </c>
      <c r="AO131" s="182">
        <v>23</v>
      </c>
      <c r="AP131" s="182"/>
      <c r="AQ131" s="182"/>
      <c r="AR131" s="149">
        <f t="shared" si="20"/>
        <v>84000</v>
      </c>
      <c r="AS131" s="150">
        <f t="shared" si="21"/>
        <v>9</v>
      </c>
      <c r="AT131" s="150">
        <f t="shared" ref="AT131:AT194" si="23">AR131/AV131</f>
        <v>9333.3333333333339</v>
      </c>
      <c r="AU131" s="183">
        <f t="shared" ref="AU131:AU194" si="24">AB131</f>
        <v>491</v>
      </c>
      <c r="AV131" s="183">
        <v>9</v>
      </c>
      <c r="AW131" s="135">
        <f t="shared" ref="AW131:AW194" si="25">AV131/AU131</f>
        <v>1.8329938900203666E-2</v>
      </c>
      <c r="AX131" s="180">
        <v>266</v>
      </c>
      <c r="AY131" s="136">
        <f t="shared" si="19"/>
        <v>3.272727272727273E-2</v>
      </c>
      <c r="AZ131" s="195">
        <v>0.9</v>
      </c>
      <c r="BA131" s="195">
        <v>0.75</v>
      </c>
      <c r="BB131" s="181">
        <v>129000</v>
      </c>
      <c r="BC131" s="138">
        <v>34771429</v>
      </c>
    </row>
    <row r="132" spans="1:55" ht="21">
      <c r="A132">
        <v>6</v>
      </c>
      <c r="B132" s="121" t="s">
        <v>139</v>
      </c>
      <c r="C132" s="140" t="s">
        <v>57</v>
      </c>
      <c r="D132" s="180"/>
      <c r="E132" s="180">
        <v>1</v>
      </c>
      <c r="F132" s="180">
        <v>1</v>
      </c>
      <c r="G132" s="180"/>
      <c r="H132" s="180">
        <v>1</v>
      </c>
      <c r="I132" s="180">
        <v>1</v>
      </c>
      <c r="J132" s="180"/>
      <c r="K132" s="180"/>
      <c r="L132" s="180">
        <v>4</v>
      </c>
      <c r="M132" s="182">
        <v>77</v>
      </c>
      <c r="N132" s="182">
        <v>40</v>
      </c>
      <c r="O132" s="182"/>
      <c r="P132" s="182">
        <v>56</v>
      </c>
      <c r="Q132" s="182">
        <v>14</v>
      </c>
      <c r="R132" s="182"/>
      <c r="S132" s="182"/>
      <c r="T132" s="182"/>
      <c r="U132" s="182"/>
      <c r="V132" s="182"/>
      <c r="W132" s="182"/>
      <c r="X132" s="182"/>
      <c r="Y132" s="182"/>
      <c r="Z132" s="182"/>
      <c r="AA132" s="182"/>
      <c r="AB132" s="183">
        <f t="shared" si="22"/>
        <v>110</v>
      </c>
      <c r="AC132" s="182"/>
      <c r="AD132" s="182">
        <v>82</v>
      </c>
      <c r="AE132" s="182"/>
      <c r="AF132" s="182">
        <v>15</v>
      </c>
      <c r="AG132" s="182"/>
      <c r="AH132" s="182"/>
      <c r="AI132" s="182"/>
      <c r="AJ132" s="182"/>
      <c r="AK132" s="182"/>
      <c r="AL132" s="182"/>
      <c r="AM132" s="182"/>
      <c r="AN132" s="182"/>
      <c r="AO132" s="182"/>
      <c r="AP132" s="182"/>
      <c r="AQ132" s="182"/>
      <c r="AR132" s="149">
        <f t="shared" si="20"/>
        <v>97000</v>
      </c>
      <c r="AS132" s="150">
        <f t="shared" si="21"/>
        <v>2</v>
      </c>
      <c r="AT132" s="150">
        <f t="shared" si="23"/>
        <v>24250</v>
      </c>
      <c r="AU132" s="183">
        <f t="shared" si="24"/>
        <v>110</v>
      </c>
      <c r="AV132" s="183">
        <v>4</v>
      </c>
      <c r="AW132" s="135">
        <f t="shared" si="25"/>
        <v>3.6363636363636362E-2</v>
      </c>
      <c r="AX132" s="180">
        <v>43</v>
      </c>
      <c r="AY132" s="136">
        <f t="shared" si="19"/>
        <v>8.5106382978723402E-2</v>
      </c>
      <c r="AZ132" s="195">
        <v>1</v>
      </c>
      <c r="BA132" s="195">
        <v>1</v>
      </c>
      <c r="BB132" s="181">
        <v>97000</v>
      </c>
      <c r="BC132" s="138">
        <v>7073110</v>
      </c>
    </row>
    <row r="133" spans="1:55" ht="21">
      <c r="A133">
        <v>6</v>
      </c>
      <c r="B133" s="121" t="s">
        <v>139</v>
      </c>
      <c r="C133" s="140" t="s">
        <v>66</v>
      </c>
      <c r="D133" s="180">
        <v>1</v>
      </c>
      <c r="E133" s="180">
        <v>1</v>
      </c>
      <c r="F133" s="180">
        <v>2</v>
      </c>
      <c r="G133" s="180"/>
      <c r="H133" s="180">
        <v>1</v>
      </c>
      <c r="I133" s="180">
        <v>1</v>
      </c>
      <c r="J133" s="180">
        <v>1</v>
      </c>
      <c r="K133" s="180"/>
      <c r="L133" s="180">
        <v>7</v>
      </c>
      <c r="M133" s="182">
        <v>18</v>
      </c>
      <c r="N133" s="182">
        <v>19</v>
      </c>
      <c r="O133" s="182">
        <v>25</v>
      </c>
      <c r="P133" s="182">
        <v>31</v>
      </c>
      <c r="Q133" s="182">
        <v>52</v>
      </c>
      <c r="R133" s="182">
        <v>0</v>
      </c>
      <c r="S133" s="182">
        <v>43</v>
      </c>
      <c r="T133" s="182">
        <v>0</v>
      </c>
      <c r="U133" s="182"/>
      <c r="V133" s="182">
        <v>0</v>
      </c>
      <c r="W133" s="182"/>
      <c r="X133" s="182"/>
      <c r="Y133" s="182"/>
      <c r="Z133" s="182"/>
      <c r="AA133" s="182"/>
      <c r="AB133" s="183">
        <f t="shared" si="22"/>
        <v>170</v>
      </c>
      <c r="AC133" s="182"/>
      <c r="AD133" s="182"/>
      <c r="AE133" s="182">
        <v>17</v>
      </c>
      <c r="AF133" s="182">
        <v>15</v>
      </c>
      <c r="AG133" s="182">
        <v>13</v>
      </c>
      <c r="AH133" s="182"/>
      <c r="AI133" s="182">
        <v>10</v>
      </c>
      <c r="AJ133" s="182">
        <v>1</v>
      </c>
      <c r="AK133" s="182"/>
      <c r="AL133" s="182">
        <v>3.6</v>
      </c>
      <c r="AM133" s="182"/>
      <c r="AN133" s="182"/>
      <c r="AO133" s="182"/>
      <c r="AP133" s="182"/>
      <c r="AQ133" s="182"/>
      <c r="AR133" s="149">
        <f t="shared" si="20"/>
        <v>55000</v>
      </c>
      <c r="AS133" s="150">
        <f t="shared" si="21"/>
        <v>6</v>
      </c>
      <c r="AT133" s="150">
        <f t="shared" si="23"/>
        <v>1964.2857142857142</v>
      </c>
      <c r="AU133" s="183">
        <f t="shared" si="24"/>
        <v>170</v>
      </c>
      <c r="AV133" s="183">
        <v>28</v>
      </c>
      <c r="AW133" s="135">
        <f t="shared" si="25"/>
        <v>0.16470588235294117</v>
      </c>
      <c r="AX133" s="180">
        <v>17</v>
      </c>
      <c r="AY133" s="136">
        <f t="shared" si="19"/>
        <v>0.62222222222222223</v>
      </c>
      <c r="AZ133" s="195">
        <v>1</v>
      </c>
      <c r="BA133" s="195">
        <v>1</v>
      </c>
      <c r="BB133" s="181">
        <v>59600</v>
      </c>
      <c r="BC133" s="138">
        <v>5807834</v>
      </c>
    </row>
    <row r="134" spans="1:55" ht="21">
      <c r="A134">
        <v>6</v>
      </c>
      <c r="B134" s="121" t="s">
        <v>70</v>
      </c>
      <c r="C134" s="140" t="s">
        <v>82</v>
      </c>
      <c r="D134" s="180"/>
      <c r="E134" s="180">
        <v>1</v>
      </c>
      <c r="F134" s="180">
        <v>2</v>
      </c>
      <c r="G134" s="180"/>
      <c r="H134" s="180">
        <v>1</v>
      </c>
      <c r="I134" s="180"/>
      <c r="J134" s="180">
        <v>1</v>
      </c>
      <c r="K134" s="180"/>
      <c r="L134" s="180">
        <v>5</v>
      </c>
      <c r="M134" s="182">
        <v>22</v>
      </c>
      <c r="N134" s="182">
        <v>55</v>
      </c>
      <c r="O134" s="182"/>
      <c r="P134" s="182">
        <v>21</v>
      </c>
      <c r="Q134" s="182">
        <v>22</v>
      </c>
      <c r="R134" s="182"/>
      <c r="S134" s="182"/>
      <c r="T134" s="182">
        <v>1</v>
      </c>
      <c r="U134" s="182"/>
      <c r="V134" s="182"/>
      <c r="W134" s="182"/>
      <c r="X134" s="182"/>
      <c r="Y134" s="182"/>
      <c r="Z134" s="182"/>
      <c r="AA134" s="182"/>
      <c r="AB134" s="183">
        <f t="shared" si="22"/>
        <v>99</v>
      </c>
      <c r="AC134" s="183"/>
      <c r="AD134" s="183">
        <v>6</v>
      </c>
      <c r="AE134" s="183"/>
      <c r="AF134" s="183">
        <v>4</v>
      </c>
      <c r="AG134" s="183">
        <v>12</v>
      </c>
      <c r="AH134" s="183"/>
      <c r="AI134" s="183"/>
      <c r="AJ134" s="183">
        <v>2</v>
      </c>
      <c r="AK134" s="183"/>
      <c r="AL134" s="183"/>
      <c r="AM134" s="183"/>
      <c r="AN134" s="183"/>
      <c r="AO134" s="183"/>
      <c r="AP134" s="183"/>
      <c r="AQ134" s="183"/>
      <c r="AR134" s="149">
        <f t="shared" si="20"/>
        <v>22000</v>
      </c>
      <c r="AS134" s="150">
        <f t="shared" si="21"/>
        <v>4</v>
      </c>
      <c r="AT134" s="150">
        <f t="shared" si="23"/>
        <v>2750</v>
      </c>
      <c r="AU134" s="183">
        <f t="shared" si="24"/>
        <v>99</v>
      </c>
      <c r="AV134" s="183">
        <v>8</v>
      </c>
      <c r="AW134" s="135">
        <f t="shared" si="25"/>
        <v>8.0808080808080815E-2</v>
      </c>
      <c r="AX134" s="180">
        <v>13</v>
      </c>
      <c r="AY134" s="136">
        <f t="shared" si="19"/>
        <v>0.38095238095238093</v>
      </c>
      <c r="AZ134" s="195">
        <v>1</v>
      </c>
      <c r="BA134" s="195">
        <v>1</v>
      </c>
      <c r="BB134" s="181">
        <v>24000</v>
      </c>
      <c r="BC134" s="138">
        <v>3236462</v>
      </c>
    </row>
    <row r="135" spans="1:55" ht="21">
      <c r="A135">
        <v>6</v>
      </c>
      <c r="B135" s="121" t="s">
        <v>21</v>
      </c>
      <c r="C135" s="140" t="s">
        <v>48</v>
      </c>
      <c r="D135" s="180">
        <v>1</v>
      </c>
      <c r="E135" s="180">
        <v>1</v>
      </c>
      <c r="F135" s="180"/>
      <c r="G135" s="180">
        <v>1</v>
      </c>
      <c r="H135" s="180"/>
      <c r="I135" s="180"/>
      <c r="J135" s="180"/>
      <c r="K135" s="180">
        <v>1</v>
      </c>
      <c r="L135" s="180">
        <v>4</v>
      </c>
      <c r="M135" s="182">
        <v>35</v>
      </c>
      <c r="N135" s="182">
        <v>37</v>
      </c>
      <c r="O135" s="182">
        <v>21</v>
      </c>
      <c r="P135" s="182">
        <v>49</v>
      </c>
      <c r="Q135" s="182">
        <v>48</v>
      </c>
      <c r="R135" s="182"/>
      <c r="S135" s="182"/>
      <c r="T135" s="182"/>
      <c r="U135" s="182"/>
      <c r="V135" s="182"/>
      <c r="W135" s="182"/>
      <c r="X135" s="182"/>
      <c r="Y135" s="182"/>
      <c r="Z135" s="182"/>
      <c r="AA135" s="182"/>
      <c r="AB135" s="183">
        <f t="shared" si="22"/>
        <v>155</v>
      </c>
      <c r="AC135" s="182"/>
      <c r="AD135" s="182">
        <v>10</v>
      </c>
      <c r="AE135" s="182">
        <v>10</v>
      </c>
      <c r="AF135" s="182">
        <v>12</v>
      </c>
      <c r="AG135" s="182">
        <v>25</v>
      </c>
      <c r="AH135" s="182"/>
      <c r="AI135" s="182"/>
      <c r="AJ135" s="182">
        <v>1</v>
      </c>
      <c r="AK135" s="182"/>
      <c r="AL135" s="182"/>
      <c r="AM135" s="182"/>
      <c r="AN135" s="182">
        <v>3</v>
      </c>
      <c r="AO135" s="182"/>
      <c r="AP135" s="182"/>
      <c r="AQ135" s="182"/>
      <c r="AR135" s="149">
        <f t="shared" si="20"/>
        <v>57000</v>
      </c>
      <c r="AS135" s="150">
        <f t="shared" si="21"/>
        <v>6</v>
      </c>
      <c r="AT135" s="150">
        <f t="shared" si="23"/>
        <v>57000</v>
      </c>
      <c r="AU135" s="183">
        <f t="shared" si="24"/>
        <v>155</v>
      </c>
      <c r="AV135" s="183">
        <v>1</v>
      </c>
      <c r="AW135" s="135">
        <f t="shared" si="25"/>
        <v>6.4516129032258064E-3</v>
      </c>
      <c r="AX135" s="180">
        <v>35</v>
      </c>
      <c r="AY135" s="136">
        <f t="shared" si="19"/>
        <v>2.7777777777777776E-2</v>
      </c>
      <c r="AZ135" s="195">
        <v>1.04</v>
      </c>
      <c r="BA135" s="195">
        <v>1</v>
      </c>
      <c r="BB135" s="181">
        <v>61000</v>
      </c>
      <c r="BC135" s="138">
        <v>2601911</v>
      </c>
    </row>
    <row r="136" spans="1:55" ht="21">
      <c r="A136">
        <v>6</v>
      </c>
      <c r="B136" s="121" t="s">
        <v>70</v>
      </c>
      <c r="C136" s="140" t="s">
        <v>76</v>
      </c>
      <c r="D136" s="180">
        <v>1</v>
      </c>
      <c r="E136" s="180">
        <v>1</v>
      </c>
      <c r="F136" s="180">
        <v>1</v>
      </c>
      <c r="G136" s="180"/>
      <c r="H136" s="180">
        <v>3</v>
      </c>
      <c r="I136" s="180"/>
      <c r="J136" s="180"/>
      <c r="K136" s="180"/>
      <c r="L136" s="180">
        <v>6</v>
      </c>
      <c r="M136" s="182">
        <v>33</v>
      </c>
      <c r="N136" s="182">
        <v>82</v>
      </c>
      <c r="O136" s="182"/>
      <c r="P136" s="182">
        <v>15</v>
      </c>
      <c r="Q136" s="182">
        <v>66</v>
      </c>
      <c r="R136" s="182"/>
      <c r="S136" s="182"/>
      <c r="T136" s="182"/>
      <c r="U136" s="182"/>
      <c r="V136" s="182"/>
      <c r="W136" s="182"/>
      <c r="X136" s="182"/>
      <c r="Y136" s="182"/>
      <c r="Z136" s="182"/>
      <c r="AA136" s="182">
        <v>1</v>
      </c>
      <c r="AB136" s="183">
        <f t="shared" si="22"/>
        <v>164</v>
      </c>
      <c r="AC136" s="183"/>
      <c r="AD136" s="183">
        <v>20</v>
      </c>
      <c r="AE136" s="183"/>
      <c r="AF136" s="183">
        <v>6</v>
      </c>
      <c r="AG136" s="183">
        <v>16</v>
      </c>
      <c r="AH136" s="183"/>
      <c r="AI136" s="183"/>
      <c r="AJ136" s="183"/>
      <c r="AK136" s="183"/>
      <c r="AL136" s="183"/>
      <c r="AM136" s="183"/>
      <c r="AN136" s="183"/>
      <c r="AO136" s="183"/>
      <c r="AP136" s="183"/>
      <c r="AQ136" s="183"/>
      <c r="AR136" s="149">
        <f t="shared" si="20"/>
        <v>42000</v>
      </c>
      <c r="AS136" s="150">
        <f t="shared" si="21"/>
        <v>3</v>
      </c>
      <c r="AT136" s="150">
        <f t="shared" si="23"/>
        <v>3000</v>
      </c>
      <c r="AU136" s="183">
        <f t="shared" si="24"/>
        <v>164</v>
      </c>
      <c r="AV136" s="183">
        <v>14</v>
      </c>
      <c r="AW136" s="135">
        <f t="shared" si="25"/>
        <v>8.5365853658536592E-2</v>
      </c>
      <c r="AX136" s="180">
        <v>19</v>
      </c>
      <c r="AY136" s="136">
        <f t="shared" si="19"/>
        <v>0.42424242424242425</v>
      </c>
      <c r="AZ136" s="195">
        <v>1</v>
      </c>
      <c r="BA136" s="195">
        <v>1</v>
      </c>
      <c r="BB136" s="181">
        <v>42000</v>
      </c>
      <c r="BC136" s="138">
        <v>4689812</v>
      </c>
    </row>
    <row r="137" spans="1:55" ht="21">
      <c r="A137">
        <v>6</v>
      </c>
      <c r="B137" s="121" t="s">
        <v>21</v>
      </c>
      <c r="C137" s="140" t="s">
        <v>27</v>
      </c>
      <c r="D137" s="180"/>
      <c r="E137" s="180"/>
      <c r="F137" s="180">
        <v>2</v>
      </c>
      <c r="G137" s="180"/>
      <c r="H137" s="180"/>
      <c r="I137" s="180"/>
      <c r="J137" s="180"/>
      <c r="K137" s="180"/>
      <c r="L137" s="180">
        <v>3</v>
      </c>
      <c r="M137" s="182">
        <v>24</v>
      </c>
      <c r="N137" s="182"/>
      <c r="O137" s="182"/>
      <c r="P137" s="182">
        <v>13</v>
      </c>
      <c r="Q137" s="182">
        <v>4</v>
      </c>
      <c r="R137" s="182"/>
      <c r="S137" s="182"/>
      <c r="T137" s="182">
        <v>2</v>
      </c>
      <c r="U137" s="182"/>
      <c r="V137" s="182">
        <v>2</v>
      </c>
      <c r="W137" s="182"/>
      <c r="X137" s="182"/>
      <c r="Y137" s="182"/>
      <c r="Z137" s="182"/>
      <c r="AA137" s="182"/>
      <c r="AB137" s="183">
        <f t="shared" si="22"/>
        <v>21</v>
      </c>
      <c r="AC137" s="182"/>
      <c r="AD137" s="182"/>
      <c r="AE137" s="182"/>
      <c r="AF137" s="182">
        <v>20</v>
      </c>
      <c r="AG137" s="182">
        <v>16.8</v>
      </c>
      <c r="AH137" s="182"/>
      <c r="AI137" s="182"/>
      <c r="AJ137" s="182">
        <v>0.3</v>
      </c>
      <c r="AK137" s="182"/>
      <c r="AL137" s="182">
        <v>50</v>
      </c>
      <c r="AM137" s="182"/>
      <c r="AN137" s="182"/>
      <c r="AO137" s="182"/>
      <c r="AP137" s="182"/>
      <c r="AQ137" s="182"/>
      <c r="AR137" s="149">
        <f t="shared" si="20"/>
        <v>36800</v>
      </c>
      <c r="AS137" s="150">
        <f t="shared" si="21"/>
        <v>4</v>
      </c>
      <c r="AT137" s="150">
        <f t="shared" si="23"/>
        <v>6133.333333333333</v>
      </c>
      <c r="AU137" s="183">
        <f t="shared" si="24"/>
        <v>21</v>
      </c>
      <c r="AV137" s="183">
        <v>6</v>
      </c>
      <c r="AW137" s="135">
        <f t="shared" si="25"/>
        <v>0.2857142857142857</v>
      </c>
      <c r="AX137" s="180">
        <v>63</v>
      </c>
      <c r="AY137" s="136">
        <f t="shared" si="19"/>
        <v>8.6956521739130432E-2</v>
      </c>
      <c r="AZ137" s="195">
        <v>0.98</v>
      </c>
      <c r="BA137" s="195">
        <v>0.75</v>
      </c>
      <c r="BB137" s="181">
        <v>87100</v>
      </c>
      <c r="BC137" s="138">
        <v>2217768</v>
      </c>
    </row>
    <row r="138" spans="1:55" ht="21">
      <c r="A138">
        <v>6</v>
      </c>
      <c r="B138" s="121" t="s">
        <v>70</v>
      </c>
      <c r="C138" s="140" t="s">
        <v>73</v>
      </c>
      <c r="D138" s="180">
        <v>1</v>
      </c>
      <c r="E138" s="180">
        <v>1</v>
      </c>
      <c r="F138" s="180">
        <v>1</v>
      </c>
      <c r="G138" s="180"/>
      <c r="H138" s="180">
        <v>2</v>
      </c>
      <c r="I138" s="180"/>
      <c r="J138" s="180"/>
      <c r="K138" s="180"/>
      <c r="L138" s="180">
        <v>5</v>
      </c>
      <c r="M138" s="182">
        <v>47</v>
      </c>
      <c r="N138" s="182">
        <v>56</v>
      </c>
      <c r="O138" s="182"/>
      <c r="P138" s="182">
        <v>13</v>
      </c>
      <c r="Q138" s="182">
        <v>3</v>
      </c>
      <c r="R138" s="182"/>
      <c r="S138" s="182">
        <v>21</v>
      </c>
      <c r="T138" s="182"/>
      <c r="U138" s="182"/>
      <c r="V138" s="182"/>
      <c r="W138" s="182"/>
      <c r="X138" s="182"/>
      <c r="Y138" s="182"/>
      <c r="Z138" s="182"/>
      <c r="AA138" s="182">
        <v>5</v>
      </c>
      <c r="AB138" s="183">
        <f t="shared" si="22"/>
        <v>98</v>
      </c>
      <c r="AC138" s="183">
        <v>3</v>
      </c>
      <c r="AD138" s="183">
        <v>56</v>
      </c>
      <c r="AE138" s="183"/>
      <c r="AF138" s="183">
        <v>6</v>
      </c>
      <c r="AG138" s="183">
        <v>10</v>
      </c>
      <c r="AH138" s="183"/>
      <c r="AI138" s="183">
        <v>6</v>
      </c>
      <c r="AJ138" s="183">
        <v>2</v>
      </c>
      <c r="AK138" s="183"/>
      <c r="AL138" s="183"/>
      <c r="AM138" s="183"/>
      <c r="AN138" s="183"/>
      <c r="AO138" s="183"/>
      <c r="AP138" s="183"/>
      <c r="AQ138" s="183"/>
      <c r="AR138" s="149">
        <f t="shared" si="20"/>
        <v>78000</v>
      </c>
      <c r="AS138" s="150">
        <f t="shared" si="21"/>
        <v>5</v>
      </c>
      <c r="AT138" s="150">
        <f t="shared" si="23"/>
        <v>11142.857142857143</v>
      </c>
      <c r="AU138" s="183">
        <f t="shared" si="24"/>
        <v>98</v>
      </c>
      <c r="AV138" s="183">
        <v>7</v>
      </c>
      <c r="AW138" s="135">
        <f t="shared" si="25"/>
        <v>7.1428571428571425E-2</v>
      </c>
      <c r="AX138" s="180">
        <v>26</v>
      </c>
      <c r="AY138" s="136">
        <f t="shared" si="19"/>
        <v>0.21212121212121213</v>
      </c>
      <c r="AZ138" s="195">
        <v>1</v>
      </c>
      <c r="BA138" s="195">
        <v>1</v>
      </c>
      <c r="BB138" s="181">
        <v>83000</v>
      </c>
      <c r="BC138" s="138">
        <v>5050460</v>
      </c>
    </row>
    <row r="139" spans="1:55" ht="21">
      <c r="A139">
        <v>6</v>
      </c>
      <c r="B139" s="121" t="s">
        <v>21</v>
      </c>
      <c r="C139" s="140" t="s">
        <v>30</v>
      </c>
      <c r="D139" s="180">
        <v>1</v>
      </c>
      <c r="E139" s="180">
        <v>1</v>
      </c>
      <c r="F139" s="180">
        <v>1</v>
      </c>
      <c r="G139" s="180"/>
      <c r="H139" s="180">
        <v>2</v>
      </c>
      <c r="I139" s="180"/>
      <c r="J139" s="180"/>
      <c r="K139" s="180"/>
      <c r="L139" s="180">
        <v>5</v>
      </c>
      <c r="M139" s="182">
        <v>111</v>
      </c>
      <c r="N139" s="182">
        <v>3</v>
      </c>
      <c r="O139" s="182">
        <v>0</v>
      </c>
      <c r="P139" s="182">
        <v>9</v>
      </c>
      <c r="Q139" s="182">
        <v>19</v>
      </c>
      <c r="R139" s="182"/>
      <c r="S139" s="182"/>
      <c r="T139" s="182"/>
      <c r="U139" s="182"/>
      <c r="V139" s="182"/>
      <c r="W139" s="182"/>
      <c r="X139" s="182"/>
      <c r="Y139" s="182"/>
      <c r="Z139" s="182"/>
      <c r="AA139" s="182"/>
      <c r="AB139" s="183">
        <f t="shared" si="22"/>
        <v>31</v>
      </c>
      <c r="AC139" s="200"/>
      <c r="AD139" s="182">
        <v>40</v>
      </c>
      <c r="AE139" s="182">
        <v>8</v>
      </c>
      <c r="AF139" s="182">
        <v>19</v>
      </c>
      <c r="AG139" s="182">
        <v>28</v>
      </c>
      <c r="AH139" s="182"/>
      <c r="AI139" s="182"/>
      <c r="AJ139" s="182"/>
      <c r="AK139" s="182"/>
      <c r="AL139" s="182"/>
      <c r="AM139" s="182"/>
      <c r="AN139" s="182"/>
      <c r="AO139" s="182"/>
      <c r="AP139" s="182"/>
      <c r="AQ139" s="182"/>
      <c r="AR139" s="149">
        <f t="shared" si="20"/>
        <v>95000</v>
      </c>
      <c r="AS139" s="150">
        <f t="shared" si="21"/>
        <v>4</v>
      </c>
      <c r="AT139" s="150">
        <f t="shared" si="23"/>
        <v>19000</v>
      </c>
      <c r="AU139" s="183">
        <f t="shared" si="24"/>
        <v>31</v>
      </c>
      <c r="AV139" s="183">
        <v>5</v>
      </c>
      <c r="AW139" s="135">
        <f t="shared" si="25"/>
        <v>0.16129032258064516</v>
      </c>
      <c r="AX139" s="180">
        <v>64</v>
      </c>
      <c r="AY139" s="136">
        <f t="shared" si="19"/>
        <v>7.2463768115942032E-2</v>
      </c>
      <c r="AZ139" s="195">
        <v>0.88</v>
      </c>
      <c r="BA139" s="195">
        <v>0.5</v>
      </c>
      <c r="BB139" s="181">
        <v>95000</v>
      </c>
      <c r="BC139" s="138">
        <v>2736392</v>
      </c>
    </row>
    <row r="140" spans="1:55" ht="21">
      <c r="A140">
        <v>6</v>
      </c>
      <c r="B140" s="121" t="s">
        <v>70</v>
      </c>
      <c r="C140" s="140" t="s">
        <v>85</v>
      </c>
      <c r="D140" s="180"/>
      <c r="E140" s="180">
        <v>1</v>
      </c>
      <c r="F140" s="180">
        <v>2</v>
      </c>
      <c r="G140" s="180"/>
      <c r="H140" s="180">
        <v>1</v>
      </c>
      <c r="I140" s="180">
        <v>1</v>
      </c>
      <c r="J140" s="180"/>
      <c r="K140" s="180"/>
      <c r="L140" s="180">
        <v>5</v>
      </c>
      <c r="M140" s="182">
        <v>41</v>
      </c>
      <c r="N140" s="182">
        <v>0</v>
      </c>
      <c r="O140" s="182"/>
      <c r="P140" s="182">
        <v>6</v>
      </c>
      <c r="Q140" s="182">
        <v>29</v>
      </c>
      <c r="R140" s="182">
        <v>0</v>
      </c>
      <c r="S140" s="182">
        <v>0</v>
      </c>
      <c r="T140" s="182">
        <v>0</v>
      </c>
      <c r="U140" s="182">
        <v>0</v>
      </c>
      <c r="V140" s="182">
        <v>0</v>
      </c>
      <c r="W140" s="182">
        <v>0</v>
      </c>
      <c r="X140" s="182">
        <v>0</v>
      </c>
      <c r="Y140" s="182">
        <v>0</v>
      </c>
      <c r="Z140" s="182">
        <v>0</v>
      </c>
      <c r="AA140" s="182">
        <v>6</v>
      </c>
      <c r="AB140" s="183">
        <f t="shared" si="22"/>
        <v>41</v>
      </c>
      <c r="AC140" s="183"/>
      <c r="AD140" s="183"/>
      <c r="AE140" s="183"/>
      <c r="AF140" s="183">
        <v>1.8</v>
      </c>
      <c r="AG140" s="183">
        <v>8.6999999999999993</v>
      </c>
      <c r="AH140" s="183"/>
      <c r="AI140" s="183"/>
      <c r="AJ140" s="183"/>
      <c r="AK140" s="183"/>
      <c r="AL140" s="183"/>
      <c r="AM140" s="183"/>
      <c r="AN140" s="183"/>
      <c r="AO140" s="183"/>
      <c r="AP140" s="183"/>
      <c r="AQ140" s="183"/>
      <c r="AR140" s="149">
        <f t="shared" si="20"/>
        <v>10500</v>
      </c>
      <c r="AS140" s="150">
        <f t="shared" si="21"/>
        <v>2</v>
      </c>
      <c r="AT140" s="150">
        <f t="shared" si="23"/>
        <v>2100</v>
      </c>
      <c r="AU140" s="183">
        <f t="shared" si="24"/>
        <v>41</v>
      </c>
      <c r="AV140" s="183">
        <v>5</v>
      </c>
      <c r="AW140" s="135">
        <f t="shared" si="25"/>
        <v>0.12195121951219512</v>
      </c>
      <c r="AX140" s="180">
        <v>24</v>
      </c>
      <c r="AY140" s="136">
        <f t="shared" si="19"/>
        <v>0.17241379310344829</v>
      </c>
      <c r="AZ140" s="195">
        <v>1</v>
      </c>
      <c r="BA140" s="195">
        <v>1</v>
      </c>
      <c r="BB140" s="181">
        <v>10500</v>
      </c>
      <c r="BC140" s="138">
        <v>1927018</v>
      </c>
    </row>
    <row r="141" spans="1:55" ht="21">
      <c r="A141">
        <v>6</v>
      </c>
      <c r="B141" s="121" t="s">
        <v>21</v>
      </c>
      <c r="C141" s="140" t="s">
        <v>45</v>
      </c>
      <c r="D141" s="180"/>
      <c r="E141" s="180">
        <v>1</v>
      </c>
      <c r="F141" s="180">
        <v>1</v>
      </c>
      <c r="G141" s="180"/>
      <c r="H141" s="180"/>
      <c r="I141" s="180"/>
      <c r="J141" s="180"/>
      <c r="K141" s="180"/>
      <c r="L141" s="180">
        <v>2</v>
      </c>
      <c r="M141" s="182">
        <v>36</v>
      </c>
      <c r="N141" s="182"/>
      <c r="O141" s="182">
        <v>0</v>
      </c>
      <c r="P141" s="182">
        <v>44</v>
      </c>
      <c r="Q141" s="182">
        <v>6</v>
      </c>
      <c r="R141" s="182">
        <v>0</v>
      </c>
      <c r="S141" s="182">
        <v>0</v>
      </c>
      <c r="T141" s="182">
        <v>0</v>
      </c>
      <c r="U141" s="182"/>
      <c r="V141" s="182"/>
      <c r="W141" s="182"/>
      <c r="X141" s="182"/>
      <c r="Y141" s="182"/>
      <c r="Z141" s="182"/>
      <c r="AA141" s="182"/>
      <c r="AB141" s="183">
        <f t="shared" si="22"/>
        <v>50</v>
      </c>
      <c r="AC141" s="182"/>
      <c r="AD141" s="182"/>
      <c r="AE141" s="182">
        <v>23</v>
      </c>
      <c r="AF141" s="182">
        <v>23</v>
      </c>
      <c r="AG141" s="182">
        <v>90</v>
      </c>
      <c r="AH141" s="182">
        <v>23</v>
      </c>
      <c r="AI141" s="182">
        <v>3</v>
      </c>
      <c r="AJ141" s="182">
        <v>1</v>
      </c>
      <c r="AK141" s="182"/>
      <c r="AL141" s="182"/>
      <c r="AM141" s="182"/>
      <c r="AN141" s="182"/>
      <c r="AO141" s="182"/>
      <c r="AP141" s="182"/>
      <c r="AQ141" s="182"/>
      <c r="AR141" s="149">
        <f t="shared" si="20"/>
        <v>162000</v>
      </c>
      <c r="AS141" s="150">
        <f t="shared" si="21"/>
        <v>6</v>
      </c>
      <c r="AT141" s="150">
        <f t="shared" si="23"/>
        <v>81000</v>
      </c>
      <c r="AU141" s="183">
        <f t="shared" si="24"/>
        <v>50</v>
      </c>
      <c r="AV141" s="183">
        <v>2</v>
      </c>
      <c r="AW141" s="135">
        <f t="shared" si="25"/>
        <v>0.04</v>
      </c>
      <c r="AX141" s="180">
        <v>127</v>
      </c>
      <c r="AY141" s="136">
        <f t="shared" si="19"/>
        <v>1.5503875968992248E-2</v>
      </c>
      <c r="AZ141" s="195">
        <v>0.83</v>
      </c>
      <c r="BA141" s="195">
        <v>0.5</v>
      </c>
      <c r="BB141" s="181">
        <v>163000</v>
      </c>
      <c r="BC141" s="138">
        <v>2442371</v>
      </c>
    </row>
    <row r="142" spans="1:55" ht="21">
      <c r="A142">
        <v>6</v>
      </c>
      <c r="B142" s="121" t="s">
        <v>21</v>
      </c>
      <c r="C142" s="140" t="s">
        <v>20</v>
      </c>
      <c r="D142" s="180">
        <v>1</v>
      </c>
      <c r="E142" s="180">
        <v>1</v>
      </c>
      <c r="F142" s="180">
        <v>1</v>
      </c>
      <c r="G142" s="180"/>
      <c r="H142" s="180"/>
      <c r="I142" s="180"/>
      <c r="J142" s="180"/>
      <c r="K142" s="180"/>
      <c r="L142" s="180">
        <v>3</v>
      </c>
      <c r="M142" s="201">
        <v>105</v>
      </c>
      <c r="N142" s="201">
        <v>7</v>
      </c>
      <c r="O142" s="201">
        <v>0</v>
      </c>
      <c r="P142" s="201">
        <v>69</v>
      </c>
      <c r="Q142" s="201">
        <v>42</v>
      </c>
      <c r="R142" s="201">
        <v>3</v>
      </c>
      <c r="S142" s="201">
        <v>8</v>
      </c>
      <c r="T142" s="201">
        <v>4</v>
      </c>
      <c r="U142" s="201"/>
      <c r="V142" s="201"/>
      <c r="W142" s="201"/>
      <c r="X142" s="201">
        <v>0</v>
      </c>
      <c r="Y142" s="201">
        <v>0</v>
      </c>
      <c r="Z142" s="201"/>
      <c r="AA142" s="182">
        <v>69</v>
      </c>
      <c r="AB142" s="183">
        <f t="shared" si="22"/>
        <v>202</v>
      </c>
      <c r="AC142" s="201"/>
      <c r="AD142" s="201">
        <v>246.9</v>
      </c>
      <c r="AE142" s="201">
        <v>12</v>
      </c>
      <c r="AF142" s="201">
        <v>40</v>
      </c>
      <c r="AG142" s="201">
        <v>16</v>
      </c>
      <c r="AH142" s="201"/>
      <c r="AI142" s="201">
        <v>6</v>
      </c>
      <c r="AJ142" s="201">
        <v>1.1339999999999999</v>
      </c>
      <c r="AK142" s="201"/>
      <c r="AL142" s="201"/>
      <c r="AM142" s="201"/>
      <c r="AN142" s="201">
        <v>10</v>
      </c>
      <c r="AO142" s="201">
        <v>57.5</v>
      </c>
      <c r="AP142" s="201"/>
      <c r="AQ142" s="182"/>
      <c r="AR142" s="149">
        <f t="shared" si="20"/>
        <v>320900</v>
      </c>
      <c r="AS142" s="150">
        <f t="shared" si="21"/>
        <v>8</v>
      </c>
      <c r="AT142" s="150">
        <f t="shared" si="23"/>
        <v>17827.777777777777</v>
      </c>
      <c r="AU142" s="183">
        <f t="shared" si="24"/>
        <v>202</v>
      </c>
      <c r="AV142" s="183">
        <v>18</v>
      </c>
      <c r="AW142" s="135">
        <f t="shared" si="25"/>
        <v>8.9108910891089105E-2</v>
      </c>
      <c r="AX142" s="180">
        <v>155</v>
      </c>
      <c r="AY142" s="136">
        <f t="shared" si="19"/>
        <v>0.10404624277456648</v>
      </c>
      <c r="AZ142" s="195">
        <v>1.18</v>
      </c>
      <c r="BA142" s="195">
        <v>1</v>
      </c>
      <c r="BB142" s="181">
        <v>389534</v>
      </c>
      <c r="BC142" s="138">
        <v>5896880</v>
      </c>
    </row>
    <row r="143" spans="1:55" ht="21">
      <c r="A143">
        <v>6</v>
      </c>
      <c r="B143" s="121" t="s">
        <v>139</v>
      </c>
      <c r="C143" s="140" t="s">
        <v>54</v>
      </c>
      <c r="D143" s="180">
        <v>1</v>
      </c>
      <c r="E143" s="180">
        <v>1</v>
      </c>
      <c r="F143" s="180">
        <v>2</v>
      </c>
      <c r="G143" s="180">
        <v>1</v>
      </c>
      <c r="H143" s="180"/>
      <c r="I143" s="180"/>
      <c r="J143" s="180">
        <v>1</v>
      </c>
      <c r="K143" s="180"/>
      <c r="L143" s="180">
        <v>6</v>
      </c>
      <c r="M143" s="182">
        <v>89</v>
      </c>
      <c r="N143" s="182">
        <v>82</v>
      </c>
      <c r="O143" s="182">
        <v>10</v>
      </c>
      <c r="P143" s="182">
        <v>12</v>
      </c>
      <c r="Q143" s="182">
        <v>55</v>
      </c>
      <c r="R143" s="182">
        <v>0</v>
      </c>
      <c r="S143" s="182">
        <v>27</v>
      </c>
      <c r="T143" s="182">
        <v>0</v>
      </c>
      <c r="U143" s="182"/>
      <c r="V143" s="182"/>
      <c r="W143" s="182"/>
      <c r="X143" s="182">
        <v>0</v>
      </c>
      <c r="Y143" s="182"/>
      <c r="Z143" s="182"/>
      <c r="AA143" s="182">
        <v>11</v>
      </c>
      <c r="AB143" s="183">
        <f t="shared" si="22"/>
        <v>197</v>
      </c>
      <c r="AC143" s="182"/>
      <c r="AD143" s="182">
        <v>68</v>
      </c>
      <c r="AE143" s="182">
        <v>9</v>
      </c>
      <c r="AF143" s="182"/>
      <c r="AG143" s="182">
        <v>18</v>
      </c>
      <c r="AH143" s="182"/>
      <c r="AI143" s="182">
        <v>10</v>
      </c>
      <c r="AJ143" s="182">
        <v>1</v>
      </c>
      <c r="AK143" s="182"/>
      <c r="AL143" s="182">
        <v>8</v>
      </c>
      <c r="AM143" s="182"/>
      <c r="AN143" s="182">
        <v>3</v>
      </c>
      <c r="AO143" s="182"/>
      <c r="AP143" s="182"/>
      <c r="AQ143" s="182"/>
      <c r="AR143" s="149">
        <f t="shared" si="20"/>
        <v>105000</v>
      </c>
      <c r="AS143" s="150">
        <f t="shared" si="21"/>
        <v>7</v>
      </c>
      <c r="AT143" s="150">
        <f t="shared" si="23"/>
        <v>8750</v>
      </c>
      <c r="AU143" s="183">
        <f t="shared" si="24"/>
        <v>197</v>
      </c>
      <c r="AV143" s="183">
        <v>12</v>
      </c>
      <c r="AW143" s="135">
        <f t="shared" si="25"/>
        <v>6.0913705583756347E-2</v>
      </c>
      <c r="AX143" s="180">
        <v>124</v>
      </c>
      <c r="AY143" s="136">
        <f t="shared" si="19"/>
        <v>8.8235294117647065E-2</v>
      </c>
      <c r="AZ143" s="195">
        <v>1</v>
      </c>
      <c r="BA143" s="195">
        <v>1</v>
      </c>
      <c r="BB143" s="181">
        <v>117000</v>
      </c>
      <c r="BC143" s="138">
        <v>33173424</v>
      </c>
    </row>
    <row r="144" spans="1:55" ht="21">
      <c r="A144">
        <v>6</v>
      </c>
      <c r="B144" s="121" t="s">
        <v>70</v>
      </c>
      <c r="C144" s="140" t="s">
        <v>86</v>
      </c>
      <c r="D144" s="180">
        <v>2</v>
      </c>
      <c r="E144" s="180">
        <v>3</v>
      </c>
      <c r="F144" s="180">
        <v>2</v>
      </c>
      <c r="G144" s="180"/>
      <c r="H144" s="180"/>
      <c r="I144" s="180"/>
      <c r="J144" s="180"/>
      <c r="K144" s="180"/>
      <c r="L144" s="180">
        <v>7</v>
      </c>
      <c r="M144" s="182">
        <v>47</v>
      </c>
      <c r="N144" s="182"/>
      <c r="O144" s="182"/>
      <c r="P144" s="182">
        <v>52</v>
      </c>
      <c r="Q144" s="182">
        <v>46</v>
      </c>
      <c r="R144" s="182"/>
      <c r="S144" s="182">
        <v>21</v>
      </c>
      <c r="T144" s="182"/>
      <c r="U144" s="182"/>
      <c r="V144" s="182"/>
      <c r="W144" s="182"/>
      <c r="X144" s="182"/>
      <c r="Y144" s="182"/>
      <c r="Z144" s="182"/>
      <c r="AA144" s="182"/>
      <c r="AB144" s="183">
        <f t="shared" si="22"/>
        <v>119</v>
      </c>
      <c r="AC144" s="183"/>
      <c r="AD144" s="183"/>
      <c r="AE144" s="183">
        <v>2</v>
      </c>
      <c r="AF144" s="183">
        <v>10</v>
      </c>
      <c r="AG144" s="183">
        <v>9</v>
      </c>
      <c r="AH144" s="183"/>
      <c r="AI144" s="183">
        <v>7</v>
      </c>
      <c r="AJ144" s="183"/>
      <c r="AK144" s="183"/>
      <c r="AL144" s="183">
        <v>8</v>
      </c>
      <c r="AM144" s="183"/>
      <c r="AN144" s="183"/>
      <c r="AO144" s="183"/>
      <c r="AP144" s="183"/>
      <c r="AQ144" s="183"/>
      <c r="AR144" s="149">
        <f t="shared" si="20"/>
        <v>28000</v>
      </c>
      <c r="AS144" s="150">
        <f t="shared" si="21"/>
        <v>5</v>
      </c>
      <c r="AT144" s="150">
        <f t="shared" si="23"/>
        <v>9333.3333333333339</v>
      </c>
      <c r="AU144" s="183">
        <f t="shared" si="24"/>
        <v>119</v>
      </c>
      <c r="AV144" s="183">
        <v>3</v>
      </c>
      <c r="AW144" s="135">
        <f t="shared" si="25"/>
        <v>2.5210084033613446E-2</v>
      </c>
      <c r="AX144" s="180">
        <v>73</v>
      </c>
      <c r="AY144" s="136">
        <f t="shared" si="19"/>
        <v>3.9473684210526314E-2</v>
      </c>
      <c r="AZ144" s="195">
        <v>1.1499999999999999</v>
      </c>
      <c r="BA144" s="195">
        <v>1</v>
      </c>
      <c r="BB144" s="181">
        <v>36000</v>
      </c>
      <c r="BC144" s="138">
        <v>2094176</v>
      </c>
    </row>
    <row r="145" spans="1:55" ht="21">
      <c r="A145">
        <v>6</v>
      </c>
      <c r="B145" s="121" t="s">
        <v>139</v>
      </c>
      <c r="C145" s="140" t="s">
        <v>50</v>
      </c>
      <c r="D145" s="180"/>
      <c r="E145" s="180">
        <v>1</v>
      </c>
      <c r="F145" s="180">
        <v>1</v>
      </c>
      <c r="G145" s="180"/>
      <c r="H145" s="180">
        <v>2</v>
      </c>
      <c r="I145" s="180">
        <v>1</v>
      </c>
      <c r="J145" s="180"/>
      <c r="K145" s="180"/>
      <c r="L145" s="180">
        <v>5</v>
      </c>
      <c r="M145" s="182">
        <v>99</v>
      </c>
      <c r="N145" s="182">
        <v>62</v>
      </c>
      <c r="O145" s="182">
        <v>0</v>
      </c>
      <c r="P145" s="182">
        <v>29</v>
      </c>
      <c r="Q145" s="182">
        <v>17</v>
      </c>
      <c r="R145" s="182"/>
      <c r="S145" s="182">
        <v>22</v>
      </c>
      <c r="T145" s="182">
        <v>0</v>
      </c>
      <c r="U145" s="182"/>
      <c r="V145" s="182">
        <v>0</v>
      </c>
      <c r="W145" s="182"/>
      <c r="X145" s="182"/>
      <c r="Y145" s="182"/>
      <c r="Z145" s="182"/>
      <c r="AA145" s="182"/>
      <c r="AB145" s="183">
        <f t="shared" si="22"/>
        <v>130</v>
      </c>
      <c r="AC145" s="182"/>
      <c r="AD145" s="182">
        <v>78.3</v>
      </c>
      <c r="AE145" s="182">
        <v>5</v>
      </c>
      <c r="AF145" s="182">
        <v>9</v>
      </c>
      <c r="AG145" s="182">
        <v>8</v>
      </c>
      <c r="AH145" s="182"/>
      <c r="AI145" s="182">
        <v>9</v>
      </c>
      <c r="AJ145" s="182">
        <v>3</v>
      </c>
      <c r="AK145" s="182"/>
      <c r="AL145" s="182">
        <v>5</v>
      </c>
      <c r="AM145" s="182"/>
      <c r="AN145" s="182"/>
      <c r="AO145" s="182"/>
      <c r="AP145" s="182"/>
      <c r="AQ145" s="182"/>
      <c r="AR145" s="149">
        <f t="shared" si="20"/>
        <v>109300</v>
      </c>
      <c r="AS145" s="150">
        <f t="shared" si="21"/>
        <v>7</v>
      </c>
      <c r="AT145" s="150">
        <f t="shared" si="23"/>
        <v>18216.666666666668</v>
      </c>
      <c r="AU145" s="183">
        <f t="shared" si="24"/>
        <v>130</v>
      </c>
      <c r="AV145" s="183">
        <v>6</v>
      </c>
      <c r="AW145" s="135">
        <f t="shared" si="25"/>
        <v>4.6153846153846156E-2</v>
      </c>
      <c r="AX145" s="180">
        <v>26</v>
      </c>
      <c r="AY145" s="136">
        <f t="shared" si="19"/>
        <v>0.1875</v>
      </c>
      <c r="AZ145" s="195">
        <v>0.9</v>
      </c>
      <c r="BA145" s="195">
        <v>0.75</v>
      </c>
      <c r="BB145" s="181">
        <v>117300</v>
      </c>
      <c r="BC145" s="138">
        <v>6466669</v>
      </c>
    </row>
    <row r="146" spans="1:55" ht="21">
      <c r="A146">
        <v>6</v>
      </c>
      <c r="B146" s="121" t="s">
        <v>70</v>
      </c>
      <c r="C146" s="140" t="s">
        <v>88</v>
      </c>
      <c r="D146" s="180">
        <v>1</v>
      </c>
      <c r="E146" s="180">
        <v>1</v>
      </c>
      <c r="F146" s="180">
        <v>2</v>
      </c>
      <c r="G146" s="180"/>
      <c r="H146" s="180">
        <v>2</v>
      </c>
      <c r="I146" s="180">
        <v>1</v>
      </c>
      <c r="J146" s="180"/>
      <c r="K146" s="180"/>
      <c r="L146" s="180">
        <v>7</v>
      </c>
      <c r="M146" s="182">
        <v>16</v>
      </c>
      <c r="N146" s="182">
        <v>0</v>
      </c>
      <c r="O146" s="182">
        <v>0</v>
      </c>
      <c r="P146" s="182">
        <v>33</v>
      </c>
      <c r="Q146" s="182">
        <v>44</v>
      </c>
      <c r="R146" s="182"/>
      <c r="S146" s="182">
        <v>0</v>
      </c>
      <c r="T146" s="182"/>
      <c r="U146" s="182"/>
      <c r="V146" s="182">
        <v>0</v>
      </c>
      <c r="W146" s="182"/>
      <c r="X146" s="182"/>
      <c r="Y146" s="182"/>
      <c r="Z146" s="182"/>
      <c r="AA146" s="182"/>
      <c r="AB146" s="183">
        <f t="shared" si="22"/>
        <v>77</v>
      </c>
      <c r="AC146" s="183"/>
      <c r="AD146" s="183">
        <v>10</v>
      </c>
      <c r="AE146" s="183">
        <v>4</v>
      </c>
      <c r="AF146" s="183">
        <v>10</v>
      </c>
      <c r="AG146" s="183">
        <v>14</v>
      </c>
      <c r="AH146" s="183"/>
      <c r="AI146" s="183">
        <v>3</v>
      </c>
      <c r="AJ146" s="183"/>
      <c r="AK146" s="183"/>
      <c r="AL146" s="183">
        <v>5</v>
      </c>
      <c r="AM146" s="183"/>
      <c r="AN146" s="183"/>
      <c r="AO146" s="183"/>
      <c r="AP146" s="183"/>
      <c r="AQ146" s="183"/>
      <c r="AR146" s="149">
        <f t="shared" si="20"/>
        <v>41000</v>
      </c>
      <c r="AS146" s="150">
        <f t="shared" si="21"/>
        <v>6</v>
      </c>
      <c r="AT146" s="150">
        <f t="shared" si="23"/>
        <v>4100</v>
      </c>
      <c r="AU146" s="183">
        <f t="shared" si="24"/>
        <v>77</v>
      </c>
      <c r="AV146" s="183">
        <v>10</v>
      </c>
      <c r="AW146" s="135">
        <f t="shared" si="25"/>
        <v>0.12987012987012986</v>
      </c>
      <c r="AX146" s="180">
        <v>50</v>
      </c>
      <c r="AY146" s="136">
        <f t="shared" si="19"/>
        <v>0.16666666666666666</v>
      </c>
      <c r="AZ146" s="195">
        <v>1</v>
      </c>
      <c r="BA146" s="195">
        <v>1</v>
      </c>
      <c r="BB146" s="181">
        <v>46000</v>
      </c>
      <c r="BC146" s="138">
        <v>841778</v>
      </c>
    </row>
    <row r="147" spans="1:55" ht="21">
      <c r="A147">
        <v>6</v>
      </c>
      <c r="B147" s="121" t="s">
        <v>21</v>
      </c>
      <c r="C147" s="140" t="s">
        <v>33</v>
      </c>
      <c r="D147" s="180"/>
      <c r="E147" s="180">
        <v>1</v>
      </c>
      <c r="F147" s="180"/>
      <c r="G147" s="180">
        <v>1</v>
      </c>
      <c r="H147" s="180"/>
      <c r="I147" s="180">
        <v>1</v>
      </c>
      <c r="J147" s="180"/>
      <c r="K147" s="180">
        <v>1</v>
      </c>
      <c r="L147" s="180">
        <v>4</v>
      </c>
      <c r="M147" s="183">
        <v>26</v>
      </c>
      <c r="N147" s="183"/>
      <c r="O147" s="182"/>
      <c r="P147" s="182">
        <v>79</v>
      </c>
      <c r="Q147" s="182">
        <v>99</v>
      </c>
      <c r="R147" s="182"/>
      <c r="S147" s="182"/>
      <c r="T147" s="182"/>
      <c r="U147" s="182"/>
      <c r="V147" s="182"/>
      <c r="W147" s="182"/>
      <c r="X147" s="182"/>
      <c r="Y147" s="182"/>
      <c r="Z147" s="182"/>
      <c r="AA147" s="182">
        <v>13</v>
      </c>
      <c r="AB147" s="183">
        <f t="shared" si="22"/>
        <v>191</v>
      </c>
      <c r="AC147" s="183"/>
      <c r="AD147" s="182"/>
      <c r="AE147" s="182"/>
      <c r="AF147" s="182">
        <v>19</v>
      </c>
      <c r="AG147" s="182">
        <v>24</v>
      </c>
      <c r="AH147" s="182"/>
      <c r="AI147" s="182"/>
      <c r="AJ147" s="182"/>
      <c r="AK147" s="182"/>
      <c r="AL147" s="182"/>
      <c r="AM147" s="182"/>
      <c r="AN147" s="182"/>
      <c r="AO147" s="182"/>
      <c r="AP147" s="182"/>
      <c r="AQ147" s="183"/>
      <c r="AR147" s="149">
        <f t="shared" si="20"/>
        <v>43000</v>
      </c>
      <c r="AS147" s="150">
        <f t="shared" si="21"/>
        <v>2</v>
      </c>
      <c r="AT147" s="150">
        <f t="shared" si="23"/>
        <v>3909.090909090909</v>
      </c>
      <c r="AU147" s="183">
        <f t="shared" si="24"/>
        <v>191</v>
      </c>
      <c r="AV147" s="183">
        <v>11</v>
      </c>
      <c r="AW147" s="135">
        <f t="shared" si="25"/>
        <v>5.7591623036649213E-2</v>
      </c>
      <c r="AX147" s="180">
        <v>180</v>
      </c>
      <c r="AY147" s="136">
        <f t="shared" si="19"/>
        <v>5.7591623036649213E-2</v>
      </c>
      <c r="AZ147" s="195">
        <v>0.8</v>
      </c>
      <c r="BA147" s="195">
        <v>0.5</v>
      </c>
      <c r="BB147" s="181">
        <v>43000</v>
      </c>
      <c r="BC147" s="138">
        <v>4463380</v>
      </c>
    </row>
    <row r="148" spans="1:55" ht="21">
      <c r="A148">
        <v>6</v>
      </c>
      <c r="B148" s="121" t="s">
        <v>21</v>
      </c>
      <c r="C148" s="140" t="s">
        <v>24</v>
      </c>
      <c r="D148" s="180">
        <v>2</v>
      </c>
      <c r="E148" s="180"/>
      <c r="F148" s="180">
        <v>1</v>
      </c>
      <c r="G148" s="180"/>
      <c r="H148" s="180">
        <v>1</v>
      </c>
      <c r="I148" s="180"/>
      <c r="J148" s="180"/>
      <c r="K148" s="180"/>
      <c r="L148" s="180">
        <v>4</v>
      </c>
      <c r="M148" s="201">
        <v>9</v>
      </c>
      <c r="N148" s="201">
        <v>49</v>
      </c>
      <c r="O148" s="201"/>
      <c r="P148" s="201"/>
      <c r="Q148" s="201">
        <v>83</v>
      </c>
      <c r="R148" s="201"/>
      <c r="S148" s="201">
        <v>19</v>
      </c>
      <c r="T148" s="201">
        <v>0</v>
      </c>
      <c r="U148" s="201"/>
      <c r="V148" s="201"/>
      <c r="W148" s="201"/>
      <c r="X148" s="201"/>
      <c r="Y148" s="201"/>
      <c r="Z148" s="201"/>
      <c r="AA148" s="182">
        <v>1</v>
      </c>
      <c r="AB148" s="183">
        <f t="shared" si="22"/>
        <v>152</v>
      </c>
      <c r="AC148" s="201"/>
      <c r="AD148" s="201">
        <v>21.8</v>
      </c>
      <c r="AE148" s="201"/>
      <c r="AF148" s="201"/>
      <c r="AG148" s="201">
        <v>18.899999999999999</v>
      </c>
      <c r="AH148" s="201"/>
      <c r="AI148" s="201">
        <v>1.5349999999999999</v>
      </c>
      <c r="AJ148" s="201">
        <v>0.52800000000000002</v>
      </c>
      <c r="AK148" s="201"/>
      <c r="AL148" s="201"/>
      <c r="AM148" s="201"/>
      <c r="AN148" s="201"/>
      <c r="AO148" s="201"/>
      <c r="AP148" s="201"/>
      <c r="AQ148" s="182"/>
      <c r="AR148" s="149">
        <f t="shared" si="20"/>
        <v>42235</v>
      </c>
      <c r="AS148" s="150">
        <f t="shared" si="21"/>
        <v>4</v>
      </c>
      <c r="AT148" s="150">
        <f t="shared" si="23"/>
        <v>14078.333333333334</v>
      </c>
      <c r="AU148" s="183">
        <f t="shared" si="24"/>
        <v>152</v>
      </c>
      <c r="AV148" s="183">
        <v>3</v>
      </c>
      <c r="AW148" s="135">
        <f t="shared" si="25"/>
        <v>1.9736842105263157E-2</v>
      </c>
      <c r="AX148" s="180">
        <v>84</v>
      </c>
      <c r="AY148" s="136">
        <f t="shared" si="19"/>
        <v>3.4482758620689655E-2</v>
      </c>
      <c r="AZ148" s="195">
        <v>0.5</v>
      </c>
      <c r="BA148" s="195">
        <v>0</v>
      </c>
      <c r="BB148" s="181">
        <v>42763</v>
      </c>
      <c r="BC148" s="138">
        <v>0</v>
      </c>
    </row>
    <row r="149" spans="1:55" ht="21.6" thickBot="1">
      <c r="A149">
        <v>6</v>
      </c>
      <c r="B149" s="122" t="s">
        <v>70</v>
      </c>
      <c r="C149" s="141" t="s">
        <v>92</v>
      </c>
      <c r="D149" s="180">
        <v>2</v>
      </c>
      <c r="E149" s="180">
        <v>2</v>
      </c>
      <c r="F149" s="180">
        <v>2</v>
      </c>
      <c r="G149" s="180"/>
      <c r="H149" s="180">
        <v>1</v>
      </c>
      <c r="I149" s="180"/>
      <c r="J149" s="180"/>
      <c r="K149" s="180"/>
      <c r="L149" s="180">
        <v>7</v>
      </c>
      <c r="M149" s="182">
        <v>15</v>
      </c>
      <c r="N149" s="182">
        <v>31</v>
      </c>
      <c r="O149" s="182"/>
      <c r="P149" s="182">
        <v>42</v>
      </c>
      <c r="Q149" s="182"/>
      <c r="R149" s="182"/>
      <c r="S149" s="182">
        <v>54</v>
      </c>
      <c r="T149" s="182"/>
      <c r="U149" s="182"/>
      <c r="V149" s="182"/>
      <c r="W149" s="182"/>
      <c r="X149" s="182"/>
      <c r="Y149" s="182"/>
      <c r="Z149" s="182"/>
      <c r="AA149" s="182"/>
      <c r="AB149" s="183">
        <f t="shared" si="22"/>
        <v>127</v>
      </c>
      <c r="AC149" s="183"/>
      <c r="AD149" s="183">
        <v>32</v>
      </c>
      <c r="AE149" s="183">
        <v>2</v>
      </c>
      <c r="AF149" s="183">
        <v>4</v>
      </c>
      <c r="AG149" s="183">
        <v>4</v>
      </c>
      <c r="AH149" s="183">
        <v>1</v>
      </c>
      <c r="AI149" s="183">
        <v>6</v>
      </c>
      <c r="AJ149" s="183">
        <v>4</v>
      </c>
      <c r="AK149" s="183"/>
      <c r="AL149" s="183"/>
      <c r="AM149" s="183"/>
      <c r="AN149" s="183"/>
      <c r="AO149" s="183"/>
      <c r="AP149" s="183"/>
      <c r="AQ149" s="183"/>
      <c r="AR149" s="149">
        <f t="shared" si="20"/>
        <v>49000</v>
      </c>
      <c r="AS149" s="150">
        <f t="shared" si="21"/>
        <v>7</v>
      </c>
      <c r="AT149" s="150">
        <f t="shared" si="23"/>
        <v>16333.333333333334</v>
      </c>
      <c r="AU149" s="183">
        <f t="shared" si="24"/>
        <v>127</v>
      </c>
      <c r="AV149" s="183">
        <v>3</v>
      </c>
      <c r="AW149" s="135">
        <f t="shared" si="25"/>
        <v>2.3622047244094488E-2</v>
      </c>
      <c r="AX149" s="180">
        <v>25</v>
      </c>
      <c r="AY149" s="136">
        <f t="shared" si="19"/>
        <v>0.10714285714285714</v>
      </c>
      <c r="AZ149" s="195">
        <v>1</v>
      </c>
      <c r="BA149" s="195">
        <v>1</v>
      </c>
      <c r="BB149" s="181">
        <v>53000</v>
      </c>
      <c r="BC149" s="138">
        <v>2233160</v>
      </c>
    </row>
    <row r="150" spans="1:55" ht="21">
      <c r="A150">
        <v>7</v>
      </c>
      <c r="B150" s="120" t="s">
        <v>70</v>
      </c>
      <c r="C150" s="139" t="s">
        <v>69</v>
      </c>
      <c r="D150" s="180">
        <v>1</v>
      </c>
      <c r="E150" s="180">
        <v>1</v>
      </c>
      <c r="F150" s="180">
        <v>1</v>
      </c>
      <c r="G150" s="180">
        <v>1</v>
      </c>
      <c r="H150" s="180"/>
      <c r="I150" s="180">
        <v>1</v>
      </c>
      <c r="J150" s="180">
        <v>1</v>
      </c>
      <c r="K150" s="180"/>
      <c r="L150" s="180">
        <v>6</v>
      </c>
      <c r="M150" s="182">
        <v>27</v>
      </c>
      <c r="N150" s="182">
        <v>58</v>
      </c>
      <c r="O150" s="182"/>
      <c r="P150" s="182">
        <v>23</v>
      </c>
      <c r="Q150" s="182">
        <v>55</v>
      </c>
      <c r="R150" s="182"/>
      <c r="S150" s="182"/>
      <c r="T150" s="182"/>
      <c r="U150" s="182"/>
      <c r="V150" s="182"/>
      <c r="W150" s="182"/>
      <c r="X150" s="182"/>
      <c r="Y150" s="182"/>
      <c r="Z150" s="182"/>
      <c r="AA150" s="182"/>
      <c r="AB150" s="183">
        <f t="shared" si="22"/>
        <v>136</v>
      </c>
      <c r="AC150" s="183"/>
      <c r="AD150" s="183">
        <v>22</v>
      </c>
      <c r="AE150" s="183"/>
      <c r="AF150" s="183">
        <v>4</v>
      </c>
      <c r="AG150" s="183">
        <v>4</v>
      </c>
      <c r="AH150" s="183"/>
      <c r="AI150" s="183"/>
      <c r="AJ150" s="183">
        <v>2</v>
      </c>
      <c r="AK150" s="183"/>
      <c r="AL150" s="183">
        <v>7</v>
      </c>
      <c r="AM150" s="183"/>
      <c r="AN150" s="183">
        <v>2</v>
      </c>
      <c r="AO150" s="183">
        <v>24</v>
      </c>
      <c r="AP150" s="183"/>
      <c r="AQ150" s="183">
        <v>1</v>
      </c>
      <c r="AR150" s="149">
        <f t="shared" si="20"/>
        <v>31000</v>
      </c>
      <c r="AS150" s="150">
        <f t="shared" si="21"/>
        <v>8</v>
      </c>
      <c r="AT150" s="150">
        <f t="shared" si="23"/>
        <v>3100</v>
      </c>
      <c r="AU150" s="183">
        <f t="shared" si="24"/>
        <v>136</v>
      </c>
      <c r="AV150" s="183">
        <v>10</v>
      </c>
      <c r="AW150" s="135">
        <f t="shared" si="25"/>
        <v>7.3529411764705885E-2</v>
      </c>
      <c r="AX150" s="194">
        <v>27</v>
      </c>
      <c r="AY150" s="136">
        <f t="shared" si="19"/>
        <v>0.27027027027027029</v>
      </c>
      <c r="AZ150" s="195">
        <v>1.1599999999999999</v>
      </c>
      <c r="BA150" s="195">
        <v>1</v>
      </c>
      <c r="BB150" s="181">
        <v>66000</v>
      </c>
      <c r="BC150" s="138">
        <v>7466601</v>
      </c>
    </row>
    <row r="151" spans="1:55" ht="21">
      <c r="A151">
        <v>7</v>
      </c>
      <c r="B151" s="121" t="s">
        <v>21</v>
      </c>
      <c r="C151" s="140" t="s">
        <v>36</v>
      </c>
      <c r="D151" s="181"/>
      <c r="E151" s="181"/>
      <c r="F151" s="181"/>
      <c r="G151" s="181"/>
      <c r="H151" s="181"/>
      <c r="I151" s="181"/>
      <c r="J151" s="181"/>
      <c r="K151" s="181"/>
      <c r="L151" s="181"/>
      <c r="M151" s="182"/>
      <c r="N151" s="182"/>
      <c r="O151" s="182"/>
      <c r="P151" s="182"/>
      <c r="Q151" s="182"/>
      <c r="R151" s="182"/>
      <c r="S151" s="182"/>
      <c r="T151" s="182"/>
      <c r="U151" s="182"/>
      <c r="V151" s="182"/>
      <c r="W151" s="182"/>
      <c r="X151" s="182"/>
      <c r="Y151" s="182"/>
      <c r="Z151" s="182"/>
      <c r="AA151" s="182"/>
      <c r="AB151" s="183">
        <f t="shared" si="22"/>
        <v>0</v>
      </c>
      <c r="AC151" s="182"/>
      <c r="AD151" s="182"/>
      <c r="AE151" s="182"/>
      <c r="AF151" s="182"/>
      <c r="AG151" s="182"/>
      <c r="AH151" s="182"/>
      <c r="AI151" s="182"/>
      <c r="AJ151" s="182"/>
      <c r="AK151" s="182"/>
      <c r="AL151" s="182"/>
      <c r="AM151" s="182"/>
      <c r="AN151" s="182"/>
      <c r="AO151" s="182"/>
      <c r="AP151" s="182"/>
      <c r="AQ151" s="182"/>
      <c r="AR151" s="149">
        <f t="shared" si="20"/>
        <v>0</v>
      </c>
      <c r="AS151" s="150">
        <f t="shared" si="21"/>
        <v>0</v>
      </c>
      <c r="AT151" s="150">
        <v>0</v>
      </c>
      <c r="AU151" s="183">
        <f t="shared" si="24"/>
        <v>0</v>
      </c>
      <c r="AV151" s="183">
        <v>0</v>
      </c>
      <c r="AW151" s="135"/>
      <c r="AX151" s="194">
        <v>0</v>
      </c>
      <c r="AY151" s="136">
        <v>0</v>
      </c>
      <c r="AZ151" s="195">
        <v>0</v>
      </c>
      <c r="BA151" s="195">
        <v>0</v>
      </c>
      <c r="BB151" s="181">
        <v>0</v>
      </c>
      <c r="BC151" s="138"/>
    </row>
    <row r="152" spans="1:55" ht="21">
      <c r="A152">
        <v>7</v>
      </c>
      <c r="B152" s="121" t="s">
        <v>139</v>
      </c>
      <c r="C152" s="140" t="s">
        <v>149</v>
      </c>
      <c r="D152" s="180">
        <v>1</v>
      </c>
      <c r="E152" s="180"/>
      <c r="F152" s="180"/>
      <c r="G152" s="180"/>
      <c r="H152" s="180"/>
      <c r="I152" s="180">
        <v>2</v>
      </c>
      <c r="J152" s="180"/>
      <c r="K152" s="180">
        <v>1</v>
      </c>
      <c r="L152" s="180">
        <v>4</v>
      </c>
      <c r="M152" s="182">
        <v>55</v>
      </c>
      <c r="N152" s="182">
        <v>20</v>
      </c>
      <c r="O152" s="182">
        <v>0</v>
      </c>
      <c r="P152" s="182">
        <v>57</v>
      </c>
      <c r="Q152" s="182">
        <v>65</v>
      </c>
      <c r="R152" s="182">
        <v>0</v>
      </c>
      <c r="S152" s="182">
        <v>2</v>
      </c>
      <c r="T152" s="182">
        <v>0</v>
      </c>
      <c r="U152" s="182">
        <v>0</v>
      </c>
      <c r="V152" s="182">
        <v>0</v>
      </c>
      <c r="W152" s="182">
        <v>0</v>
      </c>
      <c r="X152" s="182">
        <v>0</v>
      </c>
      <c r="Y152" s="182">
        <v>0</v>
      </c>
      <c r="Z152" s="182">
        <v>0</v>
      </c>
      <c r="AA152" s="182">
        <v>0</v>
      </c>
      <c r="AB152" s="183">
        <f t="shared" si="22"/>
        <v>144</v>
      </c>
      <c r="AC152" s="182"/>
      <c r="AD152" s="182">
        <v>5</v>
      </c>
      <c r="AE152" s="182">
        <v>6</v>
      </c>
      <c r="AF152" s="182">
        <v>25</v>
      </c>
      <c r="AG152" s="182">
        <v>15</v>
      </c>
      <c r="AH152" s="182">
        <v>5</v>
      </c>
      <c r="AI152" s="182"/>
      <c r="AJ152" s="182">
        <v>3</v>
      </c>
      <c r="AK152" s="182"/>
      <c r="AL152" s="182">
        <v>40</v>
      </c>
      <c r="AM152" s="182"/>
      <c r="AN152" s="182"/>
      <c r="AO152" s="182"/>
      <c r="AP152" s="182"/>
      <c r="AQ152" s="182"/>
      <c r="AR152" s="149">
        <f t="shared" si="20"/>
        <v>56000</v>
      </c>
      <c r="AS152" s="150">
        <f t="shared" si="21"/>
        <v>7</v>
      </c>
      <c r="AT152" s="150">
        <f t="shared" si="23"/>
        <v>3111.1111111111113</v>
      </c>
      <c r="AU152" s="183">
        <f t="shared" si="24"/>
        <v>144</v>
      </c>
      <c r="AV152" s="183">
        <v>18</v>
      </c>
      <c r="AW152" s="135">
        <f t="shared" si="25"/>
        <v>0.125</v>
      </c>
      <c r="AX152" s="194">
        <v>71</v>
      </c>
      <c r="AY152" s="136">
        <f t="shared" si="19"/>
        <v>0.20224719101123595</v>
      </c>
      <c r="AZ152" s="195">
        <v>1.19</v>
      </c>
      <c r="BA152" s="195">
        <v>1</v>
      </c>
      <c r="BB152" s="181">
        <v>99000</v>
      </c>
      <c r="BC152" s="138">
        <v>22781283</v>
      </c>
    </row>
    <row r="153" spans="1:55" ht="21">
      <c r="A153">
        <v>7</v>
      </c>
      <c r="B153" s="121" t="s">
        <v>70</v>
      </c>
      <c r="C153" s="140" t="s">
        <v>90</v>
      </c>
      <c r="D153" s="180"/>
      <c r="E153" s="180">
        <v>1</v>
      </c>
      <c r="F153" s="180">
        <v>2</v>
      </c>
      <c r="G153" s="180">
        <v>1</v>
      </c>
      <c r="H153" s="180"/>
      <c r="I153" s="180">
        <v>1</v>
      </c>
      <c r="J153" s="180">
        <v>1</v>
      </c>
      <c r="K153" s="180"/>
      <c r="L153" s="180">
        <v>6</v>
      </c>
      <c r="M153" s="182">
        <v>13</v>
      </c>
      <c r="N153" s="182">
        <v>60</v>
      </c>
      <c r="O153" s="182">
        <v>2</v>
      </c>
      <c r="P153" s="182">
        <v>20</v>
      </c>
      <c r="Q153" s="182">
        <v>91</v>
      </c>
      <c r="R153" s="182">
        <v>2</v>
      </c>
      <c r="S153" s="182">
        <v>21</v>
      </c>
      <c r="T153" s="182">
        <v>1</v>
      </c>
      <c r="U153" s="182"/>
      <c r="V153" s="182">
        <v>4</v>
      </c>
      <c r="W153" s="182"/>
      <c r="X153" s="182"/>
      <c r="Y153" s="182"/>
      <c r="Z153" s="182"/>
      <c r="AA153" s="182"/>
      <c r="AB153" s="183">
        <f t="shared" si="22"/>
        <v>201</v>
      </c>
      <c r="AC153" s="183"/>
      <c r="AD153" s="183">
        <v>35</v>
      </c>
      <c r="AE153" s="183"/>
      <c r="AF153" s="183">
        <v>8</v>
      </c>
      <c r="AG153" s="183">
        <v>23</v>
      </c>
      <c r="AH153" s="183"/>
      <c r="AI153" s="183"/>
      <c r="AJ153" s="183">
        <v>2</v>
      </c>
      <c r="AK153" s="183"/>
      <c r="AL153" s="183">
        <v>15</v>
      </c>
      <c r="AM153" s="183"/>
      <c r="AN153" s="183"/>
      <c r="AO153" s="183"/>
      <c r="AP153" s="183"/>
      <c r="AQ153" s="183"/>
      <c r="AR153" s="149">
        <f t="shared" si="20"/>
        <v>66000</v>
      </c>
      <c r="AS153" s="150">
        <f t="shared" si="21"/>
        <v>5</v>
      </c>
      <c r="AT153" s="150">
        <f t="shared" si="23"/>
        <v>16500</v>
      </c>
      <c r="AU153" s="183">
        <f t="shared" si="24"/>
        <v>201</v>
      </c>
      <c r="AV153" s="183">
        <v>4</v>
      </c>
      <c r="AW153" s="135">
        <f t="shared" si="25"/>
        <v>1.9900497512437811E-2</v>
      </c>
      <c r="AX153" s="194">
        <v>8</v>
      </c>
      <c r="AY153" s="136">
        <f t="shared" si="19"/>
        <v>0.33333333333333331</v>
      </c>
      <c r="AZ153" s="195">
        <v>1.1599999999999999</v>
      </c>
      <c r="BA153" s="195">
        <v>1</v>
      </c>
      <c r="BB153" s="181">
        <v>83000</v>
      </c>
      <c r="BC153" s="138">
        <v>1020098</v>
      </c>
    </row>
    <row r="154" spans="1:55" ht="21">
      <c r="A154">
        <v>7</v>
      </c>
      <c r="B154" s="121" t="s">
        <v>70</v>
      </c>
      <c r="C154" s="140" t="s">
        <v>79</v>
      </c>
      <c r="D154" s="180">
        <v>2</v>
      </c>
      <c r="E154" s="180"/>
      <c r="F154" s="180">
        <v>1</v>
      </c>
      <c r="G154" s="180"/>
      <c r="H154" s="180"/>
      <c r="I154" s="180">
        <v>1</v>
      </c>
      <c r="J154" s="180"/>
      <c r="K154" s="180">
        <v>1</v>
      </c>
      <c r="L154" s="180">
        <v>5</v>
      </c>
      <c r="M154" s="182">
        <v>21</v>
      </c>
      <c r="N154" s="182"/>
      <c r="O154" s="182"/>
      <c r="P154" s="182">
        <v>46</v>
      </c>
      <c r="Q154" s="182">
        <v>82</v>
      </c>
      <c r="R154" s="182"/>
      <c r="S154" s="182">
        <v>2</v>
      </c>
      <c r="T154" s="182"/>
      <c r="U154" s="182"/>
      <c r="V154" s="182"/>
      <c r="W154" s="182"/>
      <c r="X154" s="182"/>
      <c r="Y154" s="182"/>
      <c r="Z154" s="182"/>
      <c r="AA154" s="182"/>
      <c r="AB154" s="183">
        <f t="shared" si="22"/>
        <v>130</v>
      </c>
      <c r="AC154" s="183"/>
      <c r="AD154" s="183"/>
      <c r="AE154" s="183">
        <v>6</v>
      </c>
      <c r="AF154" s="183">
        <v>6</v>
      </c>
      <c r="AG154" s="183">
        <v>13</v>
      </c>
      <c r="AH154" s="183"/>
      <c r="AI154" s="183">
        <v>2</v>
      </c>
      <c r="AJ154" s="183"/>
      <c r="AK154" s="183"/>
      <c r="AL154" s="183"/>
      <c r="AM154" s="183"/>
      <c r="AN154" s="183"/>
      <c r="AO154" s="183"/>
      <c r="AP154" s="183"/>
      <c r="AQ154" s="183"/>
      <c r="AR154" s="149">
        <f t="shared" si="20"/>
        <v>27000</v>
      </c>
      <c r="AS154" s="150">
        <f t="shared" si="21"/>
        <v>4</v>
      </c>
      <c r="AT154" s="150">
        <f t="shared" si="23"/>
        <v>6750</v>
      </c>
      <c r="AU154" s="183">
        <f t="shared" si="24"/>
        <v>130</v>
      </c>
      <c r="AV154" s="183">
        <v>4</v>
      </c>
      <c r="AW154" s="135">
        <f t="shared" si="25"/>
        <v>3.0769230769230771E-2</v>
      </c>
      <c r="AX154" s="194">
        <v>37</v>
      </c>
      <c r="AY154" s="136">
        <f t="shared" si="19"/>
        <v>9.7560975609756101E-2</v>
      </c>
      <c r="AZ154" s="195">
        <v>0.87</v>
      </c>
      <c r="BA154" s="195">
        <v>0.5</v>
      </c>
      <c r="BB154" s="181">
        <v>27000</v>
      </c>
      <c r="BC154" s="138">
        <v>1316062</v>
      </c>
    </row>
    <row r="155" spans="1:55" ht="21">
      <c r="A155">
        <v>7</v>
      </c>
      <c r="B155" s="121" t="s">
        <v>139</v>
      </c>
      <c r="C155" s="140" t="s">
        <v>60</v>
      </c>
      <c r="D155" s="180">
        <v>1</v>
      </c>
      <c r="E155" s="180"/>
      <c r="F155" s="180"/>
      <c r="G155" s="180"/>
      <c r="H155" s="180">
        <v>1</v>
      </c>
      <c r="I155" s="180"/>
      <c r="J155" s="180"/>
      <c r="K155" s="180">
        <v>1</v>
      </c>
      <c r="L155" s="180">
        <v>3</v>
      </c>
      <c r="M155" s="182">
        <v>114</v>
      </c>
      <c r="N155" s="182">
        <v>65</v>
      </c>
      <c r="O155" s="182">
        <v>4</v>
      </c>
      <c r="P155" s="182">
        <v>70</v>
      </c>
      <c r="Q155" s="182">
        <v>93</v>
      </c>
      <c r="R155" s="182">
        <v>5</v>
      </c>
      <c r="S155" s="182">
        <v>10</v>
      </c>
      <c r="T155" s="182">
        <v>2</v>
      </c>
      <c r="U155" s="182">
        <v>0</v>
      </c>
      <c r="V155" s="182">
        <v>5</v>
      </c>
      <c r="W155" s="182">
        <v>0</v>
      </c>
      <c r="X155" s="182">
        <v>2</v>
      </c>
      <c r="Y155" s="182">
        <v>0</v>
      </c>
      <c r="Z155" s="182">
        <v>0</v>
      </c>
      <c r="AA155" s="182">
        <v>19</v>
      </c>
      <c r="AB155" s="183">
        <f t="shared" si="22"/>
        <v>275</v>
      </c>
      <c r="AC155" s="182"/>
      <c r="AD155" s="182">
        <v>25</v>
      </c>
      <c r="AE155" s="182"/>
      <c r="AF155" s="182">
        <v>10</v>
      </c>
      <c r="AG155" s="182">
        <v>10</v>
      </c>
      <c r="AH155" s="182"/>
      <c r="AI155" s="182"/>
      <c r="AJ155" s="182">
        <v>1</v>
      </c>
      <c r="AK155" s="182"/>
      <c r="AL155" s="182">
        <v>13</v>
      </c>
      <c r="AM155" s="182"/>
      <c r="AN155" s="182">
        <v>10</v>
      </c>
      <c r="AO155" s="182"/>
      <c r="AP155" s="182"/>
      <c r="AQ155" s="182"/>
      <c r="AR155" s="149">
        <f t="shared" si="20"/>
        <v>45000</v>
      </c>
      <c r="AS155" s="150">
        <f t="shared" si="21"/>
        <v>6</v>
      </c>
      <c r="AT155" s="150">
        <f t="shared" si="23"/>
        <v>1500</v>
      </c>
      <c r="AU155" s="183">
        <f t="shared" si="24"/>
        <v>275</v>
      </c>
      <c r="AV155" s="183">
        <v>30</v>
      </c>
      <c r="AW155" s="135">
        <f t="shared" si="25"/>
        <v>0.10909090909090909</v>
      </c>
      <c r="AX155" s="194">
        <v>181</v>
      </c>
      <c r="AY155" s="136">
        <f t="shared" si="19"/>
        <v>0.14218009478672985</v>
      </c>
      <c r="AZ155" s="195">
        <v>1</v>
      </c>
      <c r="BA155" s="195">
        <v>1</v>
      </c>
      <c r="BB155" s="181">
        <v>69000</v>
      </c>
      <c r="BC155" s="138">
        <v>42258227</v>
      </c>
    </row>
    <row r="156" spans="1:55" ht="21">
      <c r="A156">
        <v>7</v>
      </c>
      <c r="B156" s="121" t="s">
        <v>139</v>
      </c>
      <c r="C156" s="140" t="s">
        <v>57</v>
      </c>
      <c r="D156" s="180"/>
      <c r="E156" s="180">
        <v>1</v>
      </c>
      <c r="F156" s="180"/>
      <c r="G156" s="180"/>
      <c r="H156" s="180">
        <v>1</v>
      </c>
      <c r="I156" s="180">
        <v>1</v>
      </c>
      <c r="J156" s="180"/>
      <c r="K156" s="180">
        <v>1</v>
      </c>
      <c r="L156" s="180">
        <v>4</v>
      </c>
      <c r="M156" s="182">
        <v>52</v>
      </c>
      <c r="N156" s="182">
        <v>0</v>
      </c>
      <c r="O156" s="182">
        <v>0</v>
      </c>
      <c r="P156" s="182">
        <v>56</v>
      </c>
      <c r="Q156" s="182">
        <v>7</v>
      </c>
      <c r="R156" s="182">
        <v>0</v>
      </c>
      <c r="S156" s="182">
        <v>12</v>
      </c>
      <c r="T156" s="182">
        <v>0</v>
      </c>
      <c r="U156" s="182">
        <v>0</v>
      </c>
      <c r="V156" s="182">
        <v>1</v>
      </c>
      <c r="W156" s="182">
        <v>0</v>
      </c>
      <c r="X156" s="182">
        <v>0</v>
      </c>
      <c r="Y156" s="182">
        <v>0</v>
      </c>
      <c r="Z156" s="182">
        <v>0</v>
      </c>
      <c r="AA156" s="182">
        <v>0</v>
      </c>
      <c r="AB156" s="183">
        <f t="shared" si="22"/>
        <v>76</v>
      </c>
      <c r="AC156" s="182"/>
      <c r="AD156" s="182">
        <v>57</v>
      </c>
      <c r="AE156" s="182"/>
      <c r="AF156" s="182">
        <v>15</v>
      </c>
      <c r="AG156" s="182">
        <v>7</v>
      </c>
      <c r="AH156" s="182"/>
      <c r="AI156" s="182">
        <v>7</v>
      </c>
      <c r="AJ156" s="182">
        <v>0.3</v>
      </c>
      <c r="AK156" s="182"/>
      <c r="AL156" s="182"/>
      <c r="AM156" s="182"/>
      <c r="AN156" s="182"/>
      <c r="AO156" s="182"/>
      <c r="AP156" s="182">
        <v>20</v>
      </c>
      <c r="AQ156" s="182"/>
      <c r="AR156" s="149">
        <f t="shared" si="20"/>
        <v>86000</v>
      </c>
      <c r="AS156" s="150">
        <f t="shared" si="21"/>
        <v>6</v>
      </c>
      <c r="AT156" s="150">
        <f t="shared" si="23"/>
        <v>7818.181818181818</v>
      </c>
      <c r="AU156" s="183">
        <f t="shared" si="24"/>
        <v>76</v>
      </c>
      <c r="AV156" s="183">
        <v>11</v>
      </c>
      <c r="AW156" s="135">
        <f t="shared" si="25"/>
        <v>0.14473684210526316</v>
      </c>
      <c r="AX156" s="194">
        <v>190</v>
      </c>
      <c r="AY156" s="136">
        <f t="shared" si="19"/>
        <v>5.4726368159203981E-2</v>
      </c>
      <c r="AZ156" s="195">
        <v>1.24</v>
      </c>
      <c r="BA156" s="195">
        <v>1</v>
      </c>
      <c r="BB156" s="181">
        <v>106300</v>
      </c>
      <c r="BC156" s="138">
        <v>16881227</v>
      </c>
    </row>
    <row r="157" spans="1:55" ht="21">
      <c r="A157">
        <v>7</v>
      </c>
      <c r="B157" s="121" t="s">
        <v>139</v>
      </c>
      <c r="C157" s="140" t="s">
        <v>66</v>
      </c>
      <c r="D157" s="180">
        <v>2</v>
      </c>
      <c r="E157" s="180"/>
      <c r="F157" s="180"/>
      <c r="G157" s="180"/>
      <c r="H157" s="180">
        <v>1</v>
      </c>
      <c r="I157" s="180">
        <v>1</v>
      </c>
      <c r="J157" s="180"/>
      <c r="K157" s="180">
        <v>1</v>
      </c>
      <c r="L157" s="180">
        <v>5</v>
      </c>
      <c r="M157" s="182">
        <v>17</v>
      </c>
      <c r="N157" s="182">
        <v>17</v>
      </c>
      <c r="O157" s="182">
        <v>27</v>
      </c>
      <c r="P157" s="182">
        <v>23</v>
      </c>
      <c r="Q157" s="182">
        <v>40</v>
      </c>
      <c r="R157" s="182">
        <v>0</v>
      </c>
      <c r="S157" s="182">
        <v>0</v>
      </c>
      <c r="T157" s="182">
        <v>0</v>
      </c>
      <c r="U157" s="182">
        <v>0</v>
      </c>
      <c r="V157" s="182">
        <v>0</v>
      </c>
      <c r="W157" s="182">
        <v>0</v>
      </c>
      <c r="X157" s="182">
        <v>0</v>
      </c>
      <c r="Y157" s="182">
        <v>0</v>
      </c>
      <c r="Z157" s="182">
        <v>0</v>
      </c>
      <c r="AA157" s="182">
        <v>0</v>
      </c>
      <c r="AB157" s="183">
        <f t="shared" si="22"/>
        <v>107</v>
      </c>
      <c r="AC157" s="182"/>
      <c r="AD157" s="182"/>
      <c r="AE157" s="182">
        <v>17</v>
      </c>
      <c r="AF157" s="182">
        <v>15</v>
      </c>
      <c r="AG157" s="182">
        <v>13</v>
      </c>
      <c r="AH157" s="182"/>
      <c r="AI157" s="182"/>
      <c r="AJ157" s="182">
        <v>1</v>
      </c>
      <c r="AK157" s="182"/>
      <c r="AL157" s="182">
        <v>3.6</v>
      </c>
      <c r="AM157" s="182"/>
      <c r="AN157" s="182"/>
      <c r="AO157" s="182"/>
      <c r="AP157" s="182"/>
      <c r="AQ157" s="182"/>
      <c r="AR157" s="149">
        <f t="shared" si="20"/>
        <v>45000</v>
      </c>
      <c r="AS157" s="150">
        <f t="shared" si="21"/>
        <v>5</v>
      </c>
      <c r="AT157" s="150">
        <f t="shared" si="23"/>
        <v>4090.909090909091</v>
      </c>
      <c r="AU157" s="183">
        <f t="shared" si="24"/>
        <v>107</v>
      </c>
      <c r="AV157" s="183">
        <v>11</v>
      </c>
      <c r="AW157" s="135">
        <f t="shared" si="25"/>
        <v>0.10280373831775701</v>
      </c>
      <c r="AX157" s="194">
        <v>27</v>
      </c>
      <c r="AY157" s="136">
        <f t="shared" si="19"/>
        <v>0.28947368421052633</v>
      </c>
      <c r="AZ157" s="195">
        <v>1.05</v>
      </c>
      <c r="BA157" s="195">
        <v>1</v>
      </c>
      <c r="BB157" s="181">
        <v>49600</v>
      </c>
      <c r="BC157" s="138">
        <v>10640636</v>
      </c>
    </row>
    <row r="158" spans="1:55" ht="21">
      <c r="A158">
        <v>7</v>
      </c>
      <c r="B158" s="121" t="s">
        <v>70</v>
      </c>
      <c r="C158" s="140" t="s">
        <v>82</v>
      </c>
      <c r="D158" s="180">
        <v>3</v>
      </c>
      <c r="E158" s="180"/>
      <c r="F158" s="180">
        <v>1</v>
      </c>
      <c r="G158" s="180">
        <v>1</v>
      </c>
      <c r="H158" s="180">
        <v>1</v>
      </c>
      <c r="I158" s="180"/>
      <c r="J158" s="180"/>
      <c r="K158" s="180"/>
      <c r="L158" s="180">
        <v>6</v>
      </c>
      <c r="M158" s="182">
        <v>17</v>
      </c>
      <c r="N158" s="182">
        <v>30</v>
      </c>
      <c r="O158" s="182">
        <v>1</v>
      </c>
      <c r="P158" s="182">
        <v>3</v>
      </c>
      <c r="Q158" s="182">
        <v>76</v>
      </c>
      <c r="R158" s="182"/>
      <c r="S158" s="182"/>
      <c r="T158" s="182"/>
      <c r="U158" s="182"/>
      <c r="V158" s="182"/>
      <c r="W158" s="182"/>
      <c r="X158" s="182"/>
      <c r="Y158" s="182"/>
      <c r="Z158" s="182"/>
      <c r="AA158" s="182"/>
      <c r="AB158" s="183">
        <f t="shared" si="22"/>
        <v>110</v>
      </c>
      <c r="AC158" s="183"/>
      <c r="AD158" s="183">
        <v>14</v>
      </c>
      <c r="AE158" s="183">
        <v>3</v>
      </c>
      <c r="AF158" s="183">
        <v>4</v>
      </c>
      <c r="AG158" s="183">
        <v>6</v>
      </c>
      <c r="AH158" s="183"/>
      <c r="AI158" s="183"/>
      <c r="AJ158" s="183">
        <v>2</v>
      </c>
      <c r="AK158" s="183">
        <v>6</v>
      </c>
      <c r="AL158" s="183"/>
      <c r="AM158" s="183"/>
      <c r="AN158" s="183"/>
      <c r="AO158" s="183"/>
      <c r="AP158" s="183"/>
      <c r="AQ158" s="183"/>
      <c r="AR158" s="149">
        <f t="shared" si="20"/>
        <v>27000</v>
      </c>
      <c r="AS158" s="150">
        <f t="shared" si="21"/>
        <v>6</v>
      </c>
      <c r="AT158" s="150">
        <f t="shared" si="23"/>
        <v>3857.1428571428573</v>
      </c>
      <c r="AU158" s="183">
        <f t="shared" si="24"/>
        <v>110</v>
      </c>
      <c r="AV158" s="183">
        <v>7</v>
      </c>
      <c r="AW158" s="135">
        <f t="shared" si="25"/>
        <v>6.363636363636363E-2</v>
      </c>
      <c r="AX158" s="194">
        <v>20</v>
      </c>
      <c r="AY158" s="136">
        <f t="shared" si="19"/>
        <v>0.25925925925925924</v>
      </c>
      <c r="AZ158" s="195">
        <v>1.26</v>
      </c>
      <c r="BA158" s="195">
        <v>1</v>
      </c>
      <c r="BB158" s="181">
        <v>35000</v>
      </c>
      <c r="BC158" s="138">
        <v>3375888</v>
      </c>
    </row>
    <row r="159" spans="1:55" ht="21">
      <c r="A159">
        <v>7</v>
      </c>
      <c r="B159" s="121" t="s">
        <v>21</v>
      </c>
      <c r="C159" s="140" t="s">
        <v>48</v>
      </c>
      <c r="D159" s="180">
        <v>1</v>
      </c>
      <c r="E159" s="180"/>
      <c r="F159" s="180">
        <v>1</v>
      </c>
      <c r="G159" s="180"/>
      <c r="H159" s="180"/>
      <c r="I159" s="180"/>
      <c r="J159" s="180"/>
      <c r="K159" s="180"/>
      <c r="L159" s="180">
        <v>2</v>
      </c>
      <c r="M159" s="182">
        <v>68</v>
      </c>
      <c r="N159" s="182"/>
      <c r="O159" s="182">
        <v>8</v>
      </c>
      <c r="P159" s="182">
        <v>71</v>
      </c>
      <c r="Q159" s="182">
        <v>104</v>
      </c>
      <c r="R159" s="182">
        <v>7</v>
      </c>
      <c r="S159" s="182"/>
      <c r="T159" s="182"/>
      <c r="U159" s="182"/>
      <c r="V159" s="182"/>
      <c r="W159" s="182"/>
      <c r="X159" s="182"/>
      <c r="Y159" s="182"/>
      <c r="Z159" s="182"/>
      <c r="AA159" s="182"/>
      <c r="AB159" s="183">
        <f t="shared" si="22"/>
        <v>190</v>
      </c>
      <c r="AC159" s="182"/>
      <c r="AD159" s="182"/>
      <c r="AE159" s="182">
        <v>10</v>
      </c>
      <c r="AF159" s="182">
        <v>12</v>
      </c>
      <c r="AG159" s="182">
        <v>25</v>
      </c>
      <c r="AH159" s="182">
        <v>5</v>
      </c>
      <c r="AI159" s="182"/>
      <c r="AJ159" s="182"/>
      <c r="AK159" s="182"/>
      <c r="AL159" s="182"/>
      <c r="AM159" s="182"/>
      <c r="AN159" s="182"/>
      <c r="AO159" s="182"/>
      <c r="AP159" s="182"/>
      <c r="AQ159" s="182"/>
      <c r="AR159" s="149">
        <f t="shared" si="20"/>
        <v>52000</v>
      </c>
      <c r="AS159" s="150">
        <f t="shared" si="21"/>
        <v>4</v>
      </c>
      <c r="AT159" s="150">
        <f t="shared" si="23"/>
        <v>2888.8888888888887</v>
      </c>
      <c r="AU159" s="183">
        <f t="shared" si="24"/>
        <v>190</v>
      </c>
      <c r="AV159" s="183">
        <v>18</v>
      </c>
      <c r="AW159" s="135">
        <f t="shared" si="25"/>
        <v>9.4736842105263161E-2</v>
      </c>
      <c r="AX159" s="194">
        <v>81</v>
      </c>
      <c r="AY159" s="136">
        <f t="shared" si="19"/>
        <v>0.18181818181818182</v>
      </c>
      <c r="AZ159" s="195">
        <v>1</v>
      </c>
      <c r="BA159" s="195">
        <v>1</v>
      </c>
      <c r="BB159" s="181">
        <v>52000</v>
      </c>
      <c r="BC159" s="138">
        <v>6845286</v>
      </c>
    </row>
    <row r="160" spans="1:55" ht="21">
      <c r="A160">
        <v>7</v>
      </c>
      <c r="B160" s="121" t="s">
        <v>70</v>
      </c>
      <c r="C160" s="140" t="s">
        <v>76</v>
      </c>
      <c r="D160" s="180">
        <v>1</v>
      </c>
      <c r="E160" s="180"/>
      <c r="F160" s="180">
        <v>2</v>
      </c>
      <c r="G160" s="180"/>
      <c r="H160" s="180">
        <v>3</v>
      </c>
      <c r="I160" s="180"/>
      <c r="J160" s="180"/>
      <c r="K160" s="180"/>
      <c r="L160" s="180">
        <v>6</v>
      </c>
      <c r="M160" s="182">
        <v>40</v>
      </c>
      <c r="N160" s="182">
        <v>105</v>
      </c>
      <c r="O160" s="182"/>
      <c r="P160" s="182">
        <v>18</v>
      </c>
      <c r="Q160" s="182">
        <v>59</v>
      </c>
      <c r="R160" s="182"/>
      <c r="S160" s="182"/>
      <c r="T160" s="182"/>
      <c r="U160" s="182"/>
      <c r="V160" s="182"/>
      <c r="W160" s="182"/>
      <c r="X160" s="182"/>
      <c r="Y160" s="182"/>
      <c r="Z160" s="182"/>
      <c r="AA160" s="182"/>
      <c r="AB160" s="183">
        <f t="shared" si="22"/>
        <v>182</v>
      </c>
      <c r="AC160" s="183"/>
      <c r="AD160" s="183">
        <v>43</v>
      </c>
      <c r="AE160" s="183"/>
      <c r="AF160" s="183">
        <v>7</v>
      </c>
      <c r="AG160" s="183">
        <v>12</v>
      </c>
      <c r="AH160" s="183">
        <v>6</v>
      </c>
      <c r="AI160" s="183"/>
      <c r="AJ160" s="183"/>
      <c r="AK160" s="183"/>
      <c r="AL160" s="183"/>
      <c r="AM160" s="183"/>
      <c r="AN160" s="183"/>
      <c r="AO160" s="183"/>
      <c r="AP160" s="183"/>
      <c r="AQ160" s="183"/>
      <c r="AR160" s="149">
        <f t="shared" si="20"/>
        <v>68000</v>
      </c>
      <c r="AS160" s="150">
        <f t="shared" si="21"/>
        <v>4</v>
      </c>
      <c r="AT160" s="150">
        <f t="shared" si="23"/>
        <v>5666.666666666667</v>
      </c>
      <c r="AU160" s="183">
        <f t="shared" si="24"/>
        <v>182</v>
      </c>
      <c r="AV160" s="183">
        <v>12</v>
      </c>
      <c r="AW160" s="135">
        <f t="shared" si="25"/>
        <v>6.5934065934065936E-2</v>
      </c>
      <c r="AX160" s="194">
        <v>23</v>
      </c>
      <c r="AY160" s="136">
        <f t="shared" si="19"/>
        <v>0.34285714285714286</v>
      </c>
      <c r="AZ160" s="195">
        <v>1.26</v>
      </c>
      <c r="BA160" s="195">
        <v>1</v>
      </c>
      <c r="BB160" s="181">
        <v>68000</v>
      </c>
      <c r="BC160" s="138">
        <v>4993160</v>
      </c>
    </row>
    <row r="161" spans="1:55" ht="21">
      <c r="A161">
        <v>7</v>
      </c>
      <c r="B161" s="121" t="s">
        <v>21</v>
      </c>
      <c r="C161" s="140" t="s">
        <v>27</v>
      </c>
      <c r="D161" s="180"/>
      <c r="E161" s="180"/>
      <c r="F161" s="180">
        <v>2</v>
      </c>
      <c r="G161" s="180"/>
      <c r="H161" s="180"/>
      <c r="I161" s="180"/>
      <c r="J161" s="180"/>
      <c r="K161" s="180"/>
      <c r="L161" s="180">
        <v>2</v>
      </c>
      <c r="M161" s="182">
        <v>20</v>
      </c>
      <c r="N161" s="182">
        <v>15</v>
      </c>
      <c r="O161" s="182"/>
      <c r="P161" s="182">
        <v>48</v>
      </c>
      <c r="Q161" s="182">
        <v>20</v>
      </c>
      <c r="R161" s="182"/>
      <c r="S161" s="182">
        <v>3</v>
      </c>
      <c r="T161" s="182"/>
      <c r="U161" s="182"/>
      <c r="V161" s="182"/>
      <c r="W161" s="182"/>
      <c r="X161" s="182"/>
      <c r="Y161" s="182"/>
      <c r="Z161" s="182"/>
      <c r="AA161" s="182"/>
      <c r="AB161" s="183">
        <f t="shared" si="22"/>
        <v>86</v>
      </c>
      <c r="AC161" s="182"/>
      <c r="AD161" s="182"/>
      <c r="AE161" s="182"/>
      <c r="AF161" s="182">
        <v>50</v>
      </c>
      <c r="AG161" s="182">
        <v>20</v>
      </c>
      <c r="AH161" s="182"/>
      <c r="AI161" s="182">
        <v>1.7</v>
      </c>
      <c r="AJ161" s="182">
        <v>0.5</v>
      </c>
      <c r="AK161" s="182"/>
      <c r="AL161" s="182"/>
      <c r="AM161" s="182"/>
      <c r="AN161" s="182"/>
      <c r="AO161" s="182"/>
      <c r="AP161" s="182"/>
      <c r="AQ161" s="182"/>
      <c r="AR161" s="149">
        <f t="shared" si="20"/>
        <v>71700</v>
      </c>
      <c r="AS161" s="150">
        <f t="shared" si="21"/>
        <v>4</v>
      </c>
      <c r="AT161" s="150">
        <f t="shared" si="23"/>
        <v>10242.857142857143</v>
      </c>
      <c r="AU161" s="183">
        <f t="shared" si="24"/>
        <v>86</v>
      </c>
      <c r="AV161" s="183">
        <v>7</v>
      </c>
      <c r="AW161" s="135">
        <f t="shared" si="25"/>
        <v>8.1395348837209308E-2</v>
      </c>
      <c r="AX161" s="194">
        <v>64</v>
      </c>
      <c r="AY161" s="136">
        <f t="shared" si="19"/>
        <v>9.8591549295774641E-2</v>
      </c>
      <c r="AZ161" s="195">
        <v>0.89</v>
      </c>
      <c r="BA161" s="195">
        <v>0.5</v>
      </c>
      <c r="BB161" s="181">
        <v>72200</v>
      </c>
      <c r="BC161" s="138">
        <v>2382198</v>
      </c>
    </row>
    <row r="162" spans="1:55" ht="21">
      <c r="A162">
        <v>7</v>
      </c>
      <c r="B162" s="121" t="s">
        <v>70</v>
      </c>
      <c r="C162" s="140" t="s">
        <v>73</v>
      </c>
      <c r="D162" s="180">
        <v>1</v>
      </c>
      <c r="E162" s="180"/>
      <c r="F162" s="180">
        <v>2</v>
      </c>
      <c r="G162" s="180"/>
      <c r="H162" s="180">
        <v>1</v>
      </c>
      <c r="I162" s="180">
        <v>1</v>
      </c>
      <c r="J162" s="180"/>
      <c r="K162" s="180"/>
      <c r="L162" s="180">
        <v>5</v>
      </c>
      <c r="M162" s="182">
        <v>27</v>
      </c>
      <c r="N162" s="182">
        <v>55</v>
      </c>
      <c r="O162" s="182">
        <v>2</v>
      </c>
      <c r="P162" s="182">
        <v>13</v>
      </c>
      <c r="Q162" s="182">
        <v>16</v>
      </c>
      <c r="R162" s="182"/>
      <c r="S162" s="182">
        <v>2</v>
      </c>
      <c r="T162" s="182"/>
      <c r="U162" s="182"/>
      <c r="V162" s="182"/>
      <c r="W162" s="182"/>
      <c r="X162" s="182"/>
      <c r="Y162" s="182"/>
      <c r="Z162" s="182"/>
      <c r="AA162" s="182">
        <v>6</v>
      </c>
      <c r="AB162" s="183">
        <f t="shared" si="22"/>
        <v>94</v>
      </c>
      <c r="AC162" s="183"/>
      <c r="AD162" s="183"/>
      <c r="AE162" s="183">
        <v>4</v>
      </c>
      <c r="AF162" s="183">
        <v>5</v>
      </c>
      <c r="AG162" s="183">
        <v>9</v>
      </c>
      <c r="AH162" s="183"/>
      <c r="AI162" s="183">
        <v>3</v>
      </c>
      <c r="AJ162" s="183">
        <v>1</v>
      </c>
      <c r="AK162" s="183"/>
      <c r="AL162" s="183">
        <v>1</v>
      </c>
      <c r="AM162" s="183"/>
      <c r="AN162" s="183"/>
      <c r="AO162" s="183"/>
      <c r="AP162" s="183"/>
      <c r="AQ162" s="183"/>
      <c r="AR162" s="149">
        <f t="shared" si="20"/>
        <v>21000</v>
      </c>
      <c r="AS162" s="150">
        <f t="shared" si="21"/>
        <v>6</v>
      </c>
      <c r="AT162" s="150">
        <f t="shared" si="23"/>
        <v>1615.3846153846155</v>
      </c>
      <c r="AU162" s="183">
        <f t="shared" si="24"/>
        <v>94</v>
      </c>
      <c r="AV162" s="183">
        <v>13</v>
      </c>
      <c r="AW162" s="135">
        <f t="shared" si="25"/>
        <v>0.13829787234042554</v>
      </c>
      <c r="AX162" s="194">
        <v>26</v>
      </c>
      <c r="AY162" s="136">
        <f t="shared" si="19"/>
        <v>0.33333333333333331</v>
      </c>
      <c r="AZ162" s="195">
        <v>1.1599999999999999</v>
      </c>
      <c r="BA162" s="195">
        <v>1</v>
      </c>
      <c r="BB162" s="181">
        <v>23000</v>
      </c>
      <c r="BC162" s="138">
        <v>8021104</v>
      </c>
    </row>
    <row r="163" spans="1:55" ht="21">
      <c r="A163">
        <v>7</v>
      </c>
      <c r="B163" s="121" t="s">
        <v>21</v>
      </c>
      <c r="C163" s="140" t="s">
        <v>30</v>
      </c>
      <c r="D163" s="180">
        <v>3</v>
      </c>
      <c r="E163" s="180"/>
      <c r="F163" s="180">
        <v>2</v>
      </c>
      <c r="G163" s="180"/>
      <c r="H163" s="180"/>
      <c r="I163" s="180"/>
      <c r="J163" s="180"/>
      <c r="K163" s="180"/>
      <c r="L163" s="180">
        <v>5</v>
      </c>
      <c r="M163" s="182">
        <v>105</v>
      </c>
      <c r="N163" s="182"/>
      <c r="O163" s="182"/>
      <c r="P163" s="182">
        <v>11</v>
      </c>
      <c r="Q163" s="182">
        <v>34</v>
      </c>
      <c r="R163" s="182"/>
      <c r="S163" s="182">
        <v>14</v>
      </c>
      <c r="T163" s="182"/>
      <c r="U163" s="182"/>
      <c r="V163" s="182"/>
      <c r="W163" s="182"/>
      <c r="X163" s="182"/>
      <c r="Y163" s="182"/>
      <c r="Z163" s="182"/>
      <c r="AA163" s="182"/>
      <c r="AB163" s="183">
        <f t="shared" si="22"/>
        <v>59</v>
      </c>
      <c r="AC163" s="200"/>
      <c r="AD163" s="182"/>
      <c r="AE163" s="182">
        <v>5</v>
      </c>
      <c r="AF163" s="182">
        <v>19</v>
      </c>
      <c r="AG163" s="182">
        <v>23</v>
      </c>
      <c r="AH163" s="182"/>
      <c r="AI163" s="182">
        <v>8</v>
      </c>
      <c r="AJ163" s="182"/>
      <c r="AK163" s="182"/>
      <c r="AL163" s="182"/>
      <c r="AM163" s="182"/>
      <c r="AN163" s="182"/>
      <c r="AO163" s="182"/>
      <c r="AP163" s="182"/>
      <c r="AQ163" s="182"/>
      <c r="AR163" s="149">
        <f t="shared" si="20"/>
        <v>55000</v>
      </c>
      <c r="AS163" s="150">
        <f t="shared" si="21"/>
        <v>4</v>
      </c>
      <c r="AT163" s="150">
        <f t="shared" si="23"/>
        <v>5500</v>
      </c>
      <c r="AU163" s="183">
        <f t="shared" si="24"/>
        <v>59</v>
      </c>
      <c r="AV163" s="183">
        <v>10</v>
      </c>
      <c r="AW163" s="135">
        <f t="shared" si="25"/>
        <v>0.16949152542372881</v>
      </c>
      <c r="AX163" s="194">
        <v>61</v>
      </c>
      <c r="AY163" s="136">
        <f t="shared" si="19"/>
        <v>0.14084507042253522</v>
      </c>
      <c r="AZ163" s="195">
        <v>0.82</v>
      </c>
      <c r="BA163" s="195">
        <v>0.5</v>
      </c>
      <c r="BB163" s="181">
        <v>55000</v>
      </c>
      <c r="BC163" s="138">
        <v>4256565</v>
      </c>
    </row>
    <row r="164" spans="1:55" ht="21">
      <c r="A164">
        <v>7</v>
      </c>
      <c r="B164" s="121" t="s">
        <v>70</v>
      </c>
      <c r="C164" s="140" t="s">
        <v>85</v>
      </c>
      <c r="D164" s="180"/>
      <c r="E164" s="180"/>
      <c r="F164" s="180">
        <v>2</v>
      </c>
      <c r="G164" s="180"/>
      <c r="H164" s="180">
        <v>1</v>
      </c>
      <c r="I164" s="180">
        <v>1</v>
      </c>
      <c r="J164" s="180">
        <v>1</v>
      </c>
      <c r="K164" s="180"/>
      <c r="L164" s="180">
        <v>5</v>
      </c>
      <c r="M164" s="182">
        <v>40</v>
      </c>
      <c r="N164" s="182">
        <v>71</v>
      </c>
      <c r="O164" s="182">
        <v>0</v>
      </c>
      <c r="P164" s="182">
        <v>16</v>
      </c>
      <c r="Q164" s="182">
        <v>95</v>
      </c>
      <c r="R164" s="182">
        <v>0</v>
      </c>
      <c r="S164" s="182">
        <v>0</v>
      </c>
      <c r="T164" s="182">
        <v>16</v>
      </c>
      <c r="U164" s="182">
        <v>0</v>
      </c>
      <c r="V164" s="182">
        <v>0</v>
      </c>
      <c r="W164" s="182">
        <v>0</v>
      </c>
      <c r="X164" s="182">
        <v>0</v>
      </c>
      <c r="Y164" s="182">
        <v>0</v>
      </c>
      <c r="Z164" s="182">
        <v>0</v>
      </c>
      <c r="AA164" s="182">
        <v>14</v>
      </c>
      <c r="AB164" s="183">
        <f t="shared" si="22"/>
        <v>212</v>
      </c>
      <c r="AC164" s="183"/>
      <c r="AD164" s="183">
        <v>21.3</v>
      </c>
      <c r="AE164" s="183"/>
      <c r="AF164" s="183">
        <v>4.8</v>
      </c>
      <c r="AG164" s="183">
        <v>28.5</v>
      </c>
      <c r="AH164" s="183"/>
      <c r="AI164" s="183"/>
      <c r="AJ164" s="183">
        <v>0.08</v>
      </c>
      <c r="AK164" s="183"/>
      <c r="AL164" s="183"/>
      <c r="AM164" s="183"/>
      <c r="AN164" s="183"/>
      <c r="AO164" s="183"/>
      <c r="AP164" s="183"/>
      <c r="AQ164" s="183"/>
      <c r="AR164" s="149">
        <f t="shared" si="20"/>
        <v>54600</v>
      </c>
      <c r="AS164" s="150">
        <f t="shared" si="21"/>
        <v>4</v>
      </c>
      <c r="AT164" s="150">
        <f t="shared" si="23"/>
        <v>3640</v>
      </c>
      <c r="AU164" s="183">
        <f t="shared" si="24"/>
        <v>212</v>
      </c>
      <c r="AV164" s="183">
        <v>15</v>
      </c>
      <c r="AW164" s="135">
        <f t="shared" si="25"/>
        <v>7.0754716981132074E-2</v>
      </c>
      <c r="AX164" s="194">
        <v>44</v>
      </c>
      <c r="AY164" s="136">
        <f t="shared" si="19"/>
        <v>0.25423728813559321</v>
      </c>
      <c r="AZ164" s="195">
        <v>1.1599999999999999</v>
      </c>
      <c r="BA164" s="195">
        <v>1</v>
      </c>
      <c r="BB164" s="181">
        <v>54680</v>
      </c>
      <c r="BC164" s="138">
        <v>9226146</v>
      </c>
    </row>
    <row r="165" spans="1:55" ht="21">
      <c r="A165">
        <v>7</v>
      </c>
      <c r="B165" s="121" t="s">
        <v>21</v>
      </c>
      <c r="C165" s="140" t="s">
        <v>45</v>
      </c>
      <c r="D165" s="180">
        <v>1</v>
      </c>
      <c r="E165" s="180">
        <v>1</v>
      </c>
      <c r="F165" s="180">
        <v>1</v>
      </c>
      <c r="G165" s="180"/>
      <c r="H165" s="180">
        <v>1</v>
      </c>
      <c r="I165" s="180"/>
      <c r="J165" s="180"/>
      <c r="K165" s="180"/>
      <c r="L165" s="180">
        <v>4</v>
      </c>
      <c r="M165" s="182">
        <v>47</v>
      </c>
      <c r="N165" s="182"/>
      <c r="O165" s="182"/>
      <c r="P165" s="182"/>
      <c r="Q165" s="182"/>
      <c r="R165" s="182"/>
      <c r="S165" s="182"/>
      <c r="T165" s="182"/>
      <c r="U165" s="182"/>
      <c r="V165" s="182"/>
      <c r="W165" s="182"/>
      <c r="X165" s="182"/>
      <c r="Y165" s="182"/>
      <c r="Z165" s="182"/>
      <c r="AA165" s="182"/>
      <c r="AB165" s="183">
        <f t="shared" si="22"/>
        <v>0</v>
      </c>
      <c r="AC165" s="182"/>
      <c r="AD165" s="182"/>
      <c r="AE165" s="182"/>
      <c r="AF165" s="182"/>
      <c r="AG165" s="182"/>
      <c r="AH165" s="182"/>
      <c r="AI165" s="182"/>
      <c r="AJ165" s="182"/>
      <c r="AK165" s="182"/>
      <c r="AL165" s="182"/>
      <c r="AM165" s="182"/>
      <c r="AN165" s="182"/>
      <c r="AO165" s="182"/>
      <c r="AP165" s="182"/>
      <c r="AQ165" s="182"/>
      <c r="AR165" s="149">
        <f t="shared" si="20"/>
        <v>0</v>
      </c>
      <c r="AS165" s="150">
        <f t="shared" si="21"/>
        <v>0</v>
      </c>
      <c r="AT165" s="150">
        <f t="shared" si="23"/>
        <v>0</v>
      </c>
      <c r="AU165" s="183">
        <f t="shared" si="24"/>
        <v>0</v>
      </c>
      <c r="AV165" s="183">
        <v>2</v>
      </c>
      <c r="AW165" s="135"/>
      <c r="AX165" s="194">
        <v>127</v>
      </c>
      <c r="AY165" s="136">
        <f t="shared" si="19"/>
        <v>1.5503875968992248E-2</v>
      </c>
      <c r="AZ165" s="195">
        <v>1.0900000000000001</v>
      </c>
      <c r="BA165" s="195">
        <v>1</v>
      </c>
      <c r="BB165" s="181">
        <v>0</v>
      </c>
      <c r="BC165" s="138">
        <v>14135482</v>
      </c>
    </row>
    <row r="166" spans="1:55" ht="21">
      <c r="A166">
        <v>7</v>
      </c>
      <c r="B166" s="121" t="s">
        <v>21</v>
      </c>
      <c r="C166" s="140" t="s">
        <v>20</v>
      </c>
      <c r="D166" s="180">
        <v>1</v>
      </c>
      <c r="E166" s="180"/>
      <c r="F166" s="180">
        <v>2</v>
      </c>
      <c r="G166" s="180"/>
      <c r="H166" s="180">
        <v>1</v>
      </c>
      <c r="I166" s="180"/>
      <c r="J166" s="180"/>
      <c r="K166" s="180"/>
      <c r="L166" s="180">
        <v>4</v>
      </c>
      <c r="M166" s="201">
        <v>97</v>
      </c>
      <c r="N166" s="201">
        <v>35</v>
      </c>
      <c r="O166" s="201"/>
      <c r="P166" s="201">
        <v>20</v>
      </c>
      <c r="Q166" s="201">
        <v>32</v>
      </c>
      <c r="R166" s="201"/>
      <c r="S166" s="201">
        <v>3</v>
      </c>
      <c r="T166" s="201"/>
      <c r="U166" s="201"/>
      <c r="V166" s="201"/>
      <c r="W166" s="201"/>
      <c r="X166" s="201"/>
      <c r="Y166" s="201"/>
      <c r="Z166" s="201"/>
      <c r="AA166" s="182">
        <v>20</v>
      </c>
      <c r="AB166" s="183">
        <f t="shared" si="22"/>
        <v>110</v>
      </c>
      <c r="AC166" s="201"/>
      <c r="AD166" s="201">
        <v>53.61</v>
      </c>
      <c r="AE166" s="201">
        <v>12</v>
      </c>
      <c r="AF166" s="201">
        <v>51.5</v>
      </c>
      <c r="AG166" s="201">
        <v>32</v>
      </c>
      <c r="AH166" s="201">
        <v>10</v>
      </c>
      <c r="AI166" s="201">
        <v>6</v>
      </c>
      <c r="AJ166" s="201">
        <v>0.96299999999999997</v>
      </c>
      <c r="AK166" s="201"/>
      <c r="AL166" s="201"/>
      <c r="AM166" s="201"/>
      <c r="AN166" s="201">
        <v>10</v>
      </c>
      <c r="AO166" s="201">
        <v>3</v>
      </c>
      <c r="AP166" s="201"/>
      <c r="AQ166" s="182"/>
      <c r="AR166" s="149">
        <f t="shared" si="20"/>
        <v>165110</v>
      </c>
      <c r="AS166" s="150">
        <f t="shared" si="21"/>
        <v>9</v>
      </c>
      <c r="AT166" s="150">
        <f t="shared" si="23"/>
        <v>5693.4482758620688</v>
      </c>
      <c r="AU166" s="183">
        <f t="shared" si="24"/>
        <v>110</v>
      </c>
      <c r="AV166" s="183">
        <v>29</v>
      </c>
      <c r="AW166" s="135">
        <f t="shared" si="25"/>
        <v>0.26363636363636361</v>
      </c>
      <c r="AX166" s="194">
        <v>328</v>
      </c>
      <c r="AY166" s="136">
        <f t="shared" si="19"/>
        <v>8.1232492997198882E-2</v>
      </c>
      <c r="AZ166" s="195">
        <v>1.59</v>
      </c>
      <c r="BA166" s="195">
        <v>1</v>
      </c>
      <c r="BB166" s="181">
        <v>179073</v>
      </c>
      <c r="BC166" s="138">
        <v>18427479</v>
      </c>
    </row>
    <row r="167" spans="1:55" ht="21">
      <c r="A167">
        <v>7</v>
      </c>
      <c r="B167" s="121" t="s">
        <v>139</v>
      </c>
      <c r="C167" s="140" t="s">
        <v>54</v>
      </c>
      <c r="D167" s="180">
        <v>1</v>
      </c>
      <c r="E167" s="180"/>
      <c r="F167" s="180"/>
      <c r="G167" s="180"/>
      <c r="H167" s="180">
        <v>1</v>
      </c>
      <c r="I167" s="180">
        <v>2</v>
      </c>
      <c r="J167" s="180"/>
      <c r="K167" s="180">
        <v>1</v>
      </c>
      <c r="L167" s="180">
        <v>5</v>
      </c>
      <c r="M167" s="182">
        <v>79</v>
      </c>
      <c r="N167" s="182">
        <v>69</v>
      </c>
      <c r="O167" s="182">
        <v>3</v>
      </c>
      <c r="P167" s="182">
        <v>0</v>
      </c>
      <c r="Q167" s="182">
        <v>82</v>
      </c>
      <c r="R167" s="182">
        <v>0</v>
      </c>
      <c r="S167" s="182">
        <v>11</v>
      </c>
      <c r="T167" s="182">
        <v>0</v>
      </c>
      <c r="U167" s="182">
        <v>0</v>
      </c>
      <c r="V167" s="182"/>
      <c r="W167" s="182">
        <v>0</v>
      </c>
      <c r="X167" s="182">
        <v>0</v>
      </c>
      <c r="Y167" s="182">
        <v>0</v>
      </c>
      <c r="Z167" s="182">
        <v>0</v>
      </c>
      <c r="AA167" s="182">
        <v>0</v>
      </c>
      <c r="AB167" s="183">
        <f t="shared" si="22"/>
        <v>165</v>
      </c>
      <c r="AC167" s="182"/>
      <c r="AD167" s="182">
        <v>62</v>
      </c>
      <c r="AE167" s="182">
        <v>4</v>
      </c>
      <c r="AF167" s="182"/>
      <c r="AG167" s="182">
        <v>20</v>
      </c>
      <c r="AH167" s="182"/>
      <c r="AI167" s="182">
        <v>9</v>
      </c>
      <c r="AJ167" s="182">
        <v>1</v>
      </c>
      <c r="AK167" s="182"/>
      <c r="AL167" s="182">
        <v>6</v>
      </c>
      <c r="AM167" s="182"/>
      <c r="AN167" s="182"/>
      <c r="AO167" s="182"/>
      <c r="AP167" s="182"/>
      <c r="AQ167" s="182"/>
      <c r="AR167" s="149">
        <f t="shared" si="20"/>
        <v>95000</v>
      </c>
      <c r="AS167" s="150">
        <f t="shared" si="21"/>
        <v>6</v>
      </c>
      <c r="AT167" s="150">
        <f t="shared" si="23"/>
        <v>5000</v>
      </c>
      <c r="AU167" s="183">
        <f t="shared" si="24"/>
        <v>165</v>
      </c>
      <c r="AV167" s="183">
        <v>19</v>
      </c>
      <c r="AW167" s="135">
        <f t="shared" si="25"/>
        <v>0.11515151515151516</v>
      </c>
      <c r="AX167" s="194">
        <v>126</v>
      </c>
      <c r="AY167" s="136">
        <f t="shared" si="19"/>
        <v>0.1310344827586207</v>
      </c>
      <c r="AZ167" s="195">
        <v>1.19</v>
      </c>
      <c r="BA167" s="195">
        <v>1</v>
      </c>
      <c r="BB167" s="181">
        <v>102000</v>
      </c>
      <c r="BC167" s="138">
        <v>41256800</v>
      </c>
    </row>
    <row r="168" spans="1:55" ht="21">
      <c r="A168">
        <v>7</v>
      </c>
      <c r="B168" s="121" t="s">
        <v>70</v>
      </c>
      <c r="C168" s="140" t="s">
        <v>86</v>
      </c>
      <c r="D168" s="180">
        <v>1</v>
      </c>
      <c r="E168" s="180">
        <v>2</v>
      </c>
      <c r="F168" s="180"/>
      <c r="G168" s="180">
        <v>1</v>
      </c>
      <c r="H168" s="180"/>
      <c r="I168" s="180">
        <v>3</v>
      </c>
      <c r="J168" s="180"/>
      <c r="K168" s="180">
        <v>1</v>
      </c>
      <c r="L168" s="180">
        <v>8</v>
      </c>
      <c r="M168" s="182">
        <v>47</v>
      </c>
      <c r="N168" s="182">
        <v>62</v>
      </c>
      <c r="O168" s="182"/>
      <c r="P168" s="182">
        <v>9</v>
      </c>
      <c r="Q168" s="182">
        <v>23</v>
      </c>
      <c r="R168" s="182"/>
      <c r="S168" s="182">
        <v>11</v>
      </c>
      <c r="T168" s="182"/>
      <c r="U168" s="182"/>
      <c r="V168" s="182"/>
      <c r="W168" s="182"/>
      <c r="X168" s="182"/>
      <c r="Y168" s="182"/>
      <c r="Z168" s="182"/>
      <c r="AA168" s="182"/>
      <c r="AB168" s="183">
        <f t="shared" si="22"/>
        <v>105</v>
      </c>
      <c r="AC168" s="183"/>
      <c r="AD168" s="183">
        <v>45</v>
      </c>
      <c r="AE168" s="183"/>
      <c r="AF168" s="183">
        <v>15</v>
      </c>
      <c r="AG168" s="183">
        <v>9</v>
      </c>
      <c r="AH168" s="183">
        <v>3</v>
      </c>
      <c r="AI168" s="183"/>
      <c r="AJ168" s="183">
        <v>3</v>
      </c>
      <c r="AK168" s="183"/>
      <c r="AL168" s="183">
        <v>15</v>
      </c>
      <c r="AM168" s="183"/>
      <c r="AN168" s="183"/>
      <c r="AO168" s="183">
        <v>7</v>
      </c>
      <c r="AP168" s="183"/>
      <c r="AQ168" s="183"/>
      <c r="AR168" s="149">
        <f t="shared" si="20"/>
        <v>72000</v>
      </c>
      <c r="AS168" s="150">
        <f t="shared" si="21"/>
        <v>7</v>
      </c>
      <c r="AT168" s="150">
        <f t="shared" si="23"/>
        <v>12000</v>
      </c>
      <c r="AU168" s="183">
        <f t="shared" si="24"/>
        <v>105</v>
      </c>
      <c r="AV168" s="183">
        <v>6</v>
      </c>
      <c r="AW168" s="135">
        <f t="shared" si="25"/>
        <v>5.7142857142857141E-2</v>
      </c>
      <c r="AX168" s="194">
        <v>64</v>
      </c>
      <c r="AY168" s="136">
        <f t="shared" si="19"/>
        <v>8.5714285714285715E-2</v>
      </c>
      <c r="AZ168" s="195">
        <v>1.26</v>
      </c>
      <c r="BA168" s="195">
        <v>1</v>
      </c>
      <c r="BB168" s="181">
        <v>97000</v>
      </c>
      <c r="BC168" s="138">
        <v>4339859</v>
      </c>
    </row>
    <row r="169" spans="1:55" ht="21">
      <c r="A169">
        <v>7</v>
      </c>
      <c r="B169" s="121" t="s">
        <v>139</v>
      </c>
      <c r="C169" s="140" t="s">
        <v>50</v>
      </c>
      <c r="D169" s="180">
        <v>1</v>
      </c>
      <c r="E169" s="180">
        <v>1</v>
      </c>
      <c r="F169" s="180"/>
      <c r="G169" s="180"/>
      <c r="H169" s="180">
        <v>1</v>
      </c>
      <c r="I169" s="180">
        <v>1</v>
      </c>
      <c r="J169" s="180"/>
      <c r="K169" s="180">
        <v>1</v>
      </c>
      <c r="L169" s="180">
        <v>5</v>
      </c>
      <c r="M169" s="182">
        <v>92</v>
      </c>
      <c r="N169" s="182">
        <v>89</v>
      </c>
      <c r="O169" s="182">
        <v>0</v>
      </c>
      <c r="P169" s="182">
        <v>17</v>
      </c>
      <c r="Q169" s="182">
        <v>23</v>
      </c>
      <c r="R169" s="182">
        <v>0</v>
      </c>
      <c r="S169" s="182">
        <v>23</v>
      </c>
      <c r="T169" s="182">
        <v>0</v>
      </c>
      <c r="U169" s="182">
        <v>0</v>
      </c>
      <c r="V169" s="182">
        <v>0</v>
      </c>
      <c r="W169" s="182">
        <v>0</v>
      </c>
      <c r="X169" s="182">
        <v>0</v>
      </c>
      <c r="Y169" s="182">
        <v>0</v>
      </c>
      <c r="Z169" s="182">
        <v>0</v>
      </c>
      <c r="AA169" s="182">
        <v>0</v>
      </c>
      <c r="AB169" s="183">
        <f t="shared" si="22"/>
        <v>152</v>
      </c>
      <c r="AC169" s="182"/>
      <c r="AD169" s="182">
        <v>16.3</v>
      </c>
      <c r="AE169" s="182"/>
      <c r="AF169" s="182">
        <v>9</v>
      </c>
      <c r="AG169" s="182">
        <v>8</v>
      </c>
      <c r="AH169" s="182"/>
      <c r="AI169" s="182">
        <v>9</v>
      </c>
      <c r="AJ169" s="182">
        <v>3</v>
      </c>
      <c r="AK169" s="182"/>
      <c r="AL169" s="182">
        <v>5</v>
      </c>
      <c r="AM169" s="182"/>
      <c r="AN169" s="182"/>
      <c r="AO169" s="182"/>
      <c r="AP169" s="182"/>
      <c r="AQ169" s="182"/>
      <c r="AR169" s="149">
        <f t="shared" si="20"/>
        <v>42300</v>
      </c>
      <c r="AS169" s="150">
        <f t="shared" si="21"/>
        <v>6</v>
      </c>
      <c r="AT169" s="150">
        <f t="shared" si="23"/>
        <v>6042.8571428571431</v>
      </c>
      <c r="AU169" s="183">
        <f t="shared" si="24"/>
        <v>152</v>
      </c>
      <c r="AV169" s="183">
        <v>7</v>
      </c>
      <c r="AW169" s="135">
        <f t="shared" si="25"/>
        <v>4.6052631578947366E-2</v>
      </c>
      <c r="AX169" s="194">
        <v>69</v>
      </c>
      <c r="AY169" s="136">
        <f t="shared" si="19"/>
        <v>9.2105263157894732E-2</v>
      </c>
      <c r="AZ169" s="195">
        <v>1.1100000000000001</v>
      </c>
      <c r="BA169" s="195">
        <v>1</v>
      </c>
      <c r="BB169" s="181">
        <v>50300</v>
      </c>
      <c r="BC169" s="138">
        <v>11947387</v>
      </c>
    </row>
    <row r="170" spans="1:55" ht="21">
      <c r="A170">
        <v>7</v>
      </c>
      <c r="B170" s="121" t="s">
        <v>70</v>
      </c>
      <c r="C170" s="140" t="s">
        <v>88</v>
      </c>
      <c r="D170" s="180">
        <v>1</v>
      </c>
      <c r="E170" s="180"/>
      <c r="F170" s="180">
        <v>1</v>
      </c>
      <c r="G170" s="180">
        <v>1</v>
      </c>
      <c r="H170" s="180">
        <v>1</v>
      </c>
      <c r="I170" s="180">
        <v>2</v>
      </c>
      <c r="J170" s="180"/>
      <c r="K170" s="180"/>
      <c r="L170" s="180">
        <v>6</v>
      </c>
      <c r="M170" s="182">
        <v>26</v>
      </c>
      <c r="N170" s="182">
        <v>0</v>
      </c>
      <c r="O170" s="182">
        <v>0</v>
      </c>
      <c r="P170" s="182">
        <v>35</v>
      </c>
      <c r="Q170" s="182">
        <v>10</v>
      </c>
      <c r="R170" s="182">
        <v>0</v>
      </c>
      <c r="S170" s="182">
        <v>40</v>
      </c>
      <c r="T170" s="182">
        <v>0</v>
      </c>
      <c r="U170" s="182">
        <v>0</v>
      </c>
      <c r="V170" s="182">
        <v>0</v>
      </c>
      <c r="W170" s="182">
        <v>0</v>
      </c>
      <c r="X170" s="182">
        <v>0</v>
      </c>
      <c r="Y170" s="182">
        <v>0</v>
      </c>
      <c r="Z170" s="182">
        <v>0</v>
      </c>
      <c r="AA170" s="182">
        <v>0</v>
      </c>
      <c r="AB170" s="183">
        <f t="shared" si="22"/>
        <v>85</v>
      </c>
      <c r="AC170" s="183"/>
      <c r="AD170" s="183"/>
      <c r="AE170" s="183">
        <v>5</v>
      </c>
      <c r="AF170" s="183">
        <v>10</v>
      </c>
      <c r="AG170" s="183">
        <v>17</v>
      </c>
      <c r="AH170" s="183"/>
      <c r="AI170" s="183">
        <v>3</v>
      </c>
      <c r="AJ170" s="183">
        <v>2</v>
      </c>
      <c r="AK170" s="183"/>
      <c r="AL170" s="183"/>
      <c r="AM170" s="183"/>
      <c r="AN170" s="183"/>
      <c r="AO170" s="183"/>
      <c r="AP170" s="183"/>
      <c r="AQ170" s="183"/>
      <c r="AR170" s="149">
        <f t="shared" si="20"/>
        <v>35000</v>
      </c>
      <c r="AS170" s="150">
        <f t="shared" si="21"/>
        <v>5</v>
      </c>
      <c r="AT170" s="150">
        <f t="shared" si="23"/>
        <v>2500</v>
      </c>
      <c r="AU170" s="183">
        <f t="shared" si="24"/>
        <v>85</v>
      </c>
      <c r="AV170" s="183">
        <v>14</v>
      </c>
      <c r="AW170" s="135">
        <f t="shared" si="25"/>
        <v>0.16470588235294117</v>
      </c>
      <c r="AX170" s="194">
        <v>40</v>
      </c>
      <c r="AY170" s="136">
        <f t="shared" si="19"/>
        <v>0.25925925925925924</v>
      </c>
      <c r="AZ170" s="195">
        <v>1.53</v>
      </c>
      <c r="BA170" s="195">
        <v>1</v>
      </c>
      <c r="BB170" s="181">
        <v>37000</v>
      </c>
      <c r="BC170" s="138">
        <v>2068120</v>
      </c>
    </row>
    <row r="171" spans="1:55" ht="21">
      <c r="A171">
        <v>7</v>
      </c>
      <c r="B171" s="121" t="s">
        <v>21</v>
      </c>
      <c r="C171" s="140" t="s">
        <v>33</v>
      </c>
      <c r="D171" s="180">
        <v>1</v>
      </c>
      <c r="E171" s="180"/>
      <c r="F171" s="180">
        <v>1</v>
      </c>
      <c r="G171" s="180"/>
      <c r="H171" s="180">
        <v>1</v>
      </c>
      <c r="I171" s="180"/>
      <c r="J171" s="180"/>
      <c r="K171" s="180"/>
      <c r="L171" s="180">
        <v>3</v>
      </c>
      <c r="M171" s="183">
        <v>35</v>
      </c>
      <c r="N171" s="183"/>
      <c r="O171" s="182"/>
      <c r="P171" s="182"/>
      <c r="Q171" s="182">
        <v>211</v>
      </c>
      <c r="R171" s="182"/>
      <c r="S171" s="182"/>
      <c r="T171" s="182"/>
      <c r="U171" s="182"/>
      <c r="V171" s="182"/>
      <c r="W171" s="182"/>
      <c r="X171" s="182"/>
      <c r="Y171" s="182"/>
      <c r="Z171" s="182"/>
      <c r="AA171" s="182"/>
      <c r="AB171" s="183">
        <f t="shared" si="22"/>
        <v>211</v>
      </c>
      <c r="AC171" s="183"/>
      <c r="AD171" s="182"/>
      <c r="AE171" s="182"/>
      <c r="AF171" s="182">
        <v>19</v>
      </c>
      <c r="AG171" s="182">
        <v>24</v>
      </c>
      <c r="AH171" s="182"/>
      <c r="AI171" s="182"/>
      <c r="AJ171" s="182"/>
      <c r="AK171" s="182"/>
      <c r="AL171" s="182"/>
      <c r="AM171" s="182"/>
      <c r="AN171" s="182"/>
      <c r="AO171" s="182"/>
      <c r="AP171" s="182"/>
      <c r="AQ171" s="183"/>
      <c r="AR171" s="149">
        <f t="shared" si="20"/>
        <v>43000</v>
      </c>
      <c r="AS171" s="150">
        <f t="shared" si="21"/>
        <v>2</v>
      </c>
      <c r="AT171" s="150">
        <f t="shared" si="23"/>
        <v>1264.7058823529412</v>
      </c>
      <c r="AU171" s="183">
        <f t="shared" si="24"/>
        <v>211</v>
      </c>
      <c r="AV171" s="183">
        <v>34</v>
      </c>
      <c r="AW171" s="135">
        <f t="shared" si="25"/>
        <v>0.16113744075829384</v>
      </c>
      <c r="AX171" s="194">
        <v>179</v>
      </c>
      <c r="AY171" s="136">
        <f t="shared" si="19"/>
        <v>0.15962441314553991</v>
      </c>
      <c r="AZ171" s="195">
        <v>1.04</v>
      </c>
      <c r="BA171" s="195">
        <v>1</v>
      </c>
      <c r="BB171" s="181">
        <v>43000</v>
      </c>
      <c r="BC171" s="138">
        <v>16999977</v>
      </c>
    </row>
    <row r="172" spans="1:55" ht="21">
      <c r="A172">
        <v>7</v>
      </c>
      <c r="B172" s="121" t="s">
        <v>21</v>
      </c>
      <c r="C172" s="140" t="s">
        <v>24</v>
      </c>
      <c r="D172" s="180">
        <v>1</v>
      </c>
      <c r="E172" s="180"/>
      <c r="F172" s="180"/>
      <c r="G172" s="180"/>
      <c r="H172" s="180"/>
      <c r="I172" s="180"/>
      <c r="J172" s="180"/>
      <c r="K172" s="180">
        <v>1</v>
      </c>
      <c r="L172" s="180">
        <v>2</v>
      </c>
      <c r="M172" s="201">
        <v>11</v>
      </c>
      <c r="N172" s="201"/>
      <c r="O172" s="201"/>
      <c r="P172" s="201">
        <v>1</v>
      </c>
      <c r="Q172" s="201">
        <v>81</v>
      </c>
      <c r="R172" s="201"/>
      <c r="S172" s="201">
        <v>3</v>
      </c>
      <c r="T172" s="201"/>
      <c r="U172" s="201"/>
      <c r="V172" s="201"/>
      <c r="W172" s="201"/>
      <c r="X172" s="201"/>
      <c r="Y172" s="201"/>
      <c r="Z172" s="201"/>
      <c r="AA172" s="182">
        <v>4</v>
      </c>
      <c r="AB172" s="183">
        <f t="shared" si="22"/>
        <v>89</v>
      </c>
      <c r="AC172" s="201"/>
      <c r="AD172" s="201"/>
      <c r="AE172" s="201"/>
      <c r="AF172" s="201"/>
      <c r="AG172" s="201">
        <v>15.135</v>
      </c>
      <c r="AH172" s="201"/>
      <c r="AI172" s="201"/>
      <c r="AJ172" s="201">
        <v>0.51200000000000001</v>
      </c>
      <c r="AK172" s="201"/>
      <c r="AL172" s="201"/>
      <c r="AM172" s="201"/>
      <c r="AN172" s="201">
        <v>4</v>
      </c>
      <c r="AO172" s="201"/>
      <c r="AP172" s="201"/>
      <c r="AQ172" s="182">
        <v>5</v>
      </c>
      <c r="AR172" s="149">
        <f t="shared" si="20"/>
        <v>20134.999999999996</v>
      </c>
      <c r="AS172" s="150">
        <f t="shared" si="21"/>
        <v>4</v>
      </c>
      <c r="AT172" s="150">
        <f t="shared" si="23"/>
        <v>5033.7499999999991</v>
      </c>
      <c r="AU172" s="183">
        <f t="shared" si="24"/>
        <v>89</v>
      </c>
      <c r="AV172" s="183">
        <v>4</v>
      </c>
      <c r="AW172" s="135">
        <f t="shared" si="25"/>
        <v>4.49438202247191E-2</v>
      </c>
      <c r="AX172" s="194">
        <v>98</v>
      </c>
      <c r="AY172" s="136">
        <f t="shared" si="19"/>
        <v>3.9215686274509803E-2</v>
      </c>
      <c r="AZ172" s="195">
        <v>1.1399999999999999</v>
      </c>
      <c r="BA172" s="195">
        <v>1</v>
      </c>
      <c r="BB172" s="181">
        <v>24647</v>
      </c>
      <c r="BC172" s="138">
        <v>4123225</v>
      </c>
    </row>
    <row r="173" spans="1:55" ht="21.6" thickBot="1">
      <c r="A173">
        <v>7</v>
      </c>
      <c r="B173" s="122" t="s">
        <v>70</v>
      </c>
      <c r="C173" s="141" t="s">
        <v>92</v>
      </c>
      <c r="D173" s="180">
        <v>1</v>
      </c>
      <c r="E173" s="180">
        <v>1</v>
      </c>
      <c r="F173" s="180">
        <v>2</v>
      </c>
      <c r="G173" s="180">
        <v>2</v>
      </c>
      <c r="H173" s="180"/>
      <c r="I173" s="180"/>
      <c r="J173" s="180"/>
      <c r="K173" s="180"/>
      <c r="L173" s="180">
        <v>6</v>
      </c>
      <c r="M173" s="182">
        <v>12</v>
      </c>
      <c r="N173" s="182">
        <v>35</v>
      </c>
      <c r="O173" s="182"/>
      <c r="P173" s="182">
        <v>35</v>
      </c>
      <c r="Q173" s="182">
        <v>14</v>
      </c>
      <c r="R173" s="182"/>
      <c r="S173" s="182">
        <v>2</v>
      </c>
      <c r="T173" s="182"/>
      <c r="U173" s="182"/>
      <c r="V173" s="182"/>
      <c r="W173" s="182"/>
      <c r="X173" s="182"/>
      <c r="Y173" s="182"/>
      <c r="Z173" s="182"/>
      <c r="AA173" s="182"/>
      <c r="AB173" s="183">
        <f t="shared" si="22"/>
        <v>86</v>
      </c>
      <c r="AC173" s="183"/>
      <c r="AD173" s="183">
        <v>42</v>
      </c>
      <c r="AE173" s="183"/>
      <c r="AF173" s="183">
        <v>3</v>
      </c>
      <c r="AG173" s="183">
        <v>4</v>
      </c>
      <c r="AH173" s="183">
        <v>2</v>
      </c>
      <c r="AI173" s="183">
        <v>2</v>
      </c>
      <c r="AJ173" s="183">
        <v>2</v>
      </c>
      <c r="AK173" s="183"/>
      <c r="AL173" s="183"/>
      <c r="AM173" s="183"/>
      <c r="AN173" s="183"/>
      <c r="AO173" s="183"/>
      <c r="AP173" s="183"/>
      <c r="AQ173" s="183"/>
      <c r="AR173" s="149">
        <f t="shared" si="20"/>
        <v>53000</v>
      </c>
      <c r="AS173" s="150">
        <f t="shared" si="21"/>
        <v>6</v>
      </c>
      <c r="AT173" s="150">
        <f t="shared" si="23"/>
        <v>17666.666666666668</v>
      </c>
      <c r="AU173" s="183">
        <f t="shared" si="24"/>
        <v>86</v>
      </c>
      <c r="AV173" s="183">
        <v>3</v>
      </c>
      <c r="AW173" s="135">
        <f t="shared" si="25"/>
        <v>3.4883720930232558E-2</v>
      </c>
      <c r="AX173" s="194">
        <v>9</v>
      </c>
      <c r="AY173" s="136">
        <f t="shared" si="19"/>
        <v>0.25</v>
      </c>
      <c r="AZ173" s="195">
        <v>1.21</v>
      </c>
      <c r="BA173" s="195">
        <v>1</v>
      </c>
      <c r="BB173" s="181">
        <v>55000</v>
      </c>
      <c r="BC173" s="138">
        <v>2751809</v>
      </c>
    </row>
    <row r="174" spans="1:55" ht="21">
      <c r="A174">
        <v>8</v>
      </c>
      <c r="B174" s="120" t="s">
        <v>70</v>
      </c>
      <c r="C174" s="139" t="s">
        <v>69</v>
      </c>
      <c r="D174" s="180">
        <v>2</v>
      </c>
      <c r="E174" s="180"/>
      <c r="F174" s="180">
        <v>1</v>
      </c>
      <c r="G174" s="180"/>
      <c r="H174" s="180">
        <v>2</v>
      </c>
      <c r="I174" s="180">
        <v>1</v>
      </c>
      <c r="J174" s="180">
        <v>1</v>
      </c>
      <c r="K174" s="180"/>
      <c r="L174" s="180">
        <v>7</v>
      </c>
      <c r="M174" s="201">
        <v>67</v>
      </c>
      <c r="N174" s="201">
        <v>68</v>
      </c>
      <c r="O174" s="201"/>
      <c r="P174" s="201">
        <v>78</v>
      </c>
      <c r="Q174" s="201">
        <v>14</v>
      </c>
      <c r="R174" s="201"/>
      <c r="S174" s="201"/>
      <c r="T174" s="201">
        <v>0</v>
      </c>
      <c r="U174" s="201"/>
      <c r="V174" s="201"/>
      <c r="W174" s="201"/>
      <c r="X174" s="201">
        <v>0</v>
      </c>
      <c r="Y174" s="201">
        <v>0</v>
      </c>
      <c r="Z174" s="201"/>
      <c r="AA174" s="182"/>
      <c r="AB174" s="183">
        <f t="shared" si="22"/>
        <v>160</v>
      </c>
      <c r="AC174" s="183"/>
      <c r="AD174" s="183">
        <v>10</v>
      </c>
      <c r="AE174" s="183"/>
      <c r="AF174" s="183">
        <v>3</v>
      </c>
      <c r="AG174" s="183">
        <v>5</v>
      </c>
      <c r="AH174" s="183"/>
      <c r="AI174" s="183"/>
      <c r="AJ174" s="183">
        <v>2</v>
      </c>
      <c r="AK174" s="183"/>
      <c r="AL174" s="183">
        <v>5</v>
      </c>
      <c r="AM174" s="183"/>
      <c r="AN174" s="183"/>
      <c r="AO174" s="183"/>
      <c r="AP174" s="183"/>
      <c r="AQ174" s="183">
        <v>1</v>
      </c>
      <c r="AR174" s="149">
        <f t="shared" si="20"/>
        <v>19000</v>
      </c>
      <c r="AS174" s="150">
        <f t="shared" si="21"/>
        <v>6</v>
      </c>
      <c r="AT174" s="150">
        <f t="shared" si="23"/>
        <v>1900</v>
      </c>
      <c r="AU174" s="183">
        <f t="shared" si="24"/>
        <v>160</v>
      </c>
      <c r="AV174" s="183">
        <v>10</v>
      </c>
      <c r="AW174" s="135">
        <f t="shared" si="25"/>
        <v>6.25E-2</v>
      </c>
      <c r="AX174" s="194">
        <v>20</v>
      </c>
      <c r="AY174" s="136">
        <f t="shared" si="19"/>
        <v>0.33333333333333331</v>
      </c>
      <c r="AZ174" s="195">
        <v>1.1000000000000001</v>
      </c>
      <c r="BA174" s="195">
        <v>1</v>
      </c>
      <c r="BB174" s="181">
        <v>26000</v>
      </c>
      <c r="BC174" s="138">
        <v>2634770</v>
      </c>
    </row>
    <row r="175" spans="1:55" ht="21">
      <c r="A175">
        <v>8</v>
      </c>
      <c r="B175" s="121" t="s">
        <v>21</v>
      </c>
      <c r="C175" s="140" t="s">
        <v>36</v>
      </c>
      <c r="D175" s="180">
        <v>2</v>
      </c>
      <c r="E175" s="180"/>
      <c r="F175" s="180">
        <v>1</v>
      </c>
      <c r="G175" s="180"/>
      <c r="H175" s="180"/>
      <c r="I175" s="180"/>
      <c r="J175" s="180"/>
      <c r="K175" s="180"/>
      <c r="L175" s="180">
        <v>3</v>
      </c>
      <c r="M175" s="201">
        <v>3</v>
      </c>
      <c r="N175" s="201">
        <v>30</v>
      </c>
      <c r="O175" s="201"/>
      <c r="P175" s="201">
        <v>5</v>
      </c>
      <c r="Q175" s="201">
        <v>113</v>
      </c>
      <c r="R175" s="201"/>
      <c r="S175" s="201"/>
      <c r="T175" s="201">
        <v>0</v>
      </c>
      <c r="U175" s="201"/>
      <c r="V175" s="201"/>
      <c r="W175" s="201"/>
      <c r="X175" s="201">
        <v>0</v>
      </c>
      <c r="Y175" s="201"/>
      <c r="Z175" s="201"/>
      <c r="AA175" s="182">
        <v>5</v>
      </c>
      <c r="AB175" s="183">
        <f t="shared" si="22"/>
        <v>153</v>
      </c>
      <c r="AC175" s="182"/>
      <c r="AD175" s="182"/>
      <c r="AE175" s="182"/>
      <c r="AF175" s="182">
        <v>18</v>
      </c>
      <c r="AG175" s="182">
        <v>48</v>
      </c>
      <c r="AH175" s="182"/>
      <c r="AI175" s="182"/>
      <c r="AJ175" s="182"/>
      <c r="AK175" s="182"/>
      <c r="AL175" s="182"/>
      <c r="AM175" s="182"/>
      <c r="AN175" s="182"/>
      <c r="AO175" s="182"/>
      <c r="AP175" s="182"/>
      <c r="AQ175" s="182"/>
      <c r="AR175" s="149">
        <f t="shared" si="20"/>
        <v>66000</v>
      </c>
      <c r="AS175" s="150">
        <f t="shared" si="21"/>
        <v>2</v>
      </c>
      <c r="AT175" s="150">
        <f t="shared" si="23"/>
        <v>22000</v>
      </c>
      <c r="AU175" s="183">
        <f t="shared" si="24"/>
        <v>153</v>
      </c>
      <c r="AV175" s="183">
        <v>3</v>
      </c>
      <c r="AW175" s="135">
        <f t="shared" si="25"/>
        <v>1.9607843137254902E-2</v>
      </c>
      <c r="AX175" s="194">
        <v>25</v>
      </c>
      <c r="AY175" s="136">
        <f t="shared" si="19"/>
        <v>0.10714285714285714</v>
      </c>
      <c r="AZ175" s="195">
        <v>0.14000000000000001</v>
      </c>
      <c r="BA175" s="195">
        <v>0</v>
      </c>
      <c r="BB175" s="181">
        <v>66000</v>
      </c>
      <c r="BC175" s="138">
        <v>0</v>
      </c>
    </row>
    <row r="176" spans="1:55" ht="21">
      <c r="A176">
        <v>8</v>
      </c>
      <c r="B176" s="121" t="s">
        <v>139</v>
      </c>
      <c r="C176" s="140" t="s">
        <v>149</v>
      </c>
      <c r="D176" s="180">
        <v>1</v>
      </c>
      <c r="E176" s="180"/>
      <c r="F176" s="180"/>
      <c r="G176" s="180"/>
      <c r="H176" s="180">
        <v>1</v>
      </c>
      <c r="I176" s="180">
        <v>1</v>
      </c>
      <c r="J176" s="180">
        <v>2</v>
      </c>
      <c r="K176" s="180"/>
      <c r="L176" s="180">
        <v>5</v>
      </c>
      <c r="M176" s="182">
        <v>26</v>
      </c>
      <c r="N176" s="182">
        <v>67</v>
      </c>
      <c r="O176" s="182"/>
      <c r="P176" s="182">
        <v>53</v>
      </c>
      <c r="Q176" s="182">
        <v>22</v>
      </c>
      <c r="R176" s="182"/>
      <c r="S176" s="182">
        <v>3</v>
      </c>
      <c r="T176" s="182"/>
      <c r="U176" s="182"/>
      <c r="V176" s="182"/>
      <c r="W176" s="182"/>
      <c r="X176" s="182"/>
      <c r="Y176" s="182"/>
      <c r="Z176" s="182"/>
      <c r="AA176" s="182"/>
      <c r="AB176" s="183">
        <f t="shared" si="22"/>
        <v>145</v>
      </c>
      <c r="AC176" s="182"/>
      <c r="AD176" s="182">
        <v>20</v>
      </c>
      <c r="AE176" s="182">
        <v>6</v>
      </c>
      <c r="AF176" s="182">
        <v>25</v>
      </c>
      <c r="AG176" s="182">
        <v>25</v>
      </c>
      <c r="AH176" s="182">
        <v>5</v>
      </c>
      <c r="AI176" s="182"/>
      <c r="AJ176" s="182">
        <v>3</v>
      </c>
      <c r="AK176" s="182"/>
      <c r="AL176" s="182">
        <v>20</v>
      </c>
      <c r="AM176" s="182"/>
      <c r="AN176" s="182"/>
      <c r="AO176" s="182"/>
      <c r="AP176" s="182"/>
      <c r="AQ176" s="182"/>
      <c r="AR176" s="149">
        <f t="shared" si="20"/>
        <v>81000</v>
      </c>
      <c r="AS176" s="150">
        <f t="shared" si="21"/>
        <v>7</v>
      </c>
      <c r="AT176" s="150">
        <f t="shared" si="23"/>
        <v>3000</v>
      </c>
      <c r="AU176" s="183">
        <f t="shared" si="24"/>
        <v>145</v>
      </c>
      <c r="AV176" s="183">
        <v>27</v>
      </c>
      <c r="AW176" s="135">
        <f t="shared" si="25"/>
        <v>0.18620689655172415</v>
      </c>
      <c r="AX176" s="194">
        <v>72</v>
      </c>
      <c r="AY176" s="136">
        <f t="shared" si="19"/>
        <v>0.27272727272727271</v>
      </c>
      <c r="AZ176" s="195">
        <v>1</v>
      </c>
      <c r="BA176" s="195">
        <v>1</v>
      </c>
      <c r="BB176" s="181">
        <v>104000</v>
      </c>
      <c r="BC176" s="138">
        <v>26127665</v>
      </c>
    </row>
    <row r="177" spans="1:55" ht="21">
      <c r="A177">
        <v>8</v>
      </c>
      <c r="B177" s="121" t="s">
        <v>70</v>
      </c>
      <c r="C177" s="140" t="s">
        <v>90</v>
      </c>
      <c r="D177" s="180">
        <v>1</v>
      </c>
      <c r="E177" s="180">
        <v>1</v>
      </c>
      <c r="F177" s="180">
        <v>1</v>
      </c>
      <c r="G177" s="180"/>
      <c r="H177" s="180">
        <v>1</v>
      </c>
      <c r="I177" s="180">
        <v>1</v>
      </c>
      <c r="J177" s="180">
        <v>1</v>
      </c>
      <c r="K177" s="180"/>
      <c r="L177" s="180">
        <v>6</v>
      </c>
      <c r="M177" s="182">
        <v>85</v>
      </c>
      <c r="N177" s="182">
        <v>50</v>
      </c>
      <c r="O177" s="182">
        <v>10</v>
      </c>
      <c r="P177" s="182">
        <v>15</v>
      </c>
      <c r="Q177" s="182">
        <v>23</v>
      </c>
      <c r="R177" s="182"/>
      <c r="S177" s="182"/>
      <c r="T177" s="182">
        <v>8</v>
      </c>
      <c r="U177" s="182"/>
      <c r="V177" s="182"/>
      <c r="W177" s="182"/>
      <c r="X177" s="182"/>
      <c r="Y177" s="182"/>
      <c r="Z177" s="182"/>
      <c r="AA177" s="182"/>
      <c r="AB177" s="183">
        <f t="shared" si="22"/>
        <v>106</v>
      </c>
      <c r="AC177" s="183"/>
      <c r="AD177" s="183">
        <v>12</v>
      </c>
      <c r="AE177" s="183"/>
      <c r="AF177" s="183">
        <v>8</v>
      </c>
      <c r="AG177" s="183">
        <v>48</v>
      </c>
      <c r="AH177" s="183"/>
      <c r="AI177" s="183"/>
      <c r="AJ177" s="183">
        <v>3</v>
      </c>
      <c r="AK177" s="183"/>
      <c r="AL177" s="183">
        <v>1</v>
      </c>
      <c r="AM177" s="183"/>
      <c r="AN177" s="183"/>
      <c r="AO177" s="183"/>
      <c r="AP177" s="183"/>
      <c r="AQ177" s="183"/>
      <c r="AR177" s="149">
        <f t="shared" si="20"/>
        <v>68000</v>
      </c>
      <c r="AS177" s="150">
        <f t="shared" si="21"/>
        <v>5</v>
      </c>
      <c r="AT177" s="150">
        <f t="shared" si="23"/>
        <v>17000</v>
      </c>
      <c r="AU177" s="183">
        <f t="shared" si="24"/>
        <v>106</v>
      </c>
      <c r="AV177" s="183">
        <v>4</v>
      </c>
      <c r="AW177" s="135">
        <f t="shared" si="25"/>
        <v>3.7735849056603772E-2</v>
      </c>
      <c r="AX177" s="194">
        <v>12</v>
      </c>
      <c r="AY177" s="136">
        <f t="shared" si="19"/>
        <v>0.25</v>
      </c>
      <c r="AZ177" s="195">
        <v>1</v>
      </c>
      <c r="BA177" s="195">
        <v>1</v>
      </c>
      <c r="BB177" s="181">
        <v>73000</v>
      </c>
      <c r="BC177" s="138">
        <v>870380</v>
      </c>
    </row>
    <row r="178" spans="1:55" ht="21">
      <c r="A178">
        <v>8</v>
      </c>
      <c r="B178" s="121" t="s">
        <v>70</v>
      </c>
      <c r="C178" s="140" t="s">
        <v>79</v>
      </c>
      <c r="D178" s="180">
        <v>1</v>
      </c>
      <c r="E178" s="180"/>
      <c r="F178" s="180">
        <v>1</v>
      </c>
      <c r="G178" s="180"/>
      <c r="H178" s="180">
        <v>2</v>
      </c>
      <c r="I178" s="180">
        <v>1</v>
      </c>
      <c r="J178" s="180"/>
      <c r="K178" s="180"/>
      <c r="L178" s="180">
        <v>5</v>
      </c>
      <c r="M178" s="183">
        <v>27</v>
      </c>
      <c r="N178" s="183"/>
      <c r="O178" s="182"/>
      <c r="P178" s="182">
        <v>35</v>
      </c>
      <c r="Q178" s="182">
        <v>170</v>
      </c>
      <c r="R178" s="182"/>
      <c r="S178" s="182"/>
      <c r="T178" s="182"/>
      <c r="U178" s="182"/>
      <c r="V178" s="182"/>
      <c r="W178" s="182"/>
      <c r="X178" s="182"/>
      <c r="Y178" s="182"/>
      <c r="Z178" s="182"/>
      <c r="AA178" s="182"/>
      <c r="AB178" s="183">
        <f t="shared" si="22"/>
        <v>205</v>
      </c>
      <c r="AC178" s="183"/>
      <c r="AD178" s="183">
        <v>30</v>
      </c>
      <c r="AE178" s="183">
        <v>5</v>
      </c>
      <c r="AF178" s="183">
        <v>6</v>
      </c>
      <c r="AG178" s="183">
        <v>10</v>
      </c>
      <c r="AH178" s="183"/>
      <c r="AI178" s="183"/>
      <c r="AJ178" s="183"/>
      <c r="AK178" s="183"/>
      <c r="AL178" s="183"/>
      <c r="AM178" s="183"/>
      <c r="AN178" s="183"/>
      <c r="AO178" s="183"/>
      <c r="AP178" s="183"/>
      <c r="AQ178" s="183"/>
      <c r="AR178" s="149">
        <f t="shared" si="20"/>
        <v>51000</v>
      </c>
      <c r="AS178" s="150">
        <f t="shared" si="21"/>
        <v>4</v>
      </c>
      <c r="AT178" s="150">
        <f t="shared" si="23"/>
        <v>4250</v>
      </c>
      <c r="AU178" s="183">
        <f t="shared" si="24"/>
        <v>205</v>
      </c>
      <c r="AV178" s="183">
        <v>12</v>
      </c>
      <c r="AW178" s="135">
        <f t="shared" si="25"/>
        <v>5.8536585365853662E-2</v>
      </c>
      <c r="AX178" s="194">
        <v>52</v>
      </c>
      <c r="AY178" s="136">
        <f t="shared" si="19"/>
        <v>0.1875</v>
      </c>
      <c r="AZ178" s="195">
        <v>1</v>
      </c>
      <c r="BA178" s="195">
        <v>1</v>
      </c>
      <c r="BB178" s="181">
        <v>51000</v>
      </c>
      <c r="BC178" s="138">
        <v>2462685</v>
      </c>
    </row>
    <row r="179" spans="1:55" ht="21">
      <c r="A179">
        <v>8</v>
      </c>
      <c r="B179" s="121" t="s">
        <v>139</v>
      </c>
      <c r="C179" s="140" t="s">
        <v>60</v>
      </c>
      <c r="D179" s="180">
        <v>1</v>
      </c>
      <c r="E179" s="180"/>
      <c r="F179" s="180">
        <v>1</v>
      </c>
      <c r="G179" s="180"/>
      <c r="H179" s="180">
        <v>1</v>
      </c>
      <c r="I179" s="180"/>
      <c r="J179" s="180"/>
      <c r="K179" s="180"/>
      <c r="L179" s="180">
        <v>3</v>
      </c>
      <c r="M179" s="204"/>
      <c r="N179" s="182">
        <v>44</v>
      </c>
      <c r="O179" s="182"/>
      <c r="P179" s="182">
        <v>13</v>
      </c>
      <c r="Q179" s="182">
        <v>39</v>
      </c>
      <c r="R179" s="182"/>
      <c r="S179" s="182"/>
      <c r="T179" s="182"/>
      <c r="U179" s="182"/>
      <c r="V179" s="182"/>
      <c r="W179" s="182"/>
      <c r="X179" s="182"/>
      <c r="Y179" s="182"/>
      <c r="Z179" s="182"/>
      <c r="AA179" s="182"/>
      <c r="AB179" s="183">
        <f>SUM(N179:AA179)</f>
        <v>96</v>
      </c>
      <c r="AC179" s="182"/>
      <c r="AD179" s="182">
        <v>38</v>
      </c>
      <c r="AE179" s="182">
        <v>12</v>
      </c>
      <c r="AF179" s="182">
        <v>10</v>
      </c>
      <c r="AG179" s="182">
        <v>20</v>
      </c>
      <c r="AH179" s="182"/>
      <c r="AI179" s="182"/>
      <c r="AJ179" s="182">
        <v>1</v>
      </c>
      <c r="AK179" s="182"/>
      <c r="AL179" s="182">
        <v>13</v>
      </c>
      <c r="AM179" s="182"/>
      <c r="AN179" s="182"/>
      <c r="AO179" s="182"/>
      <c r="AP179" s="182"/>
      <c r="AQ179" s="182">
        <v>25</v>
      </c>
      <c r="AR179" s="149">
        <f t="shared" si="20"/>
        <v>105000</v>
      </c>
      <c r="AS179" s="150">
        <f t="shared" si="21"/>
        <v>7</v>
      </c>
      <c r="AT179" s="150">
        <f t="shared" si="23"/>
        <v>3387.0967741935483</v>
      </c>
      <c r="AU179" s="183">
        <f t="shared" si="24"/>
        <v>96</v>
      </c>
      <c r="AV179" s="183">
        <v>31</v>
      </c>
      <c r="AW179" s="135">
        <f t="shared" si="25"/>
        <v>0.32291666666666669</v>
      </c>
      <c r="AX179" s="194">
        <v>127</v>
      </c>
      <c r="AY179" s="136">
        <f t="shared" si="19"/>
        <v>0.19620253164556961</v>
      </c>
      <c r="AZ179" s="195">
        <v>1</v>
      </c>
      <c r="BA179" s="195">
        <v>1</v>
      </c>
      <c r="BB179" s="181">
        <v>119000</v>
      </c>
      <c r="BC179" s="138">
        <v>38926988</v>
      </c>
    </row>
    <row r="180" spans="1:55" ht="21">
      <c r="A180">
        <v>8</v>
      </c>
      <c r="B180" s="121" t="s">
        <v>139</v>
      </c>
      <c r="C180" s="140" t="s">
        <v>57</v>
      </c>
      <c r="D180" s="180">
        <v>1</v>
      </c>
      <c r="E180" s="180"/>
      <c r="F180" s="180">
        <v>1</v>
      </c>
      <c r="G180" s="180">
        <v>1</v>
      </c>
      <c r="H180" s="180">
        <v>1</v>
      </c>
      <c r="I180" s="180"/>
      <c r="J180" s="180"/>
      <c r="K180" s="180"/>
      <c r="L180" s="180">
        <v>4</v>
      </c>
      <c r="M180" s="182">
        <v>51</v>
      </c>
      <c r="N180" s="182">
        <v>31</v>
      </c>
      <c r="O180" s="182"/>
      <c r="P180" s="182">
        <v>46</v>
      </c>
      <c r="Q180" s="182">
        <v>51</v>
      </c>
      <c r="R180" s="182"/>
      <c r="S180" s="182"/>
      <c r="T180" s="182"/>
      <c r="U180" s="182"/>
      <c r="V180" s="182"/>
      <c r="W180" s="182"/>
      <c r="X180" s="182"/>
      <c r="Y180" s="182"/>
      <c r="Z180" s="182"/>
      <c r="AA180" s="182"/>
      <c r="AB180" s="183">
        <f t="shared" si="22"/>
        <v>128</v>
      </c>
      <c r="AC180" s="182"/>
      <c r="AD180" s="182">
        <v>17</v>
      </c>
      <c r="AE180" s="182"/>
      <c r="AF180" s="182">
        <v>13</v>
      </c>
      <c r="AG180" s="182">
        <v>7</v>
      </c>
      <c r="AH180" s="182"/>
      <c r="AI180" s="182">
        <v>7</v>
      </c>
      <c r="AJ180" s="182">
        <v>0.3</v>
      </c>
      <c r="AK180" s="182"/>
      <c r="AL180" s="182"/>
      <c r="AM180" s="182"/>
      <c r="AN180" s="182"/>
      <c r="AO180" s="182"/>
      <c r="AP180" s="182"/>
      <c r="AQ180" s="182">
        <v>14</v>
      </c>
      <c r="AR180" s="149">
        <f t="shared" si="20"/>
        <v>58000</v>
      </c>
      <c r="AS180" s="150">
        <f t="shared" si="21"/>
        <v>6</v>
      </c>
      <c r="AT180" s="150">
        <f t="shared" si="23"/>
        <v>11600</v>
      </c>
      <c r="AU180" s="183">
        <f t="shared" si="24"/>
        <v>128</v>
      </c>
      <c r="AV180" s="183">
        <v>5</v>
      </c>
      <c r="AW180" s="135">
        <f t="shared" si="25"/>
        <v>3.90625E-2</v>
      </c>
      <c r="AX180" s="194">
        <v>135</v>
      </c>
      <c r="AY180" s="136">
        <f t="shared" si="19"/>
        <v>3.5714285714285712E-2</v>
      </c>
      <c r="AZ180" s="195">
        <v>1</v>
      </c>
      <c r="BA180" s="195">
        <v>1</v>
      </c>
      <c r="BB180" s="181">
        <v>58000</v>
      </c>
      <c r="BC180" s="138">
        <v>11416707</v>
      </c>
    </row>
    <row r="181" spans="1:55" ht="21">
      <c r="A181">
        <v>8</v>
      </c>
      <c r="B181" s="121" t="s">
        <v>139</v>
      </c>
      <c r="C181" s="140" t="s">
        <v>66</v>
      </c>
      <c r="D181" s="180">
        <v>2</v>
      </c>
      <c r="E181" s="180"/>
      <c r="F181" s="180">
        <v>1</v>
      </c>
      <c r="G181" s="180"/>
      <c r="H181" s="180">
        <v>1</v>
      </c>
      <c r="I181" s="180">
        <v>1</v>
      </c>
      <c r="J181" s="180"/>
      <c r="K181" s="180"/>
      <c r="L181" s="180">
        <v>5</v>
      </c>
      <c r="M181" s="182">
        <v>53</v>
      </c>
      <c r="N181" s="182">
        <v>49</v>
      </c>
      <c r="O181" s="182">
        <v>6</v>
      </c>
      <c r="P181" s="182">
        <v>67</v>
      </c>
      <c r="Q181" s="182">
        <v>84</v>
      </c>
      <c r="R181" s="182"/>
      <c r="S181" s="182"/>
      <c r="T181" s="182"/>
      <c r="U181" s="182"/>
      <c r="V181" s="182"/>
      <c r="W181" s="182"/>
      <c r="X181" s="182"/>
      <c r="Y181" s="182"/>
      <c r="Z181" s="182"/>
      <c r="AA181" s="182"/>
      <c r="AB181" s="183">
        <f t="shared" si="22"/>
        <v>206</v>
      </c>
      <c r="AC181" s="182"/>
      <c r="AD181" s="182"/>
      <c r="AE181" s="182">
        <v>17</v>
      </c>
      <c r="AF181" s="182">
        <v>15</v>
      </c>
      <c r="AG181" s="182">
        <v>13</v>
      </c>
      <c r="AH181" s="182"/>
      <c r="AI181" s="182"/>
      <c r="AJ181" s="182">
        <v>1</v>
      </c>
      <c r="AK181" s="182"/>
      <c r="AL181" s="182">
        <v>3.6</v>
      </c>
      <c r="AM181" s="182"/>
      <c r="AN181" s="182"/>
      <c r="AO181" s="182"/>
      <c r="AP181" s="182"/>
      <c r="AQ181" s="182"/>
      <c r="AR181" s="149">
        <f t="shared" si="20"/>
        <v>45000</v>
      </c>
      <c r="AS181" s="150">
        <f t="shared" si="21"/>
        <v>5</v>
      </c>
      <c r="AT181" s="150">
        <f t="shared" si="23"/>
        <v>3000</v>
      </c>
      <c r="AU181" s="183">
        <f t="shared" si="24"/>
        <v>206</v>
      </c>
      <c r="AV181" s="183">
        <v>15</v>
      </c>
      <c r="AW181" s="135">
        <f t="shared" si="25"/>
        <v>7.281553398058252E-2</v>
      </c>
      <c r="AX181" s="194">
        <v>28</v>
      </c>
      <c r="AY181" s="136">
        <f t="shared" si="19"/>
        <v>0.34883720930232559</v>
      </c>
      <c r="AZ181" s="195">
        <v>1</v>
      </c>
      <c r="BA181" s="195">
        <v>1</v>
      </c>
      <c r="BB181" s="181">
        <v>50000</v>
      </c>
      <c r="BC181" s="138">
        <v>12248761</v>
      </c>
    </row>
    <row r="182" spans="1:55" ht="21">
      <c r="A182">
        <v>8</v>
      </c>
      <c r="B182" s="121" t="s">
        <v>70</v>
      </c>
      <c r="C182" s="140" t="s">
        <v>82</v>
      </c>
      <c r="D182" s="180">
        <v>1</v>
      </c>
      <c r="E182" s="180">
        <v>1</v>
      </c>
      <c r="F182" s="180">
        <v>1</v>
      </c>
      <c r="G182" s="180"/>
      <c r="H182" s="180">
        <v>2</v>
      </c>
      <c r="I182" s="180">
        <v>1</v>
      </c>
      <c r="J182" s="180"/>
      <c r="K182" s="180"/>
      <c r="L182" s="180">
        <v>6</v>
      </c>
      <c r="M182" s="182">
        <v>61</v>
      </c>
      <c r="N182" s="182">
        <v>61</v>
      </c>
      <c r="O182" s="182">
        <v>0</v>
      </c>
      <c r="P182" s="182">
        <v>13</v>
      </c>
      <c r="Q182" s="182">
        <v>34</v>
      </c>
      <c r="R182" s="182"/>
      <c r="S182" s="182"/>
      <c r="T182" s="182">
        <v>0</v>
      </c>
      <c r="U182" s="182"/>
      <c r="V182" s="182">
        <v>0</v>
      </c>
      <c r="W182" s="182"/>
      <c r="X182" s="182"/>
      <c r="Y182" s="182"/>
      <c r="Z182" s="182"/>
      <c r="AA182" s="182"/>
      <c r="AB182" s="183">
        <f t="shared" si="22"/>
        <v>108</v>
      </c>
      <c r="AC182" s="183"/>
      <c r="AD182" s="183">
        <v>14</v>
      </c>
      <c r="AE182" s="183"/>
      <c r="AF182" s="183">
        <v>4</v>
      </c>
      <c r="AG182" s="183">
        <v>12</v>
      </c>
      <c r="AH182" s="183"/>
      <c r="AI182" s="183"/>
      <c r="AJ182" s="183">
        <v>2</v>
      </c>
      <c r="AK182" s="183"/>
      <c r="AL182" s="183">
        <v>6</v>
      </c>
      <c r="AM182" s="183"/>
      <c r="AN182" s="183"/>
      <c r="AO182" s="183"/>
      <c r="AP182" s="183"/>
      <c r="AQ182" s="183"/>
      <c r="AR182" s="149">
        <f t="shared" si="20"/>
        <v>30000</v>
      </c>
      <c r="AS182" s="150">
        <f t="shared" si="21"/>
        <v>5</v>
      </c>
      <c r="AT182" s="150">
        <f t="shared" si="23"/>
        <v>3000</v>
      </c>
      <c r="AU182" s="183">
        <f t="shared" si="24"/>
        <v>108</v>
      </c>
      <c r="AV182" s="183">
        <v>10</v>
      </c>
      <c r="AW182" s="135">
        <f t="shared" si="25"/>
        <v>9.2592592592592587E-2</v>
      </c>
      <c r="AX182" s="194">
        <v>25</v>
      </c>
      <c r="AY182" s="136">
        <f t="shared" si="19"/>
        <v>0.2857142857142857</v>
      </c>
      <c r="AZ182" s="195">
        <v>1.2</v>
      </c>
      <c r="BA182" s="195">
        <v>1</v>
      </c>
      <c r="BB182" s="181">
        <v>38000</v>
      </c>
      <c r="BC182" s="138">
        <v>1913666</v>
      </c>
    </row>
    <row r="183" spans="1:55" ht="21">
      <c r="A183">
        <v>8</v>
      </c>
      <c r="B183" s="121" t="s">
        <v>21</v>
      </c>
      <c r="C183" s="140" t="s">
        <v>48</v>
      </c>
      <c r="D183" s="180">
        <v>1</v>
      </c>
      <c r="E183" s="180">
        <v>1</v>
      </c>
      <c r="F183" s="180">
        <v>1</v>
      </c>
      <c r="G183" s="180"/>
      <c r="H183" s="180">
        <v>1</v>
      </c>
      <c r="I183" s="180"/>
      <c r="J183" s="180"/>
      <c r="K183" s="180"/>
      <c r="L183" s="180">
        <v>4</v>
      </c>
      <c r="M183" s="182">
        <v>77</v>
      </c>
      <c r="N183" s="182">
        <v>86</v>
      </c>
      <c r="O183" s="182">
        <v>16</v>
      </c>
      <c r="P183" s="182"/>
      <c r="Q183" s="182">
        <v>112</v>
      </c>
      <c r="R183" s="182"/>
      <c r="S183" s="182">
        <v>26</v>
      </c>
      <c r="T183" s="182">
        <v>0</v>
      </c>
      <c r="U183" s="182"/>
      <c r="V183" s="182">
        <v>3</v>
      </c>
      <c r="W183" s="182"/>
      <c r="X183" s="182">
        <v>0</v>
      </c>
      <c r="Y183" s="182">
        <v>0</v>
      </c>
      <c r="Z183" s="182">
        <v>0</v>
      </c>
      <c r="AA183" s="182"/>
      <c r="AB183" s="183">
        <f t="shared" si="22"/>
        <v>243</v>
      </c>
      <c r="AC183" s="182"/>
      <c r="AD183" s="182">
        <v>4</v>
      </c>
      <c r="AE183" s="182">
        <v>5</v>
      </c>
      <c r="AF183" s="182">
        <v>20</v>
      </c>
      <c r="AG183" s="182">
        <v>30</v>
      </c>
      <c r="AH183" s="182"/>
      <c r="AI183" s="182"/>
      <c r="AJ183" s="182">
        <v>1</v>
      </c>
      <c r="AK183" s="182"/>
      <c r="AL183" s="182"/>
      <c r="AM183" s="182"/>
      <c r="AN183" s="182"/>
      <c r="AO183" s="182"/>
      <c r="AP183" s="182"/>
      <c r="AQ183" s="182"/>
      <c r="AR183" s="149">
        <f t="shared" si="20"/>
        <v>59000</v>
      </c>
      <c r="AS183" s="150">
        <f t="shared" si="21"/>
        <v>5</v>
      </c>
      <c r="AT183" s="150">
        <f t="shared" si="23"/>
        <v>3470.5882352941176</v>
      </c>
      <c r="AU183" s="183">
        <f t="shared" si="24"/>
        <v>243</v>
      </c>
      <c r="AV183" s="183">
        <v>17</v>
      </c>
      <c r="AW183" s="135">
        <f t="shared" si="25"/>
        <v>6.9958847736625515E-2</v>
      </c>
      <c r="AX183" s="194">
        <v>112</v>
      </c>
      <c r="AY183" s="136">
        <f t="shared" si="19"/>
        <v>0.13178294573643412</v>
      </c>
      <c r="AZ183" s="195">
        <v>0.86</v>
      </c>
      <c r="BA183" s="195">
        <v>0.5</v>
      </c>
      <c r="BB183" s="181">
        <v>60000</v>
      </c>
      <c r="BC183" s="138">
        <v>3765817</v>
      </c>
    </row>
    <row r="184" spans="1:55" ht="21">
      <c r="A184">
        <v>8</v>
      </c>
      <c r="B184" s="121" t="s">
        <v>70</v>
      </c>
      <c r="C184" s="140" t="s">
        <v>76</v>
      </c>
      <c r="D184" s="180">
        <v>1</v>
      </c>
      <c r="E184" s="180"/>
      <c r="F184" s="180">
        <v>1</v>
      </c>
      <c r="G184" s="180"/>
      <c r="H184" s="180">
        <v>4</v>
      </c>
      <c r="I184" s="180">
        <v>2</v>
      </c>
      <c r="J184" s="180"/>
      <c r="K184" s="180"/>
      <c r="L184" s="180">
        <v>8</v>
      </c>
      <c r="M184" s="182"/>
      <c r="N184" s="182">
        <v>0</v>
      </c>
      <c r="O184" s="182"/>
      <c r="P184" s="182">
        <v>13</v>
      </c>
      <c r="Q184" s="182">
        <v>27</v>
      </c>
      <c r="R184" s="182"/>
      <c r="S184" s="182">
        <v>7</v>
      </c>
      <c r="T184" s="182">
        <v>0</v>
      </c>
      <c r="U184" s="182"/>
      <c r="V184" s="182"/>
      <c r="W184" s="182"/>
      <c r="X184" s="182"/>
      <c r="Y184" s="182"/>
      <c r="Z184" s="182"/>
      <c r="AA184" s="182">
        <v>0</v>
      </c>
      <c r="AB184" s="183">
        <f t="shared" si="22"/>
        <v>47</v>
      </c>
      <c r="AC184" s="183"/>
      <c r="AD184" s="183">
        <v>28</v>
      </c>
      <c r="AE184" s="183"/>
      <c r="AF184" s="183">
        <v>10</v>
      </c>
      <c r="AG184" s="183">
        <v>17</v>
      </c>
      <c r="AH184" s="183"/>
      <c r="AI184" s="183"/>
      <c r="AJ184" s="183"/>
      <c r="AK184" s="183"/>
      <c r="AL184" s="183"/>
      <c r="AM184" s="183"/>
      <c r="AN184" s="183"/>
      <c r="AO184" s="183"/>
      <c r="AP184" s="183"/>
      <c r="AQ184" s="183"/>
      <c r="AR184" s="149">
        <f t="shared" si="20"/>
        <v>55000</v>
      </c>
      <c r="AS184" s="150">
        <f t="shared" si="21"/>
        <v>3</v>
      </c>
      <c r="AT184" s="150">
        <f t="shared" si="23"/>
        <v>3437.5</v>
      </c>
      <c r="AU184" s="183">
        <f t="shared" si="24"/>
        <v>47</v>
      </c>
      <c r="AV184" s="183">
        <v>16</v>
      </c>
      <c r="AW184" s="135">
        <f t="shared" si="25"/>
        <v>0.34042553191489361</v>
      </c>
      <c r="AX184" s="194">
        <v>16</v>
      </c>
      <c r="AY184" s="136">
        <f t="shared" si="19"/>
        <v>0.5</v>
      </c>
      <c r="AZ184" s="195">
        <v>1.25</v>
      </c>
      <c r="BA184" s="195">
        <v>1</v>
      </c>
      <c r="BB184" s="181">
        <v>55000</v>
      </c>
      <c r="BC184" s="138">
        <v>4734955</v>
      </c>
    </row>
    <row r="185" spans="1:55" ht="21">
      <c r="A185">
        <v>8</v>
      </c>
      <c r="B185" s="121" t="s">
        <v>21</v>
      </c>
      <c r="C185" s="140" t="s">
        <v>27</v>
      </c>
      <c r="D185" s="180"/>
      <c r="E185" s="180"/>
      <c r="F185" s="180">
        <v>2</v>
      </c>
      <c r="G185" s="180"/>
      <c r="H185" s="180">
        <v>1</v>
      </c>
      <c r="I185" s="180"/>
      <c r="J185" s="180"/>
      <c r="K185" s="180"/>
      <c r="L185" s="180">
        <v>3</v>
      </c>
      <c r="M185" s="182">
        <v>105</v>
      </c>
      <c r="N185" s="182">
        <v>179</v>
      </c>
      <c r="O185" s="182">
        <v>5</v>
      </c>
      <c r="P185" s="182">
        <v>24</v>
      </c>
      <c r="Q185" s="182">
        <v>31</v>
      </c>
      <c r="R185" s="182"/>
      <c r="S185" s="182"/>
      <c r="T185" s="182">
        <v>3</v>
      </c>
      <c r="U185" s="182"/>
      <c r="V185" s="182">
        <v>4</v>
      </c>
      <c r="W185" s="182"/>
      <c r="X185" s="182"/>
      <c r="Y185" s="182"/>
      <c r="Z185" s="182"/>
      <c r="AA185" s="182">
        <v>1</v>
      </c>
      <c r="AB185" s="183">
        <f t="shared" si="22"/>
        <v>247</v>
      </c>
      <c r="AC185" s="182"/>
      <c r="AD185" s="182">
        <v>20</v>
      </c>
      <c r="AE185" s="182"/>
      <c r="AF185" s="182">
        <v>25</v>
      </c>
      <c r="AG185" s="182">
        <v>15</v>
      </c>
      <c r="AH185" s="182"/>
      <c r="AI185" s="182">
        <v>1.7</v>
      </c>
      <c r="AJ185" s="182">
        <v>0.5</v>
      </c>
      <c r="AK185" s="182"/>
      <c r="AL185" s="182"/>
      <c r="AM185" s="182"/>
      <c r="AN185" s="182"/>
      <c r="AO185" s="182"/>
      <c r="AP185" s="182"/>
      <c r="AQ185" s="182"/>
      <c r="AR185" s="149">
        <f t="shared" si="20"/>
        <v>61700</v>
      </c>
      <c r="AS185" s="150">
        <f t="shared" si="21"/>
        <v>5</v>
      </c>
      <c r="AT185" s="150">
        <f t="shared" si="23"/>
        <v>4113.333333333333</v>
      </c>
      <c r="AU185" s="183">
        <f t="shared" si="24"/>
        <v>247</v>
      </c>
      <c r="AV185" s="183">
        <v>15</v>
      </c>
      <c r="AW185" s="135">
        <f t="shared" si="25"/>
        <v>6.0728744939271252E-2</v>
      </c>
      <c r="AX185" s="194">
        <v>133</v>
      </c>
      <c r="AY185" s="136">
        <f t="shared" si="19"/>
        <v>0.10135135135135136</v>
      </c>
      <c r="AZ185" s="195">
        <v>0.63</v>
      </c>
      <c r="BA185" s="195">
        <v>0</v>
      </c>
      <c r="BB185" s="181">
        <v>62000</v>
      </c>
      <c r="BC185" s="138">
        <v>0</v>
      </c>
    </row>
    <row r="186" spans="1:55" ht="21">
      <c r="A186">
        <v>8</v>
      </c>
      <c r="B186" s="121" t="s">
        <v>70</v>
      </c>
      <c r="C186" s="140" t="s">
        <v>73</v>
      </c>
      <c r="D186" s="180">
        <v>1</v>
      </c>
      <c r="E186" s="180">
        <v>1</v>
      </c>
      <c r="F186" s="180">
        <v>1</v>
      </c>
      <c r="G186" s="180">
        <v>1</v>
      </c>
      <c r="H186" s="180">
        <v>1</v>
      </c>
      <c r="I186" s="180">
        <v>1</v>
      </c>
      <c r="J186" s="180"/>
      <c r="K186" s="180"/>
      <c r="L186" s="180">
        <v>6</v>
      </c>
      <c r="M186" s="182">
        <v>66</v>
      </c>
      <c r="N186" s="182">
        <v>60</v>
      </c>
      <c r="O186" s="182">
        <v>0</v>
      </c>
      <c r="P186" s="182">
        <v>122</v>
      </c>
      <c r="Q186" s="182">
        <v>126</v>
      </c>
      <c r="R186" s="182">
        <v>0</v>
      </c>
      <c r="S186" s="182">
        <v>2</v>
      </c>
      <c r="T186" s="182">
        <v>0</v>
      </c>
      <c r="U186" s="182"/>
      <c r="V186" s="182">
        <v>0</v>
      </c>
      <c r="W186" s="182"/>
      <c r="X186" s="182"/>
      <c r="Y186" s="182"/>
      <c r="Z186" s="182"/>
      <c r="AA186" s="182"/>
      <c r="AB186" s="183">
        <f t="shared" si="22"/>
        <v>310</v>
      </c>
      <c r="AC186" s="183"/>
      <c r="AD186" s="183">
        <v>17</v>
      </c>
      <c r="AE186" s="183">
        <v>4</v>
      </c>
      <c r="AF186" s="183">
        <v>6</v>
      </c>
      <c r="AG186" s="183">
        <v>10</v>
      </c>
      <c r="AH186" s="183"/>
      <c r="AI186" s="183"/>
      <c r="AJ186" s="183"/>
      <c r="AK186" s="183"/>
      <c r="AL186" s="183"/>
      <c r="AM186" s="183"/>
      <c r="AN186" s="183"/>
      <c r="AO186" s="183"/>
      <c r="AP186" s="183"/>
      <c r="AQ186" s="183"/>
      <c r="AR186" s="149">
        <f t="shared" si="20"/>
        <v>37000</v>
      </c>
      <c r="AS186" s="150">
        <f t="shared" si="21"/>
        <v>4</v>
      </c>
      <c r="AT186" s="150">
        <f t="shared" si="23"/>
        <v>2312.5</v>
      </c>
      <c r="AU186" s="183">
        <f t="shared" si="24"/>
        <v>310</v>
      </c>
      <c r="AV186" s="183">
        <v>16</v>
      </c>
      <c r="AW186" s="135">
        <f t="shared" si="25"/>
        <v>5.1612903225806452E-2</v>
      </c>
      <c r="AX186" s="194">
        <v>35</v>
      </c>
      <c r="AY186" s="136">
        <f t="shared" si="19"/>
        <v>0.31372549019607843</v>
      </c>
      <c r="AZ186" s="195">
        <v>1.1499999999999999</v>
      </c>
      <c r="BA186" s="195">
        <v>1</v>
      </c>
      <c r="BB186" s="181">
        <v>37000</v>
      </c>
      <c r="BC186" s="138">
        <v>5988767</v>
      </c>
    </row>
    <row r="187" spans="1:55" ht="21">
      <c r="A187">
        <v>8</v>
      </c>
      <c r="B187" s="121" t="s">
        <v>21</v>
      </c>
      <c r="C187" s="140" t="s">
        <v>30</v>
      </c>
      <c r="D187" s="180">
        <v>2</v>
      </c>
      <c r="E187" s="180"/>
      <c r="F187" s="180">
        <v>1</v>
      </c>
      <c r="G187" s="180"/>
      <c r="H187" s="180">
        <v>1</v>
      </c>
      <c r="I187" s="180"/>
      <c r="J187" s="180"/>
      <c r="K187" s="180"/>
      <c r="L187" s="180">
        <v>4</v>
      </c>
      <c r="M187" s="182">
        <v>18</v>
      </c>
      <c r="N187" s="182">
        <v>25</v>
      </c>
      <c r="O187" s="182">
        <v>17</v>
      </c>
      <c r="P187" s="182">
        <v>23</v>
      </c>
      <c r="Q187" s="182">
        <v>40</v>
      </c>
      <c r="R187" s="182"/>
      <c r="S187" s="182"/>
      <c r="T187" s="182">
        <v>0</v>
      </c>
      <c r="U187" s="182"/>
      <c r="V187" s="182">
        <v>0</v>
      </c>
      <c r="W187" s="182"/>
      <c r="X187" s="182"/>
      <c r="Y187" s="182"/>
      <c r="Z187" s="182"/>
      <c r="AA187" s="182"/>
      <c r="AB187" s="183">
        <f t="shared" si="22"/>
        <v>105</v>
      </c>
      <c r="AC187" s="200"/>
      <c r="AD187" s="182">
        <v>9.1</v>
      </c>
      <c r="AE187" s="182">
        <v>15</v>
      </c>
      <c r="AF187" s="182">
        <v>19</v>
      </c>
      <c r="AG187" s="182">
        <v>23</v>
      </c>
      <c r="AH187" s="182"/>
      <c r="AI187" s="182"/>
      <c r="AJ187" s="182">
        <v>0.4</v>
      </c>
      <c r="AK187" s="182"/>
      <c r="AL187" s="182"/>
      <c r="AM187" s="182"/>
      <c r="AN187" s="182"/>
      <c r="AO187" s="182"/>
      <c r="AP187" s="182"/>
      <c r="AQ187" s="182"/>
      <c r="AR187" s="149">
        <f t="shared" si="20"/>
        <v>66100</v>
      </c>
      <c r="AS187" s="150">
        <f t="shared" si="21"/>
        <v>5</v>
      </c>
      <c r="AT187" s="150">
        <f t="shared" si="23"/>
        <v>4721.4285714285716</v>
      </c>
      <c r="AU187" s="183">
        <f t="shared" si="24"/>
        <v>105</v>
      </c>
      <c r="AV187" s="183">
        <v>14</v>
      </c>
      <c r="AW187" s="135">
        <f t="shared" si="25"/>
        <v>0.13333333333333333</v>
      </c>
      <c r="AX187" s="194">
        <v>69</v>
      </c>
      <c r="AY187" s="136">
        <f t="shared" si="19"/>
        <v>0.16867469879518071</v>
      </c>
      <c r="AZ187" s="195">
        <v>1</v>
      </c>
      <c r="BA187" s="195">
        <v>1</v>
      </c>
      <c r="BB187" s="181">
        <v>67000</v>
      </c>
      <c r="BC187" s="138">
        <v>8898578</v>
      </c>
    </row>
    <row r="188" spans="1:55" ht="21">
      <c r="A188">
        <v>8</v>
      </c>
      <c r="B188" s="121" t="s">
        <v>70</v>
      </c>
      <c r="C188" s="140" t="s">
        <v>85</v>
      </c>
      <c r="D188" s="180">
        <v>1</v>
      </c>
      <c r="E188" s="180"/>
      <c r="F188" s="180">
        <v>2</v>
      </c>
      <c r="G188" s="180"/>
      <c r="H188" s="180">
        <v>1</v>
      </c>
      <c r="I188" s="180">
        <v>1</v>
      </c>
      <c r="J188" s="180"/>
      <c r="K188" s="180"/>
      <c r="L188" s="180">
        <v>5</v>
      </c>
      <c r="M188" s="182">
        <v>30</v>
      </c>
      <c r="N188" s="182">
        <v>49</v>
      </c>
      <c r="O188" s="182"/>
      <c r="P188" s="182">
        <v>6</v>
      </c>
      <c r="Q188" s="182">
        <v>84</v>
      </c>
      <c r="R188" s="182"/>
      <c r="S188" s="182"/>
      <c r="T188" s="182"/>
      <c r="U188" s="182"/>
      <c r="V188" s="182"/>
      <c r="W188" s="182"/>
      <c r="X188" s="182"/>
      <c r="Y188" s="182"/>
      <c r="Z188" s="182"/>
      <c r="AA188" s="182"/>
      <c r="AB188" s="183">
        <f t="shared" si="22"/>
        <v>139</v>
      </c>
      <c r="AC188" s="183"/>
      <c r="AD188" s="183"/>
      <c r="AE188" s="183"/>
      <c r="AF188" s="183">
        <v>9</v>
      </c>
      <c r="AG188" s="183">
        <v>15.9</v>
      </c>
      <c r="AH188" s="183"/>
      <c r="AI188" s="183"/>
      <c r="AJ188" s="183"/>
      <c r="AK188" s="183"/>
      <c r="AL188" s="183"/>
      <c r="AM188" s="183"/>
      <c r="AN188" s="183"/>
      <c r="AO188" s="183"/>
      <c r="AP188" s="183"/>
      <c r="AQ188" s="183"/>
      <c r="AR188" s="149">
        <f t="shared" si="20"/>
        <v>24900</v>
      </c>
      <c r="AS188" s="150">
        <f t="shared" si="21"/>
        <v>2</v>
      </c>
      <c r="AT188" s="150">
        <f t="shared" si="23"/>
        <v>1660</v>
      </c>
      <c r="AU188" s="183">
        <f t="shared" si="24"/>
        <v>139</v>
      </c>
      <c r="AV188" s="183">
        <v>15</v>
      </c>
      <c r="AW188" s="135">
        <f t="shared" si="25"/>
        <v>0.1079136690647482</v>
      </c>
      <c r="AX188" s="194">
        <v>65</v>
      </c>
      <c r="AY188" s="136">
        <f t="shared" si="19"/>
        <v>0.1875</v>
      </c>
      <c r="AZ188" s="195">
        <v>1</v>
      </c>
      <c r="BA188" s="195">
        <v>1</v>
      </c>
      <c r="BB188" s="181">
        <v>25000</v>
      </c>
      <c r="BC188" s="138">
        <v>7055284</v>
      </c>
    </row>
    <row r="189" spans="1:55" ht="21">
      <c r="A189">
        <v>8</v>
      </c>
      <c r="B189" s="121" t="s">
        <v>21</v>
      </c>
      <c r="C189" s="140" t="s">
        <v>45</v>
      </c>
      <c r="D189" s="180">
        <v>1</v>
      </c>
      <c r="E189" s="180">
        <v>1</v>
      </c>
      <c r="F189" s="180">
        <v>2</v>
      </c>
      <c r="G189" s="180"/>
      <c r="H189" s="180"/>
      <c r="I189" s="180"/>
      <c r="J189" s="180"/>
      <c r="K189" s="180"/>
      <c r="L189" s="180">
        <v>4</v>
      </c>
      <c r="M189" s="182">
        <v>20</v>
      </c>
      <c r="N189" s="182">
        <v>29</v>
      </c>
      <c r="O189" s="182"/>
      <c r="P189" s="182">
        <v>10</v>
      </c>
      <c r="Q189" s="182">
        <v>20</v>
      </c>
      <c r="R189" s="182"/>
      <c r="S189" s="182"/>
      <c r="T189" s="182"/>
      <c r="U189" s="182"/>
      <c r="V189" s="182"/>
      <c r="W189" s="182"/>
      <c r="X189" s="182"/>
      <c r="Y189" s="182"/>
      <c r="Z189" s="182"/>
      <c r="AA189" s="182"/>
      <c r="AB189" s="183">
        <f t="shared" si="22"/>
        <v>59</v>
      </c>
      <c r="AC189" s="182"/>
      <c r="AD189" s="182">
        <v>10</v>
      </c>
      <c r="AE189" s="182"/>
      <c r="AF189" s="182">
        <v>20</v>
      </c>
      <c r="AG189" s="182">
        <v>50</v>
      </c>
      <c r="AH189" s="182"/>
      <c r="AI189" s="182"/>
      <c r="AJ189" s="182">
        <v>5</v>
      </c>
      <c r="AK189" s="182"/>
      <c r="AL189" s="182"/>
      <c r="AM189" s="182"/>
      <c r="AN189" s="182"/>
      <c r="AO189" s="182"/>
      <c r="AP189" s="182"/>
      <c r="AQ189" s="182"/>
      <c r="AR189" s="149">
        <f t="shared" si="20"/>
        <v>80000</v>
      </c>
      <c r="AS189" s="150">
        <f t="shared" si="21"/>
        <v>4</v>
      </c>
      <c r="AT189" s="150">
        <f t="shared" si="23"/>
        <v>26666.666666666668</v>
      </c>
      <c r="AU189" s="183">
        <f t="shared" si="24"/>
        <v>59</v>
      </c>
      <c r="AV189" s="183">
        <v>3</v>
      </c>
      <c r="AW189" s="135">
        <f t="shared" si="25"/>
        <v>5.0847457627118647E-2</v>
      </c>
      <c r="AX189" s="194">
        <v>176</v>
      </c>
      <c r="AY189" s="136">
        <f t="shared" si="19"/>
        <v>1.6759776536312849E-2</v>
      </c>
      <c r="AZ189" s="195">
        <v>0.86</v>
      </c>
      <c r="BA189" s="195">
        <v>0.5</v>
      </c>
      <c r="BB189" s="181">
        <v>85000</v>
      </c>
      <c r="BC189" s="138">
        <v>2724105</v>
      </c>
    </row>
    <row r="190" spans="1:55" ht="21">
      <c r="A190">
        <v>8</v>
      </c>
      <c r="B190" s="121" t="s">
        <v>21</v>
      </c>
      <c r="C190" s="140" t="s">
        <v>20</v>
      </c>
      <c r="D190" s="180">
        <v>1</v>
      </c>
      <c r="E190" s="180">
        <v>1</v>
      </c>
      <c r="F190" s="180">
        <v>1</v>
      </c>
      <c r="G190" s="180"/>
      <c r="H190" s="180">
        <v>1</v>
      </c>
      <c r="I190" s="180">
        <v>1</v>
      </c>
      <c r="J190" s="180"/>
      <c r="K190" s="180"/>
      <c r="L190" s="180">
        <v>5</v>
      </c>
      <c r="M190" s="182">
        <v>38</v>
      </c>
      <c r="N190" s="182">
        <v>57</v>
      </c>
      <c r="O190" s="182"/>
      <c r="P190" s="182">
        <v>26</v>
      </c>
      <c r="Q190" s="182">
        <v>75</v>
      </c>
      <c r="R190" s="182"/>
      <c r="S190" s="182"/>
      <c r="T190" s="182"/>
      <c r="U190" s="182"/>
      <c r="V190" s="182"/>
      <c r="W190" s="182"/>
      <c r="X190" s="182"/>
      <c r="Y190" s="182"/>
      <c r="Z190" s="182"/>
      <c r="AA190" s="182"/>
      <c r="AB190" s="183">
        <f t="shared" si="22"/>
        <v>158</v>
      </c>
      <c r="AC190" s="182"/>
      <c r="AD190" s="182">
        <v>166.3</v>
      </c>
      <c r="AE190" s="182">
        <v>12</v>
      </c>
      <c r="AF190" s="182">
        <v>40</v>
      </c>
      <c r="AG190" s="182">
        <v>24</v>
      </c>
      <c r="AH190" s="182"/>
      <c r="AI190" s="182"/>
      <c r="AJ190" s="182">
        <v>0.375</v>
      </c>
      <c r="AK190" s="182"/>
      <c r="AL190" s="182"/>
      <c r="AM190" s="182"/>
      <c r="AN190" s="182">
        <v>5</v>
      </c>
      <c r="AO190" s="182">
        <v>28.9</v>
      </c>
      <c r="AP190" s="182"/>
      <c r="AQ190" s="182"/>
      <c r="AR190" s="149">
        <f t="shared" si="20"/>
        <v>242300</v>
      </c>
      <c r="AS190" s="150">
        <f t="shared" si="21"/>
        <v>7</v>
      </c>
      <c r="AT190" s="150">
        <f t="shared" si="23"/>
        <v>8076.666666666667</v>
      </c>
      <c r="AU190" s="183">
        <f t="shared" si="24"/>
        <v>158</v>
      </c>
      <c r="AV190" s="183">
        <v>30</v>
      </c>
      <c r="AW190" s="135">
        <f t="shared" si="25"/>
        <v>0.189873417721519</v>
      </c>
      <c r="AX190" s="194">
        <v>243</v>
      </c>
      <c r="AY190" s="136">
        <f t="shared" si="19"/>
        <v>0.10989010989010989</v>
      </c>
      <c r="AZ190" s="195">
        <v>1.42</v>
      </c>
      <c r="BA190" s="195">
        <v>1</v>
      </c>
      <c r="BB190" s="181">
        <v>277000</v>
      </c>
      <c r="BC190" s="138">
        <v>16515545</v>
      </c>
    </row>
    <row r="191" spans="1:55" ht="21">
      <c r="A191">
        <v>8</v>
      </c>
      <c r="B191" s="121" t="s">
        <v>139</v>
      </c>
      <c r="C191" s="140" t="s">
        <v>54</v>
      </c>
      <c r="D191" s="180">
        <v>1</v>
      </c>
      <c r="E191" s="180">
        <v>1</v>
      </c>
      <c r="F191" s="180">
        <v>2</v>
      </c>
      <c r="G191" s="180"/>
      <c r="H191" s="180"/>
      <c r="I191" s="180">
        <v>1</v>
      </c>
      <c r="J191" s="180"/>
      <c r="K191" s="180"/>
      <c r="L191" s="180">
        <v>5</v>
      </c>
      <c r="M191" s="182">
        <v>24</v>
      </c>
      <c r="N191" s="182">
        <v>54</v>
      </c>
      <c r="O191" s="182"/>
      <c r="P191" s="182">
        <v>10</v>
      </c>
      <c r="Q191" s="182">
        <v>78</v>
      </c>
      <c r="R191" s="182"/>
      <c r="S191" s="182"/>
      <c r="T191" s="182"/>
      <c r="U191" s="182"/>
      <c r="V191" s="182"/>
      <c r="W191" s="182"/>
      <c r="X191" s="182"/>
      <c r="Y191" s="182"/>
      <c r="Z191" s="182"/>
      <c r="AA191" s="182"/>
      <c r="AB191" s="183">
        <f t="shared" si="22"/>
        <v>142</v>
      </c>
      <c r="AC191" s="182"/>
      <c r="AD191" s="182">
        <v>59</v>
      </c>
      <c r="AE191" s="182">
        <v>8</v>
      </c>
      <c r="AF191" s="182"/>
      <c r="AG191" s="182">
        <v>24</v>
      </c>
      <c r="AH191" s="182"/>
      <c r="AI191" s="182">
        <v>11</v>
      </c>
      <c r="AJ191" s="182">
        <v>1</v>
      </c>
      <c r="AK191" s="182"/>
      <c r="AL191" s="182">
        <v>6</v>
      </c>
      <c r="AM191" s="182"/>
      <c r="AN191" s="182"/>
      <c r="AO191" s="182"/>
      <c r="AP191" s="182"/>
      <c r="AQ191" s="182"/>
      <c r="AR191" s="149">
        <f t="shared" si="20"/>
        <v>102000</v>
      </c>
      <c r="AS191" s="150">
        <f t="shared" si="21"/>
        <v>6</v>
      </c>
      <c r="AT191" s="150">
        <f t="shared" si="23"/>
        <v>4636.363636363636</v>
      </c>
      <c r="AU191" s="183">
        <f t="shared" si="24"/>
        <v>142</v>
      </c>
      <c r="AV191" s="183">
        <v>22</v>
      </c>
      <c r="AW191" s="135">
        <f t="shared" si="25"/>
        <v>0.15492957746478872</v>
      </c>
      <c r="AX191" s="194">
        <v>154</v>
      </c>
      <c r="AY191" s="136">
        <f t="shared" si="19"/>
        <v>0.125</v>
      </c>
      <c r="AZ191" s="195">
        <v>1</v>
      </c>
      <c r="BA191" s="195">
        <v>1</v>
      </c>
      <c r="BB191" s="181">
        <v>109000</v>
      </c>
      <c r="BC191" s="138">
        <v>29016020</v>
      </c>
    </row>
    <row r="192" spans="1:55" ht="21">
      <c r="A192">
        <v>8</v>
      </c>
      <c r="B192" s="121" t="s">
        <v>70</v>
      </c>
      <c r="C192" s="140" t="s">
        <v>86</v>
      </c>
      <c r="D192" s="180">
        <v>1</v>
      </c>
      <c r="E192" s="180"/>
      <c r="F192" s="180">
        <v>2</v>
      </c>
      <c r="G192" s="180"/>
      <c r="H192" s="180"/>
      <c r="I192" s="180">
        <v>2</v>
      </c>
      <c r="J192" s="180">
        <v>1</v>
      </c>
      <c r="K192" s="180"/>
      <c r="L192" s="180">
        <v>6</v>
      </c>
      <c r="M192" s="182">
        <v>25</v>
      </c>
      <c r="N192" s="182">
        <v>69</v>
      </c>
      <c r="O192" s="182"/>
      <c r="P192" s="182">
        <v>6</v>
      </c>
      <c r="Q192" s="182">
        <v>64</v>
      </c>
      <c r="R192" s="182"/>
      <c r="S192" s="182"/>
      <c r="T192" s="182"/>
      <c r="U192" s="182"/>
      <c r="V192" s="182"/>
      <c r="W192" s="182"/>
      <c r="X192" s="182"/>
      <c r="Y192" s="182"/>
      <c r="Z192" s="182"/>
      <c r="AA192" s="182"/>
      <c r="AB192" s="183">
        <f t="shared" si="22"/>
        <v>139</v>
      </c>
      <c r="AC192" s="183"/>
      <c r="AD192" s="183">
        <v>7</v>
      </c>
      <c r="AE192" s="183"/>
      <c r="AF192" s="183">
        <v>15</v>
      </c>
      <c r="AG192" s="183">
        <v>5</v>
      </c>
      <c r="AH192" s="183">
        <v>2</v>
      </c>
      <c r="AI192" s="183">
        <v>2</v>
      </c>
      <c r="AJ192" s="183">
        <v>6</v>
      </c>
      <c r="AK192" s="183"/>
      <c r="AL192" s="183">
        <v>5</v>
      </c>
      <c r="AM192" s="183"/>
      <c r="AN192" s="183"/>
      <c r="AO192" s="183"/>
      <c r="AP192" s="183"/>
      <c r="AQ192" s="183"/>
      <c r="AR192" s="149">
        <f t="shared" si="20"/>
        <v>31000</v>
      </c>
      <c r="AS192" s="150">
        <f t="shared" si="21"/>
        <v>7</v>
      </c>
      <c r="AT192" s="150">
        <f t="shared" si="23"/>
        <v>5166.666666666667</v>
      </c>
      <c r="AU192" s="183">
        <f t="shared" si="24"/>
        <v>139</v>
      </c>
      <c r="AV192" s="183">
        <v>6</v>
      </c>
      <c r="AW192" s="135">
        <f t="shared" si="25"/>
        <v>4.3165467625899283E-2</v>
      </c>
      <c r="AX192" s="194">
        <v>77</v>
      </c>
      <c r="AY192" s="136">
        <f t="shared" ref="AY192:AY255" si="26">AV192/SUM(AV192+AX192)</f>
        <v>7.2289156626506021E-2</v>
      </c>
      <c r="AZ192" s="195">
        <v>1.3</v>
      </c>
      <c r="BA192" s="195">
        <v>1</v>
      </c>
      <c r="BB192" s="181">
        <v>42000</v>
      </c>
      <c r="BC192" s="138">
        <v>6698894</v>
      </c>
    </row>
    <row r="193" spans="1:55" ht="21">
      <c r="A193">
        <v>8</v>
      </c>
      <c r="B193" s="121" t="s">
        <v>139</v>
      </c>
      <c r="C193" s="140" t="s">
        <v>50</v>
      </c>
      <c r="D193" s="180">
        <v>1</v>
      </c>
      <c r="E193" s="180">
        <v>1</v>
      </c>
      <c r="F193" s="180">
        <v>1</v>
      </c>
      <c r="G193" s="180"/>
      <c r="H193" s="180">
        <v>1</v>
      </c>
      <c r="I193" s="180">
        <v>1</v>
      </c>
      <c r="J193" s="180"/>
      <c r="K193" s="180"/>
      <c r="L193" s="180">
        <v>5</v>
      </c>
      <c r="M193" s="182">
        <v>33</v>
      </c>
      <c r="N193" s="182">
        <v>0</v>
      </c>
      <c r="O193" s="182"/>
      <c r="P193" s="182">
        <v>30</v>
      </c>
      <c r="Q193" s="182">
        <v>53</v>
      </c>
      <c r="R193" s="182"/>
      <c r="S193" s="182"/>
      <c r="T193" s="182">
        <v>0</v>
      </c>
      <c r="U193" s="182"/>
      <c r="V193" s="182"/>
      <c r="W193" s="182"/>
      <c r="X193" s="182"/>
      <c r="Y193" s="182"/>
      <c r="Z193" s="182"/>
      <c r="AA193" s="182"/>
      <c r="AB193" s="183">
        <f t="shared" si="22"/>
        <v>83</v>
      </c>
      <c r="AC193" s="182"/>
      <c r="AD193" s="182">
        <v>22.8</v>
      </c>
      <c r="AE193" s="182">
        <v>5</v>
      </c>
      <c r="AF193" s="182">
        <v>38</v>
      </c>
      <c r="AG193" s="182">
        <v>9.6</v>
      </c>
      <c r="AH193" s="182"/>
      <c r="AI193" s="182"/>
      <c r="AJ193" s="182">
        <v>3.3</v>
      </c>
      <c r="AK193" s="182"/>
      <c r="AL193" s="182">
        <v>5</v>
      </c>
      <c r="AM193" s="182"/>
      <c r="AN193" s="182"/>
      <c r="AO193" s="182"/>
      <c r="AP193" s="182"/>
      <c r="AQ193" s="182"/>
      <c r="AR193" s="149">
        <f t="shared" si="20"/>
        <v>75399.999999999985</v>
      </c>
      <c r="AS193" s="150">
        <f t="shared" si="21"/>
        <v>6</v>
      </c>
      <c r="AT193" s="150">
        <f t="shared" si="23"/>
        <v>12566.666666666664</v>
      </c>
      <c r="AU193" s="183">
        <f t="shared" si="24"/>
        <v>83</v>
      </c>
      <c r="AV193" s="183">
        <v>6</v>
      </c>
      <c r="AW193" s="135">
        <f t="shared" si="25"/>
        <v>7.2289156626506021E-2</v>
      </c>
      <c r="AX193" s="194">
        <v>62</v>
      </c>
      <c r="AY193" s="136">
        <f t="shared" si="26"/>
        <v>8.8235294117647065E-2</v>
      </c>
      <c r="AZ193" s="195">
        <v>1</v>
      </c>
      <c r="BA193" s="195">
        <v>1</v>
      </c>
      <c r="BB193" s="181">
        <v>84000</v>
      </c>
      <c r="BC193" s="138">
        <v>6713674</v>
      </c>
    </row>
    <row r="194" spans="1:55" ht="21">
      <c r="A194">
        <v>8</v>
      </c>
      <c r="B194" s="121" t="s">
        <v>70</v>
      </c>
      <c r="C194" s="140" t="s">
        <v>88</v>
      </c>
      <c r="D194" s="180"/>
      <c r="E194" s="180"/>
      <c r="F194" s="180">
        <v>2</v>
      </c>
      <c r="G194" s="180"/>
      <c r="H194" s="180"/>
      <c r="I194" s="180">
        <v>1</v>
      </c>
      <c r="J194" s="180"/>
      <c r="K194" s="180"/>
      <c r="L194" s="180">
        <v>3</v>
      </c>
      <c r="M194" s="182">
        <v>49</v>
      </c>
      <c r="N194" s="182">
        <v>27</v>
      </c>
      <c r="O194" s="182"/>
      <c r="P194" s="182">
        <v>12</v>
      </c>
      <c r="Q194" s="182">
        <v>47</v>
      </c>
      <c r="R194" s="182"/>
      <c r="S194" s="182">
        <v>8</v>
      </c>
      <c r="T194" s="182"/>
      <c r="U194" s="182"/>
      <c r="V194" s="182"/>
      <c r="W194" s="182"/>
      <c r="X194" s="182"/>
      <c r="Y194" s="182"/>
      <c r="Z194" s="182"/>
      <c r="AA194" s="182"/>
      <c r="AB194" s="183">
        <f t="shared" si="22"/>
        <v>94</v>
      </c>
      <c r="AC194" s="183"/>
      <c r="AD194" s="183">
        <v>10</v>
      </c>
      <c r="AE194" s="183">
        <v>6</v>
      </c>
      <c r="AF194" s="183">
        <v>20</v>
      </c>
      <c r="AG194" s="183">
        <v>15</v>
      </c>
      <c r="AH194" s="183"/>
      <c r="AI194" s="183">
        <v>3</v>
      </c>
      <c r="AJ194" s="183">
        <v>1</v>
      </c>
      <c r="AK194" s="183"/>
      <c r="AL194" s="183">
        <v>15</v>
      </c>
      <c r="AM194" s="183"/>
      <c r="AN194" s="183"/>
      <c r="AO194" s="183">
        <v>10</v>
      </c>
      <c r="AP194" s="183"/>
      <c r="AQ194" s="183"/>
      <c r="AR194" s="149">
        <f t="shared" ref="AR194:AR257" si="27">(SUM(AD194:AI194)+AQ194)*1000</f>
        <v>54000</v>
      </c>
      <c r="AS194" s="150">
        <f t="shared" ref="AS194:AS221" si="28">COUNTIF(AD194:AQ194,"&gt;0")</f>
        <v>8</v>
      </c>
      <c r="AT194" s="150">
        <f t="shared" si="23"/>
        <v>3857.1428571428573</v>
      </c>
      <c r="AU194" s="183">
        <f t="shared" si="24"/>
        <v>94</v>
      </c>
      <c r="AV194" s="183">
        <v>14</v>
      </c>
      <c r="AW194" s="135">
        <f t="shared" si="25"/>
        <v>0.14893617021276595</v>
      </c>
      <c r="AX194" s="194">
        <v>60</v>
      </c>
      <c r="AY194" s="136">
        <f t="shared" si="26"/>
        <v>0.1891891891891892</v>
      </c>
      <c r="AZ194" s="195">
        <v>1</v>
      </c>
      <c r="BA194" s="195">
        <v>1</v>
      </c>
      <c r="BB194" s="181">
        <v>80000</v>
      </c>
      <c r="BC194" s="138">
        <v>5240640</v>
      </c>
    </row>
    <row r="195" spans="1:55" ht="21">
      <c r="A195">
        <v>8</v>
      </c>
      <c r="B195" s="121" t="s">
        <v>21</v>
      </c>
      <c r="C195" s="140" t="s">
        <v>33</v>
      </c>
      <c r="D195" s="180">
        <v>1</v>
      </c>
      <c r="E195" s="180"/>
      <c r="F195" s="180"/>
      <c r="G195" s="180"/>
      <c r="H195" s="180">
        <v>1</v>
      </c>
      <c r="I195" s="180"/>
      <c r="J195" s="180"/>
      <c r="K195" s="180"/>
      <c r="L195" s="180">
        <v>2</v>
      </c>
      <c r="M195" s="182">
        <v>23</v>
      </c>
      <c r="N195" s="182">
        <v>32</v>
      </c>
      <c r="O195" s="182">
        <v>0</v>
      </c>
      <c r="P195" s="182">
        <v>32</v>
      </c>
      <c r="Q195" s="182">
        <v>36</v>
      </c>
      <c r="R195" s="182"/>
      <c r="S195" s="182">
        <v>0</v>
      </c>
      <c r="T195" s="182">
        <v>0</v>
      </c>
      <c r="U195" s="182"/>
      <c r="V195" s="182">
        <v>0</v>
      </c>
      <c r="W195" s="182"/>
      <c r="X195" s="182"/>
      <c r="Y195" s="182">
        <v>0</v>
      </c>
      <c r="Z195" s="182"/>
      <c r="AA195" s="182"/>
      <c r="AB195" s="183">
        <f t="shared" ref="AB195:AB257" si="29">SUM(N195:AA195)</f>
        <v>100</v>
      </c>
      <c r="AC195" s="183"/>
      <c r="AD195" s="182"/>
      <c r="AE195" s="182"/>
      <c r="AF195" s="182">
        <v>19</v>
      </c>
      <c r="AG195" s="182">
        <v>24</v>
      </c>
      <c r="AH195" s="182"/>
      <c r="AI195" s="182"/>
      <c r="AJ195" s="182"/>
      <c r="AK195" s="182"/>
      <c r="AL195" s="182"/>
      <c r="AM195" s="182"/>
      <c r="AN195" s="182"/>
      <c r="AO195" s="182"/>
      <c r="AP195" s="182"/>
      <c r="AQ195" s="183"/>
      <c r="AR195" s="149">
        <f t="shared" si="27"/>
        <v>43000</v>
      </c>
      <c r="AS195" s="150">
        <f t="shared" si="28"/>
        <v>2</v>
      </c>
      <c r="AT195" s="150">
        <f t="shared" ref="AT195:AT258" si="30">AR195/AV195</f>
        <v>3071.4285714285716</v>
      </c>
      <c r="AU195" s="183">
        <f t="shared" ref="AU195:AU221" si="31">AB195</f>
        <v>100</v>
      </c>
      <c r="AV195" s="183">
        <v>14</v>
      </c>
      <c r="AW195" s="135">
        <f t="shared" ref="AW195:AW258" si="32">AV195/AU195</f>
        <v>0.14000000000000001</v>
      </c>
      <c r="AX195" s="194">
        <v>196</v>
      </c>
      <c r="AY195" s="136">
        <f t="shared" si="26"/>
        <v>6.6666666666666666E-2</v>
      </c>
      <c r="AZ195" s="195">
        <v>1.1299999999999999</v>
      </c>
      <c r="BA195" s="195">
        <v>1</v>
      </c>
      <c r="BB195" s="181">
        <v>43000</v>
      </c>
      <c r="BC195" s="138">
        <v>13623201</v>
      </c>
    </row>
    <row r="196" spans="1:55" ht="21">
      <c r="A196">
        <v>8</v>
      </c>
      <c r="B196" s="121" t="s">
        <v>21</v>
      </c>
      <c r="C196" s="140" t="s">
        <v>24</v>
      </c>
      <c r="D196" s="180">
        <v>2</v>
      </c>
      <c r="E196" s="180"/>
      <c r="F196" s="180">
        <v>1</v>
      </c>
      <c r="G196" s="180"/>
      <c r="H196" s="180">
        <v>1</v>
      </c>
      <c r="I196" s="180"/>
      <c r="J196" s="180"/>
      <c r="K196" s="180"/>
      <c r="L196" s="180">
        <v>4</v>
      </c>
      <c r="M196" s="182">
        <v>16</v>
      </c>
      <c r="N196" s="182">
        <v>28</v>
      </c>
      <c r="O196" s="182">
        <v>2</v>
      </c>
      <c r="P196" s="182">
        <v>33</v>
      </c>
      <c r="Q196" s="182">
        <v>48</v>
      </c>
      <c r="R196" s="182">
        <v>6</v>
      </c>
      <c r="S196" s="182">
        <v>36</v>
      </c>
      <c r="T196" s="182">
        <v>2</v>
      </c>
      <c r="U196" s="182"/>
      <c r="V196" s="182">
        <v>7</v>
      </c>
      <c r="W196" s="182"/>
      <c r="X196" s="182"/>
      <c r="Y196" s="182"/>
      <c r="Z196" s="182"/>
      <c r="AA196" s="182"/>
      <c r="AB196" s="183">
        <f t="shared" si="29"/>
        <v>162</v>
      </c>
      <c r="AC196" s="182"/>
      <c r="AD196" s="182">
        <v>7.71</v>
      </c>
      <c r="AE196" s="182"/>
      <c r="AF196" s="182"/>
      <c r="AG196" s="182">
        <v>34.299999999999997</v>
      </c>
      <c r="AH196" s="182"/>
      <c r="AI196" s="182"/>
      <c r="AJ196" s="182">
        <v>1.2709999999999999</v>
      </c>
      <c r="AK196" s="182"/>
      <c r="AL196" s="182"/>
      <c r="AM196" s="182"/>
      <c r="AN196" s="182">
        <v>3.68</v>
      </c>
      <c r="AO196" s="182"/>
      <c r="AP196" s="182"/>
      <c r="AQ196" s="182"/>
      <c r="AR196" s="149">
        <f t="shared" si="27"/>
        <v>42010</v>
      </c>
      <c r="AS196" s="150">
        <f t="shared" si="28"/>
        <v>4</v>
      </c>
      <c r="AT196" s="150">
        <f t="shared" si="30"/>
        <v>5251.25</v>
      </c>
      <c r="AU196" s="183">
        <f t="shared" si="31"/>
        <v>162</v>
      </c>
      <c r="AV196" s="183">
        <v>8</v>
      </c>
      <c r="AW196" s="135">
        <f t="shared" si="32"/>
        <v>4.9382716049382713E-2</v>
      </c>
      <c r="AX196" s="194">
        <v>83</v>
      </c>
      <c r="AY196" s="136">
        <f t="shared" si="26"/>
        <v>8.7912087912087919E-2</v>
      </c>
      <c r="AZ196" s="195">
        <v>1</v>
      </c>
      <c r="BA196" s="195">
        <v>1</v>
      </c>
      <c r="BB196" s="181">
        <v>47000</v>
      </c>
      <c r="BC196" s="138">
        <v>1775915</v>
      </c>
    </row>
    <row r="197" spans="1:55" ht="21.6" thickBot="1">
      <c r="A197">
        <v>8</v>
      </c>
      <c r="B197" s="122" t="s">
        <v>70</v>
      </c>
      <c r="C197" s="141" t="s">
        <v>92</v>
      </c>
      <c r="D197" s="180">
        <v>2</v>
      </c>
      <c r="E197" s="180"/>
      <c r="F197" s="180">
        <v>1</v>
      </c>
      <c r="G197" s="180"/>
      <c r="H197" s="180">
        <v>2</v>
      </c>
      <c r="I197" s="180"/>
      <c r="J197" s="180"/>
      <c r="K197" s="180"/>
      <c r="L197" s="180">
        <v>5</v>
      </c>
      <c r="M197" s="182">
        <v>30</v>
      </c>
      <c r="N197" s="182">
        <v>54</v>
      </c>
      <c r="O197" s="182"/>
      <c r="P197" s="182">
        <v>24</v>
      </c>
      <c r="Q197" s="182">
        <v>44</v>
      </c>
      <c r="R197" s="182"/>
      <c r="S197" s="182">
        <v>39</v>
      </c>
      <c r="T197" s="182"/>
      <c r="U197" s="182"/>
      <c r="V197" s="182"/>
      <c r="W197" s="182"/>
      <c r="X197" s="182"/>
      <c r="Y197" s="182"/>
      <c r="Z197" s="182"/>
      <c r="AA197" s="182"/>
      <c r="AB197" s="183">
        <f t="shared" si="29"/>
        <v>161</v>
      </c>
      <c r="AC197" s="183"/>
      <c r="AD197" s="183">
        <v>46</v>
      </c>
      <c r="AE197" s="183"/>
      <c r="AF197" s="183">
        <v>5</v>
      </c>
      <c r="AG197" s="183">
        <v>4</v>
      </c>
      <c r="AH197" s="183">
        <v>1</v>
      </c>
      <c r="AI197" s="183">
        <v>5</v>
      </c>
      <c r="AJ197" s="183">
        <v>2</v>
      </c>
      <c r="AK197" s="183"/>
      <c r="AL197" s="183"/>
      <c r="AM197" s="183"/>
      <c r="AN197" s="183"/>
      <c r="AO197" s="183"/>
      <c r="AP197" s="183"/>
      <c r="AQ197" s="183"/>
      <c r="AR197" s="149">
        <f t="shared" si="27"/>
        <v>61000</v>
      </c>
      <c r="AS197" s="150">
        <f t="shared" si="28"/>
        <v>6</v>
      </c>
      <c r="AT197" s="150">
        <f t="shared" si="30"/>
        <v>20333.333333333332</v>
      </c>
      <c r="AU197" s="183">
        <f t="shared" si="31"/>
        <v>161</v>
      </c>
      <c r="AV197" s="183">
        <v>3</v>
      </c>
      <c r="AW197" s="135">
        <f t="shared" si="32"/>
        <v>1.8633540372670808E-2</v>
      </c>
      <c r="AX197" s="194">
        <v>24</v>
      </c>
      <c r="AY197" s="136">
        <f t="shared" si="26"/>
        <v>0.1111111111111111</v>
      </c>
      <c r="AZ197" s="195">
        <v>1.2</v>
      </c>
      <c r="BA197" s="195">
        <v>1</v>
      </c>
      <c r="BB197" s="181">
        <v>62000</v>
      </c>
      <c r="BC197" s="138">
        <v>1302667</v>
      </c>
    </row>
    <row r="198" spans="1:55" ht="21">
      <c r="A198">
        <v>9</v>
      </c>
      <c r="B198" s="120" t="s">
        <v>70</v>
      </c>
      <c r="C198" s="155" t="s">
        <v>69</v>
      </c>
      <c r="D198" s="204">
        <v>1</v>
      </c>
      <c r="E198" s="204"/>
      <c r="F198" s="204"/>
      <c r="G198" s="204"/>
      <c r="H198" s="204">
        <v>2</v>
      </c>
      <c r="I198" s="204">
        <v>1</v>
      </c>
      <c r="J198" s="204"/>
      <c r="K198" s="204">
        <v>1</v>
      </c>
      <c r="L198" s="204">
        <v>5</v>
      </c>
      <c r="M198" s="204">
        <v>13</v>
      </c>
      <c r="N198" s="204">
        <v>28</v>
      </c>
      <c r="O198" s="204">
        <v>0</v>
      </c>
      <c r="P198" s="204">
        <v>48</v>
      </c>
      <c r="Q198" s="204">
        <v>49</v>
      </c>
      <c r="R198" s="204"/>
      <c r="S198" s="204"/>
      <c r="T198" s="204"/>
      <c r="U198" s="204"/>
      <c r="V198" s="204"/>
      <c r="W198" s="204"/>
      <c r="X198" s="204"/>
      <c r="Y198" s="204"/>
      <c r="Z198" s="204"/>
      <c r="AA198" s="204"/>
      <c r="AB198" s="183">
        <f t="shared" si="29"/>
        <v>125</v>
      </c>
      <c r="AC198" s="204"/>
      <c r="AD198" s="204">
        <v>10</v>
      </c>
      <c r="AE198" s="204"/>
      <c r="AF198" s="204">
        <v>7</v>
      </c>
      <c r="AG198" s="204">
        <v>10</v>
      </c>
      <c r="AH198" s="204"/>
      <c r="AI198" s="204"/>
      <c r="AJ198" s="204">
        <v>4</v>
      </c>
      <c r="AK198" s="204"/>
      <c r="AL198" s="204">
        <v>5</v>
      </c>
      <c r="AM198" s="204"/>
      <c r="AN198" s="204"/>
      <c r="AO198" s="204"/>
      <c r="AP198" s="204"/>
      <c r="AQ198" s="204">
        <v>1</v>
      </c>
      <c r="AR198" s="149">
        <f t="shared" si="27"/>
        <v>28000</v>
      </c>
      <c r="AS198" s="150">
        <f t="shared" si="28"/>
        <v>6</v>
      </c>
      <c r="AT198" s="150">
        <f t="shared" si="30"/>
        <v>4666.666666666667</v>
      </c>
      <c r="AU198" s="183">
        <f t="shared" si="31"/>
        <v>125</v>
      </c>
      <c r="AV198" s="183">
        <v>6</v>
      </c>
      <c r="AW198" s="135">
        <f t="shared" si="32"/>
        <v>4.8000000000000001E-2</v>
      </c>
      <c r="AX198" s="205">
        <v>33</v>
      </c>
      <c r="AY198" s="136">
        <f t="shared" si="26"/>
        <v>0.15384615384615385</v>
      </c>
      <c r="AZ198" s="206">
        <v>1.1499999999999999</v>
      </c>
      <c r="BA198" s="206">
        <v>1</v>
      </c>
      <c r="BB198" s="204">
        <v>26000</v>
      </c>
      <c r="BC198" s="179">
        <v>4397</v>
      </c>
    </row>
    <row r="199" spans="1:55" ht="21">
      <c r="A199">
        <v>9</v>
      </c>
      <c r="B199" s="121" t="s">
        <v>21</v>
      </c>
      <c r="C199" s="155" t="s">
        <v>36</v>
      </c>
      <c r="D199" s="204">
        <v>1</v>
      </c>
      <c r="E199" s="204"/>
      <c r="F199" s="204">
        <v>1</v>
      </c>
      <c r="G199" s="204"/>
      <c r="H199" s="204">
        <v>1</v>
      </c>
      <c r="I199" s="204"/>
      <c r="J199" s="204"/>
      <c r="K199" s="204">
        <v>1</v>
      </c>
      <c r="L199" s="204">
        <v>4</v>
      </c>
      <c r="M199" s="204">
        <v>53</v>
      </c>
      <c r="N199" s="204"/>
      <c r="O199" s="204"/>
      <c r="P199" s="204">
        <v>6</v>
      </c>
      <c r="Q199" s="204">
        <v>5</v>
      </c>
      <c r="R199" s="204"/>
      <c r="S199" s="204"/>
      <c r="T199" s="204"/>
      <c r="U199" s="204"/>
      <c r="V199" s="204"/>
      <c r="W199" s="204"/>
      <c r="X199" s="204"/>
      <c r="Y199" s="204"/>
      <c r="Z199" s="204"/>
      <c r="AA199" s="204">
        <v>56</v>
      </c>
      <c r="AB199" s="183">
        <f t="shared" si="29"/>
        <v>67</v>
      </c>
      <c r="AC199" s="204"/>
      <c r="AD199" s="204">
        <v>11.33</v>
      </c>
      <c r="AE199" s="204"/>
      <c r="AF199" s="204">
        <v>18</v>
      </c>
      <c r="AG199" s="204">
        <v>48</v>
      </c>
      <c r="AH199" s="204"/>
      <c r="AI199" s="204"/>
      <c r="AJ199" s="204"/>
      <c r="AK199" s="204"/>
      <c r="AL199" s="204"/>
      <c r="AM199" s="204"/>
      <c r="AN199" s="204"/>
      <c r="AO199" s="204"/>
      <c r="AP199" s="204"/>
      <c r="AQ199" s="204"/>
      <c r="AR199" s="149">
        <f t="shared" si="27"/>
        <v>77330</v>
      </c>
      <c r="AS199" s="150">
        <f t="shared" si="28"/>
        <v>3</v>
      </c>
      <c r="AT199" s="150">
        <f t="shared" si="30"/>
        <v>25776.666666666668</v>
      </c>
      <c r="AU199" s="183">
        <f t="shared" si="31"/>
        <v>67</v>
      </c>
      <c r="AV199" s="183">
        <v>3</v>
      </c>
      <c r="AW199" s="135">
        <f t="shared" si="32"/>
        <v>4.4776119402985072E-2</v>
      </c>
      <c r="AX199" s="205">
        <v>45</v>
      </c>
      <c r="AY199" s="136">
        <f t="shared" si="26"/>
        <v>6.25E-2</v>
      </c>
      <c r="AZ199" s="206">
        <v>0.4</v>
      </c>
      <c r="BA199" s="206">
        <v>0</v>
      </c>
      <c r="BB199" s="204">
        <v>66000</v>
      </c>
      <c r="BC199" s="179">
        <v>0</v>
      </c>
    </row>
    <row r="200" spans="1:55" ht="21">
      <c r="A200">
        <v>9</v>
      </c>
      <c r="B200" s="121" t="s">
        <v>139</v>
      </c>
      <c r="C200" s="155" t="s">
        <v>149</v>
      </c>
      <c r="D200" s="204">
        <v>1</v>
      </c>
      <c r="E200" s="204">
        <v>1</v>
      </c>
      <c r="F200" s="204"/>
      <c r="G200" s="204"/>
      <c r="H200" s="204">
        <v>1</v>
      </c>
      <c r="I200" s="204">
        <v>1</v>
      </c>
      <c r="J200" s="204"/>
      <c r="K200" s="204">
        <v>1</v>
      </c>
      <c r="L200" s="204">
        <v>5</v>
      </c>
      <c r="M200" s="204">
        <v>63</v>
      </c>
      <c r="N200" s="204">
        <v>30</v>
      </c>
      <c r="O200" s="204">
        <v>0</v>
      </c>
      <c r="P200" s="204">
        <v>44</v>
      </c>
      <c r="Q200" s="204">
        <v>126</v>
      </c>
      <c r="R200" s="204">
        <v>0</v>
      </c>
      <c r="S200" s="204"/>
      <c r="T200" s="204">
        <v>0</v>
      </c>
      <c r="U200" s="204"/>
      <c r="V200" s="204">
        <v>0</v>
      </c>
      <c r="W200" s="204"/>
      <c r="X200" s="204"/>
      <c r="Y200" s="204"/>
      <c r="Z200" s="204"/>
      <c r="AA200" s="204"/>
      <c r="AB200" s="183">
        <f t="shared" si="29"/>
        <v>200</v>
      </c>
      <c r="AC200" s="204"/>
      <c r="AD200" s="204">
        <v>20</v>
      </c>
      <c r="AE200" s="204">
        <v>15</v>
      </c>
      <c r="AF200" s="204">
        <v>30</v>
      </c>
      <c r="AG200" s="204">
        <v>30</v>
      </c>
      <c r="AH200" s="204">
        <v>10</v>
      </c>
      <c r="AI200" s="204"/>
      <c r="AJ200" s="204">
        <v>5</v>
      </c>
      <c r="AK200" s="204"/>
      <c r="AL200" s="204">
        <v>20</v>
      </c>
      <c r="AM200" s="204"/>
      <c r="AN200" s="204"/>
      <c r="AO200" s="204"/>
      <c r="AP200" s="204"/>
      <c r="AQ200" s="204"/>
      <c r="AR200" s="149">
        <f t="shared" si="27"/>
        <v>105000</v>
      </c>
      <c r="AS200" s="150">
        <f t="shared" si="28"/>
        <v>7</v>
      </c>
      <c r="AT200" s="150">
        <f t="shared" si="30"/>
        <v>4772.727272727273</v>
      </c>
      <c r="AU200" s="183">
        <f t="shared" si="31"/>
        <v>200</v>
      </c>
      <c r="AV200" s="183">
        <v>22</v>
      </c>
      <c r="AW200" s="135">
        <f t="shared" si="32"/>
        <v>0.11</v>
      </c>
      <c r="AX200" s="205">
        <v>83</v>
      </c>
      <c r="AY200" s="136">
        <f t="shared" si="26"/>
        <v>0.20952380952380953</v>
      </c>
      <c r="AZ200" s="206">
        <v>1.1000000000000001</v>
      </c>
      <c r="BA200" s="206">
        <v>1</v>
      </c>
      <c r="BB200" s="204">
        <v>104000</v>
      </c>
      <c r="BC200" s="179">
        <v>34321</v>
      </c>
    </row>
    <row r="201" spans="1:55" ht="21">
      <c r="A201">
        <v>9</v>
      </c>
      <c r="B201" s="121" t="s">
        <v>70</v>
      </c>
      <c r="C201" s="155" t="s">
        <v>90</v>
      </c>
      <c r="D201" s="204">
        <v>1</v>
      </c>
      <c r="E201" s="204">
        <v>1</v>
      </c>
      <c r="F201" s="204"/>
      <c r="G201" s="204"/>
      <c r="H201" s="204">
        <v>1</v>
      </c>
      <c r="I201" s="204">
        <v>1</v>
      </c>
      <c r="J201" s="204"/>
      <c r="K201" s="204">
        <v>1</v>
      </c>
      <c r="L201" s="204">
        <v>5</v>
      </c>
      <c r="M201" s="204"/>
      <c r="N201" s="204">
        <v>69</v>
      </c>
      <c r="O201" s="204"/>
      <c r="P201" s="204">
        <v>16</v>
      </c>
      <c r="Q201" s="204">
        <v>86</v>
      </c>
      <c r="R201" s="204">
        <v>2</v>
      </c>
      <c r="S201" s="204"/>
      <c r="T201" s="204">
        <v>1</v>
      </c>
      <c r="U201" s="204"/>
      <c r="V201" s="204">
        <v>3</v>
      </c>
      <c r="W201" s="204"/>
      <c r="X201" s="204"/>
      <c r="Y201" s="204"/>
      <c r="Z201" s="204"/>
      <c r="AA201" s="204"/>
      <c r="AB201" s="183">
        <f t="shared" si="29"/>
        <v>177</v>
      </c>
      <c r="AC201" s="204"/>
      <c r="AD201" s="204">
        <v>30</v>
      </c>
      <c r="AE201" s="204"/>
      <c r="AF201" s="204">
        <v>8</v>
      </c>
      <c r="AG201" s="204">
        <v>48</v>
      </c>
      <c r="AH201" s="204"/>
      <c r="AI201" s="204"/>
      <c r="AJ201" s="204">
        <v>3</v>
      </c>
      <c r="AK201" s="204"/>
      <c r="AL201" s="204">
        <v>2</v>
      </c>
      <c r="AM201" s="204"/>
      <c r="AN201" s="204"/>
      <c r="AO201" s="204"/>
      <c r="AP201" s="204"/>
      <c r="AQ201" s="204"/>
      <c r="AR201" s="149">
        <f t="shared" si="27"/>
        <v>86000</v>
      </c>
      <c r="AS201" s="150">
        <f t="shared" si="28"/>
        <v>5</v>
      </c>
      <c r="AT201" s="150">
        <f t="shared" si="30"/>
        <v>17200</v>
      </c>
      <c r="AU201" s="183">
        <f t="shared" si="31"/>
        <v>177</v>
      </c>
      <c r="AV201" s="183">
        <v>5</v>
      </c>
      <c r="AW201" s="135">
        <f t="shared" si="32"/>
        <v>2.8248587570621469E-2</v>
      </c>
      <c r="AX201" s="205">
        <v>26</v>
      </c>
      <c r="AY201" s="136">
        <f t="shared" si="26"/>
        <v>0.16129032258064516</v>
      </c>
      <c r="AZ201" s="206">
        <v>1.08</v>
      </c>
      <c r="BA201" s="206">
        <v>1</v>
      </c>
      <c r="BB201" s="204">
        <v>73000</v>
      </c>
      <c r="BC201" s="179">
        <v>2035</v>
      </c>
    </row>
    <row r="202" spans="1:55" ht="21">
      <c r="A202">
        <v>9</v>
      </c>
      <c r="B202" s="121" t="s">
        <v>70</v>
      </c>
      <c r="C202" s="155" t="s">
        <v>79</v>
      </c>
      <c r="D202" s="204">
        <v>1</v>
      </c>
      <c r="E202" s="204"/>
      <c r="F202" s="204"/>
      <c r="G202" s="204"/>
      <c r="H202" s="204">
        <v>2</v>
      </c>
      <c r="I202" s="204">
        <v>1</v>
      </c>
      <c r="J202" s="204"/>
      <c r="K202" s="204">
        <v>1</v>
      </c>
      <c r="L202" s="204">
        <v>5</v>
      </c>
      <c r="M202" s="204">
        <v>24</v>
      </c>
      <c r="N202" s="204">
        <v>47</v>
      </c>
      <c r="O202" s="204"/>
      <c r="P202" s="204"/>
      <c r="Q202" s="204">
        <v>35</v>
      </c>
      <c r="R202" s="204"/>
      <c r="S202" s="204"/>
      <c r="T202" s="204"/>
      <c r="U202" s="204"/>
      <c r="V202" s="204"/>
      <c r="W202" s="204"/>
      <c r="X202" s="204"/>
      <c r="Y202" s="204"/>
      <c r="Z202" s="204"/>
      <c r="AA202" s="204"/>
      <c r="AB202" s="183">
        <f t="shared" si="29"/>
        <v>82</v>
      </c>
      <c r="AC202" s="204"/>
      <c r="AD202" s="204">
        <v>14</v>
      </c>
      <c r="AE202" s="204">
        <v>5</v>
      </c>
      <c r="AF202" s="204">
        <v>6</v>
      </c>
      <c r="AG202" s="204">
        <v>15</v>
      </c>
      <c r="AH202" s="204"/>
      <c r="AI202" s="204"/>
      <c r="AJ202" s="204">
        <v>1</v>
      </c>
      <c r="AK202" s="204"/>
      <c r="AL202" s="204">
        <v>3</v>
      </c>
      <c r="AM202" s="204"/>
      <c r="AN202" s="204"/>
      <c r="AO202" s="204"/>
      <c r="AP202" s="204"/>
      <c r="AQ202" s="204"/>
      <c r="AR202" s="149">
        <f t="shared" si="27"/>
        <v>40000</v>
      </c>
      <c r="AS202" s="150">
        <f t="shared" si="28"/>
        <v>6</v>
      </c>
      <c r="AT202" s="150">
        <f t="shared" si="30"/>
        <v>6666.666666666667</v>
      </c>
      <c r="AU202" s="183">
        <f t="shared" si="31"/>
        <v>82</v>
      </c>
      <c r="AV202" s="183">
        <v>6</v>
      </c>
      <c r="AW202" s="135">
        <f t="shared" si="32"/>
        <v>7.3170731707317069E-2</v>
      </c>
      <c r="AX202" s="205">
        <v>35</v>
      </c>
      <c r="AY202" s="136">
        <f t="shared" si="26"/>
        <v>0.14634146341463414</v>
      </c>
      <c r="AZ202" s="206">
        <v>0.77</v>
      </c>
      <c r="BA202" s="206">
        <v>0.25</v>
      </c>
      <c r="BB202" s="204">
        <v>51000</v>
      </c>
      <c r="BC202" s="179">
        <v>1767</v>
      </c>
    </row>
    <row r="203" spans="1:55" ht="21">
      <c r="A203">
        <v>9</v>
      </c>
      <c r="B203" s="121" t="s">
        <v>139</v>
      </c>
      <c r="C203" s="155" t="s">
        <v>60</v>
      </c>
      <c r="D203" s="204">
        <v>1</v>
      </c>
      <c r="E203" s="204"/>
      <c r="F203" s="204"/>
      <c r="G203" s="204"/>
      <c r="H203" s="204"/>
      <c r="I203" s="204">
        <v>1</v>
      </c>
      <c r="J203" s="204"/>
      <c r="K203" s="204"/>
      <c r="L203" s="204">
        <v>2</v>
      </c>
      <c r="M203" s="204">
        <v>38</v>
      </c>
      <c r="N203" s="204"/>
      <c r="O203" s="204">
        <v>12</v>
      </c>
      <c r="P203" s="204">
        <v>26</v>
      </c>
      <c r="Q203" s="204">
        <v>38</v>
      </c>
      <c r="R203" s="204"/>
      <c r="S203" s="204">
        <v>37</v>
      </c>
      <c r="T203" s="204">
        <v>0</v>
      </c>
      <c r="U203" s="204"/>
      <c r="V203" s="204">
        <v>0</v>
      </c>
      <c r="W203" s="204"/>
      <c r="X203" s="204">
        <v>0</v>
      </c>
      <c r="Y203" s="204"/>
      <c r="Z203" s="204"/>
      <c r="AA203" s="204"/>
      <c r="AB203" s="183">
        <f t="shared" si="29"/>
        <v>113</v>
      </c>
      <c r="AC203" s="204"/>
      <c r="AD203" s="204"/>
      <c r="AE203" s="204">
        <v>10</v>
      </c>
      <c r="AF203" s="204">
        <v>10</v>
      </c>
      <c r="AG203" s="204">
        <v>25</v>
      </c>
      <c r="AH203" s="204"/>
      <c r="AI203" s="204">
        <v>15</v>
      </c>
      <c r="AJ203" s="204">
        <v>1</v>
      </c>
      <c r="AK203" s="204"/>
      <c r="AL203" s="204">
        <v>13</v>
      </c>
      <c r="AM203" s="204"/>
      <c r="AN203" s="204">
        <v>10</v>
      </c>
      <c r="AO203" s="204"/>
      <c r="AP203" s="204"/>
      <c r="AQ203" s="204"/>
      <c r="AR203" s="149">
        <f t="shared" si="27"/>
        <v>60000</v>
      </c>
      <c r="AS203" s="150">
        <f t="shared" si="28"/>
        <v>7</v>
      </c>
      <c r="AT203" s="150">
        <f t="shared" si="30"/>
        <v>1818.1818181818182</v>
      </c>
      <c r="AU203" s="183">
        <f t="shared" si="31"/>
        <v>113</v>
      </c>
      <c r="AV203" s="183">
        <v>33</v>
      </c>
      <c r="AW203" s="135">
        <f t="shared" si="32"/>
        <v>0.29203539823008851</v>
      </c>
      <c r="AX203" s="205">
        <v>193</v>
      </c>
      <c r="AY203" s="136">
        <f t="shared" si="26"/>
        <v>0.14601769911504425</v>
      </c>
      <c r="AZ203" s="206">
        <v>0.91</v>
      </c>
      <c r="BA203" s="206">
        <v>0.75</v>
      </c>
      <c r="BB203" s="204">
        <v>119000</v>
      </c>
      <c r="BC203" s="179">
        <v>31057</v>
      </c>
    </row>
    <row r="204" spans="1:55" ht="21">
      <c r="A204">
        <v>9</v>
      </c>
      <c r="B204" s="121" t="s">
        <v>139</v>
      </c>
      <c r="C204" s="155" t="s">
        <v>57</v>
      </c>
      <c r="D204" s="204">
        <v>1</v>
      </c>
      <c r="E204" s="204">
        <v>1</v>
      </c>
      <c r="F204" s="204"/>
      <c r="G204" s="204"/>
      <c r="H204" s="204">
        <v>1</v>
      </c>
      <c r="I204" s="204"/>
      <c r="J204" s="204">
        <v>1</v>
      </c>
      <c r="K204" s="204">
        <v>1</v>
      </c>
      <c r="L204" s="204">
        <v>5</v>
      </c>
      <c r="M204" s="204">
        <v>71</v>
      </c>
      <c r="N204" s="204">
        <v>0</v>
      </c>
      <c r="O204" s="204"/>
      <c r="P204" s="204">
        <v>58</v>
      </c>
      <c r="Q204" s="204">
        <v>2</v>
      </c>
      <c r="R204" s="204"/>
      <c r="S204" s="204">
        <v>16</v>
      </c>
      <c r="T204" s="204">
        <v>0</v>
      </c>
      <c r="U204" s="204"/>
      <c r="V204" s="204">
        <v>0</v>
      </c>
      <c r="W204" s="204"/>
      <c r="X204" s="204">
        <v>0</v>
      </c>
      <c r="Y204" s="204">
        <v>0</v>
      </c>
      <c r="Z204" s="204"/>
      <c r="AA204" s="204"/>
      <c r="AB204" s="183">
        <f t="shared" si="29"/>
        <v>76</v>
      </c>
      <c r="AC204" s="204"/>
      <c r="AD204" s="204">
        <v>18</v>
      </c>
      <c r="AE204" s="204"/>
      <c r="AF204" s="204">
        <v>13</v>
      </c>
      <c r="AG204" s="204">
        <v>14</v>
      </c>
      <c r="AH204" s="204"/>
      <c r="AI204" s="204">
        <v>7</v>
      </c>
      <c r="AJ204" s="204">
        <v>0.5</v>
      </c>
      <c r="AK204" s="204"/>
      <c r="AL204" s="204"/>
      <c r="AM204" s="204"/>
      <c r="AN204" s="204">
        <v>10</v>
      </c>
      <c r="AO204" s="204">
        <v>39</v>
      </c>
      <c r="AP204" s="204"/>
      <c r="AQ204" s="204"/>
      <c r="AR204" s="149">
        <f t="shared" si="27"/>
        <v>52000</v>
      </c>
      <c r="AS204" s="150">
        <f t="shared" si="28"/>
        <v>7</v>
      </c>
      <c r="AT204" s="150">
        <f t="shared" si="30"/>
        <v>8666.6666666666661</v>
      </c>
      <c r="AU204" s="183">
        <f t="shared" si="31"/>
        <v>76</v>
      </c>
      <c r="AV204" s="183">
        <v>6</v>
      </c>
      <c r="AW204" s="135">
        <f t="shared" si="32"/>
        <v>7.8947368421052627E-2</v>
      </c>
      <c r="AX204" s="205">
        <v>132</v>
      </c>
      <c r="AY204" s="136">
        <f t="shared" si="26"/>
        <v>4.3478260869565216E-2</v>
      </c>
      <c r="AZ204" s="206">
        <v>1.17</v>
      </c>
      <c r="BA204" s="206">
        <v>1</v>
      </c>
      <c r="BB204" s="204">
        <v>58000</v>
      </c>
      <c r="BC204" s="179">
        <v>25326</v>
      </c>
    </row>
    <row r="205" spans="1:55" ht="21">
      <c r="A205">
        <v>9</v>
      </c>
      <c r="B205" s="121" t="s">
        <v>139</v>
      </c>
      <c r="C205" s="155" t="s">
        <v>66</v>
      </c>
      <c r="D205" s="204">
        <v>1</v>
      </c>
      <c r="E205" s="204"/>
      <c r="F205" s="204">
        <v>1</v>
      </c>
      <c r="G205" s="204"/>
      <c r="H205" s="204">
        <v>1</v>
      </c>
      <c r="I205" s="204">
        <v>1</v>
      </c>
      <c r="J205" s="204">
        <v>1</v>
      </c>
      <c r="K205" s="204">
        <v>1</v>
      </c>
      <c r="L205" s="204">
        <v>6</v>
      </c>
      <c r="M205" s="204">
        <v>32</v>
      </c>
      <c r="N205" s="204">
        <v>22</v>
      </c>
      <c r="O205" s="204">
        <v>27</v>
      </c>
      <c r="P205" s="204">
        <v>22</v>
      </c>
      <c r="Q205" s="204">
        <v>49</v>
      </c>
      <c r="R205" s="204"/>
      <c r="S205" s="204"/>
      <c r="T205" s="204">
        <v>0</v>
      </c>
      <c r="U205" s="204"/>
      <c r="V205" s="204">
        <v>0</v>
      </c>
      <c r="W205" s="204"/>
      <c r="X205" s="204"/>
      <c r="Y205" s="204"/>
      <c r="Z205" s="204"/>
      <c r="AA205" s="204"/>
      <c r="AB205" s="183">
        <f t="shared" si="29"/>
        <v>120</v>
      </c>
      <c r="AC205" s="204"/>
      <c r="AD205" s="204"/>
      <c r="AE205" s="204">
        <v>17</v>
      </c>
      <c r="AF205" s="204">
        <v>15</v>
      </c>
      <c r="AG205" s="204">
        <v>13</v>
      </c>
      <c r="AH205" s="204"/>
      <c r="AI205" s="204"/>
      <c r="AJ205" s="204">
        <v>1</v>
      </c>
      <c r="AK205" s="204"/>
      <c r="AL205" s="204">
        <v>3.6</v>
      </c>
      <c r="AM205" s="204"/>
      <c r="AN205" s="204"/>
      <c r="AO205" s="204"/>
      <c r="AP205" s="204"/>
      <c r="AQ205" s="204"/>
      <c r="AR205" s="149">
        <f t="shared" si="27"/>
        <v>45000</v>
      </c>
      <c r="AS205" s="150">
        <f t="shared" si="28"/>
        <v>5</v>
      </c>
      <c r="AT205" s="150">
        <f t="shared" si="30"/>
        <v>2045.4545454545455</v>
      </c>
      <c r="AU205" s="183">
        <f t="shared" si="31"/>
        <v>120</v>
      </c>
      <c r="AV205" s="183">
        <v>22</v>
      </c>
      <c r="AW205" s="135">
        <f t="shared" si="32"/>
        <v>0.18333333333333332</v>
      </c>
      <c r="AX205" s="205">
        <v>29</v>
      </c>
      <c r="AY205" s="136">
        <f t="shared" si="26"/>
        <v>0.43137254901960786</v>
      </c>
      <c r="AZ205" s="206">
        <v>1.19</v>
      </c>
      <c r="BA205" s="206">
        <v>1</v>
      </c>
      <c r="BB205" s="204">
        <v>50000</v>
      </c>
      <c r="BC205" s="179">
        <v>13170</v>
      </c>
    </row>
    <row r="206" spans="1:55" ht="21">
      <c r="A206">
        <v>9</v>
      </c>
      <c r="B206" s="121" t="s">
        <v>70</v>
      </c>
      <c r="C206" s="155" t="s">
        <v>82</v>
      </c>
      <c r="D206" s="204">
        <v>1</v>
      </c>
      <c r="E206" s="204"/>
      <c r="F206" s="204"/>
      <c r="G206" s="204"/>
      <c r="H206" s="204">
        <v>2</v>
      </c>
      <c r="I206" s="204">
        <v>1</v>
      </c>
      <c r="J206" s="204"/>
      <c r="K206" s="204">
        <v>1</v>
      </c>
      <c r="L206" s="204">
        <v>5</v>
      </c>
      <c r="M206" s="204">
        <v>30</v>
      </c>
      <c r="N206" s="204">
        <v>60</v>
      </c>
      <c r="O206" s="204"/>
      <c r="P206" s="204">
        <v>3</v>
      </c>
      <c r="Q206" s="204">
        <v>98</v>
      </c>
      <c r="R206" s="204"/>
      <c r="S206" s="204"/>
      <c r="T206" s="204"/>
      <c r="U206" s="204"/>
      <c r="V206" s="204"/>
      <c r="W206" s="204"/>
      <c r="X206" s="204"/>
      <c r="Y206" s="204"/>
      <c r="Z206" s="204"/>
      <c r="AA206" s="204"/>
      <c r="AB206" s="183">
        <f t="shared" si="29"/>
        <v>161</v>
      </c>
      <c r="AC206" s="204"/>
      <c r="AD206" s="204">
        <v>14</v>
      </c>
      <c r="AE206" s="204"/>
      <c r="AF206" s="204">
        <v>10</v>
      </c>
      <c r="AG206" s="204">
        <v>15</v>
      </c>
      <c r="AH206" s="204"/>
      <c r="AI206" s="204"/>
      <c r="AJ206" s="204">
        <v>2</v>
      </c>
      <c r="AK206" s="204">
        <v>6</v>
      </c>
      <c r="AL206" s="204"/>
      <c r="AM206" s="204"/>
      <c r="AN206" s="204"/>
      <c r="AO206" s="204"/>
      <c r="AP206" s="204"/>
      <c r="AQ206" s="204"/>
      <c r="AR206" s="149">
        <f t="shared" si="27"/>
        <v>39000</v>
      </c>
      <c r="AS206" s="150">
        <f t="shared" si="28"/>
        <v>5</v>
      </c>
      <c r="AT206" s="150">
        <f t="shared" si="30"/>
        <v>5571.4285714285716</v>
      </c>
      <c r="AU206" s="183">
        <f t="shared" si="31"/>
        <v>161</v>
      </c>
      <c r="AV206" s="183">
        <v>7</v>
      </c>
      <c r="AW206" s="135">
        <f t="shared" si="32"/>
        <v>4.3478260869565216E-2</v>
      </c>
      <c r="AX206" s="205">
        <v>35</v>
      </c>
      <c r="AY206" s="136">
        <f t="shared" si="26"/>
        <v>0.16666666666666666</v>
      </c>
      <c r="AZ206" s="206">
        <v>1.08</v>
      </c>
      <c r="BA206" s="206">
        <v>1</v>
      </c>
      <c r="BB206" s="204">
        <v>38000</v>
      </c>
      <c r="BC206" s="179">
        <v>5738</v>
      </c>
    </row>
    <row r="207" spans="1:55" ht="21">
      <c r="A207">
        <v>9</v>
      </c>
      <c r="B207" s="121" t="s">
        <v>21</v>
      </c>
      <c r="C207" s="155" t="s">
        <v>48</v>
      </c>
      <c r="D207" s="204">
        <v>2</v>
      </c>
      <c r="E207" s="204">
        <v>1</v>
      </c>
      <c r="F207" s="204"/>
      <c r="G207" s="204"/>
      <c r="H207" s="204"/>
      <c r="I207" s="204"/>
      <c r="J207" s="204"/>
      <c r="K207" s="204">
        <v>1</v>
      </c>
      <c r="L207" s="204">
        <v>4</v>
      </c>
      <c r="M207" s="204">
        <v>57</v>
      </c>
      <c r="N207" s="204"/>
      <c r="O207" s="204">
        <v>7</v>
      </c>
      <c r="P207" s="204">
        <v>69</v>
      </c>
      <c r="Q207" s="204">
        <v>98</v>
      </c>
      <c r="R207" s="204"/>
      <c r="S207" s="204"/>
      <c r="T207" s="204"/>
      <c r="U207" s="204"/>
      <c r="V207" s="204"/>
      <c r="W207" s="204"/>
      <c r="X207" s="204"/>
      <c r="Y207" s="204"/>
      <c r="Z207" s="204"/>
      <c r="AA207" s="204"/>
      <c r="AB207" s="183">
        <f t="shared" si="29"/>
        <v>174</v>
      </c>
      <c r="AC207" s="204"/>
      <c r="AD207" s="204"/>
      <c r="AE207" s="204">
        <v>5</v>
      </c>
      <c r="AF207" s="204">
        <v>20</v>
      </c>
      <c r="AG207" s="204">
        <v>30</v>
      </c>
      <c r="AH207" s="204"/>
      <c r="AI207" s="204"/>
      <c r="AJ207" s="204">
        <v>1</v>
      </c>
      <c r="AK207" s="204"/>
      <c r="AL207" s="204"/>
      <c r="AM207" s="204"/>
      <c r="AN207" s="204"/>
      <c r="AO207" s="204"/>
      <c r="AP207" s="204"/>
      <c r="AQ207" s="204"/>
      <c r="AR207" s="149">
        <f t="shared" si="27"/>
        <v>55000</v>
      </c>
      <c r="AS207" s="150">
        <f t="shared" si="28"/>
        <v>4</v>
      </c>
      <c r="AT207" s="150">
        <f t="shared" si="30"/>
        <v>4583.333333333333</v>
      </c>
      <c r="AU207" s="183">
        <f t="shared" si="31"/>
        <v>174</v>
      </c>
      <c r="AV207" s="183">
        <v>12</v>
      </c>
      <c r="AW207" s="135">
        <f t="shared" si="32"/>
        <v>6.8965517241379309E-2</v>
      </c>
      <c r="AX207" s="205">
        <v>162</v>
      </c>
      <c r="AY207" s="136">
        <f t="shared" si="26"/>
        <v>6.8965517241379309E-2</v>
      </c>
      <c r="AZ207" s="206">
        <v>0.77</v>
      </c>
      <c r="BA207" s="206">
        <v>0.25</v>
      </c>
      <c r="BB207" s="204">
        <v>60000</v>
      </c>
      <c r="BC207" s="179">
        <v>1570</v>
      </c>
    </row>
    <row r="208" spans="1:55" ht="21">
      <c r="A208">
        <v>9</v>
      </c>
      <c r="B208" s="121" t="s">
        <v>70</v>
      </c>
      <c r="C208" s="155" t="s">
        <v>76</v>
      </c>
      <c r="D208" s="204">
        <v>1</v>
      </c>
      <c r="E208" s="204">
        <v>1</v>
      </c>
      <c r="F208" s="204"/>
      <c r="G208" s="204"/>
      <c r="H208" s="204">
        <v>1</v>
      </c>
      <c r="I208" s="204">
        <v>1</v>
      </c>
      <c r="J208" s="204"/>
      <c r="K208" s="204">
        <v>1</v>
      </c>
      <c r="L208" s="204">
        <v>5</v>
      </c>
      <c r="M208" s="204">
        <v>27</v>
      </c>
      <c r="N208" s="204">
        <v>32</v>
      </c>
      <c r="O208" s="204"/>
      <c r="P208" s="204">
        <v>21</v>
      </c>
      <c r="Q208" s="204">
        <v>83</v>
      </c>
      <c r="R208" s="204"/>
      <c r="S208" s="204"/>
      <c r="T208" s="204"/>
      <c r="U208" s="204"/>
      <c r="V208" s="204"/>
      <c r="W208" s="204"/>
      <c r="X208" s="204"/>
      <c r="Y208" s="204"/>
      <c r="Z208" s="204"/>
      <c r="AA208" s="204"/>
      <c r="AB208" s="183">
        <f t="shared" si="29"/>
        <v>136</v>
      </c>
      <c r="AC208" s="204"/>
      <c r="AD208" s="204">
        <v>15</v>
      </c>
      <c r="AE208" s="204"/>
      <c r="AF208" s="204">
        <v>13</v>
      </c>
      <c r="AG208" s="204">
        <v>10</v>
      </c>
      <c r="AH208" s="204"/>
      <c r="AI208" s="204"/>
      <c r="AJ208" s="204">
        <v>2</v>
      </c>
      <c r="AK208" s="204"/>
      <c r="AL208" s="204">
        <v>5</v>
      </c>
      <c r="AM208" s="204"/>
      <c r="AN208" s="204">
        <v>40</v>
      </c>
      <c r="AO208" s="204"/>
      <c r="AP208" s="204"/>
      <c r="AQ208" s="204"/>
      <c r="AR208" s="149">
        <f t="shared" si="27"/>
        <v>38000</v>
      </c>
      <c r="AS208" s="150">
        <f t="shared" si="28"/>
        <v>6</v>
      </c>
      <c r="AT208" s="150">
        <f t="shared" si="30"/>
        <v>4222.2222222222226</v>
      </c>
      <c r="AU208" s="183">
        <f t="shared" si="31"/>
        <v>136</v>
      </c>
      <c r="AV208" s="183">
        <v>9</v>
      </c>
      <c r="AW208" s="135">
        <f t="shared" si="32"/>
        <v>6.6176470588235295E-2</v>
      </c>
      <c r="AX208" s="205">
        <v>31</v>
      </c>
      <c r="AY208" s="136">
        <f t="shared" si="26"/>
        <v>0.22500000000000001</v>
      </c>
      <c r="AZ208" s="206">
        <v>1.1000000000000001</v>
      </c>
      <c r="BA208" s="206">
        <v>1</v>
      </c>
      <c r="BB208" s="204">
        <v>55000</v>
      </c>
      <c r="BC208" s="179">
        <v>2797</v>
      </c>
    </row>
    <row r="209" spans="1:55" ht="21">
      <c r="A209">
        <v>9</v>
      </c>
      <c r="B209" s="121" t="s">
        <v>21</v>
      </c>
      <c r="C209" s="155" t="s">
        <v>27</v>
      </c>
      <c r="D209" s="204">
        <v>2</v>
      </c>
      <c r="E209" s="204">
        <v>1</v>
      </c>
      <c r="F209" s="204">
        <v>1</v>
      </c>
      <c r="G209" s="204"/>
      <c r="H209" s="204">
        <v>1</v>
      </c>
      <c r="I209" s="204"/>
      <c r="J209" s="204"/>
      <c r="K209" s="204">
        <v>1</v>
      </c>
      <c r="L209" s="204">
        <v>6</v>
      </c>
      <c r="M209" s="204">
        <v>54</v>
      </c>
      <c r="N209" s="204">
        <v>35</v>
      </c>
      <c r="O209" s="204">
        <v>2</v>
      </c>
      <c r="P209" s="204">
        <v>90</v>
      </c>
      <c r="Q209" s="204">
        <v>25</v>
      </c>
      <c r="R209" s="204"/>
      <c r="S209" s="204"/>
      <c r="T209" s="204">
        <v>1</v>
      </c>
      <c r="U209" s="204"/>
      <c r="V209" s="204">
        <v>1</v>
      </c>
      <c r="W209" s="204"/>
      <c r="X209" s="204"/>
      <c r="Y209" s="204"/>
      <c r="Z209" s="204"/>
      <c r="AA209" s="204"/>
      <c r="AB209" s="183">
        <f t="shared" si="29"/>
        <v>154</v>
      </c>
      <c r="AC209" s="204"/>
      <c r="AD209" s="204">
        <v>20</v>
      </c>
      <c r="AE209" s="204">
        <v>5</v>
      </c>
      <c r="AF209" s="204">
        <v>28</v>
      </c>
      <c r="AG209" s="204">
        <v>12</v>
      </c>
      <c r="AH209" s="204"/>
      <c r="AI209" s="204"/>
      <c r="AJ209" s="204">
        <v>1</v>
      </c>
      <c r="AK209" s="204"/>
      <c r="AL209" s="204">
        <v>50</v>
      </c>
      <c r="AM209" s="204"/>
      <c r="AN209" s="204"/>
      <c r="AO209" s="204"/>
      <c r="AP209" s="204"/>
      <c r="AQ209" s="204"/>
      <c r="AR209" s="149">
        <f t="shared" si="27"/>
        <v>65000</v>
      </c>
      <c r="AS209" s="150">
        <f t="shared" si="28"/>
        <v>6</v>
      </c>
      <c r="AT209" s="150">
        <f t="shared" si="30"/>
        <v>6500</v>
      </c>
      <c r="AU209" s="183">
        <f t="shared" si="31"/>
        <v>154</v>
      </c>
      <c r="AV209" s="183">
        <v>10</v>
      </c>
      <c r="AW209" s="135">
        <f t="shared" si="32"/>
        <v>6.4935064935064929E-2</v>
      </c>
      <c r="AX209" s="205">
        <v>160</v>
      </c>
      <c r="AY209" s="136">
        <f t="shared" si="26"/>
        <v>5.8823529411764705E-2</v>
      </c>
      <c r="AZ209" s="206">
        <v>0.7</v>
      </c>
      <c r="BA209" s="206">
        <v>0.25</v>
      </c>
      <c r="BB209" s="204">
        <v>62000</v>
      </c>
      <c r="BC209" s="179">
        <v>4073</v>
      </c>
    </row>
    <row r="210" spans="1:55" ht="21">
      <c r="A210">
        <v>9</v>
      </c>
      <c r="B210" s="121" t="s">
        <v>70</v>
      </c>
      <c r="C210" s="155" t="s">
        <v>73</v>
      </c>
      <c r="D210" s="204">
        <v>1</v>
      </c>
      <c r="E210" s="204">
        <v>1</v>
      </c>
      <c r="F210" s="204"/>
      <c r="G210" s="204"/>
      <c r="H210" s="204">
        <v>2</v>
      </c>
      <c r="I210" s="204">
        <v>1</v>
      </c>
      <c r="J210" s="204"/>
      <c r="K210" s="204">
        <v>1</v>
      </c>
      <c r="L210" s="204">
        <v>6</v>
      </c>
      <c r="M210" s="204">
        <v>14</v>
      </c>
      <c r="N210" s="204">
        <v>37</v>
      </c>
      <c r="O210" s="204">
        <v>9</v>
      </c>
      <c r="P210" s="204">
        <v>10</v>
      </c>
      <c r="Q210" s="204">
        <v>25</v>
      </c>
      <c r="R210" s="204"/>
      <c r="S210" s="204">
        <v>7</v>
      </c>
      <c r="T210" s="204"/>
      <c r="U210" s="204"/>
      <c r="V210" s="204"/>
      <c r="W210" s="204"/>
      <c r="X210" s="204"/>
      <c r="Y210" s="204"/>
      <c r="Z210" s="204"/>
      <c r="AA210" s="204"/>
      <c r="AB210" s="183">
        <f t="shared" si="29"/>
        <v>88</v>
      </c>
      <c r="AC210" s="204"/>
      <c r="AD210" s="204">
        <v>81</v>
      </c>
      <c r="AE210" s="204">
        <v>3</v>
      </c>
      <c r="AF210" s="204">
        <v>6</v>
      </c>
      <c r="AG210" s="204">
        <v>11</v>
      </c>
      <c r="AH210" s="204">
        <v>1</v>
      </c>
      <c r="AI210" s="204">
        <v>3</v>
      </c>
      <c r="AJ210" s="204">
        <v>1</v>
      </c>
      <c r="AK210" s="204"/>
      <c r="AL210" s="204"/>
      <c r="AM210" s="204"/>
      <c r="AN210" s="204"/>
      <c r="AO210" s="204"/>
      <c r="AP210" s="204"/>
      <c r="AQ210" s="204"/>
      <c r="AR210" s="149">
        <f t="shared" si="27"/>
        <v>105000</v>
      </c>
      <c r="AS210" s="150">
        <f t="shared" si="28"/>
        <v>7</v>
      </c>
      <c r="AT210" s="150">
        <f t="shared" si="30"/>
        <v>10500</v>
      </c>
      <c r="AU210" s="183">
        <f t="shared" si="31"/>
        <v>88</v>
      </c>
      <c r="AV210" s="183">
        <v>10</v>
      </c>
      <c r="AW210" s="135">
        <f t="shared" si="32"/>
        <v>0.11363636363636363</v>
      </c>
      <c r="AX210" s="205">
        <v>33</v>
      </c>
      <c r="AY210" s="136">
        <f t="shared" si="26"/>
        <v>0.23255813953488372</v>
      </c>
      <c r="AZ210" s="206">
        <v>1.19</v>
      </c>
      <c r="BA210" s="206">
        <v>1</v>
      </c>
      <c r="BB210" s="204">
        <v>37000</v>
      </c>
      <c r="BC210" s="179">
        <v>8576</v>
      </c>
    </row>
    <row r="211" spans="1:55" ht="21">
      <c r="A211">
        <v>9</v>
      </c>
      <c r="B211" s="121" t="s">
        <v>21</v>
      </c>
      <c r="C211" s="155" t="s">
        <v>30</v>
      </c>
      <c r="D211" s="204">
        <v>2</v>
      </c>
      <c r="E211" s="204"/>
      <c r="F211" s="204">
        <v>1</v>
      </c>
      <c r="G211" s="204"/>
      <c r="H211" s="204"/>
      <c r="I211" s="204"/>
      <c r="J211" s="204"/>
      <c r="K211" s="204">
        <v>1</v>
      </c>
      <c r="L211" s="204">
        <v>4</v>
      </c>
      <c r="M211" s="204">
        <v>115</v>
      </c>
      <c r="N211" s="204"/>
      <c r="O211" s="204">
        <v>16</v>
      </c>
      <c r="P211" s="204">
        <v>12</v>
      </c>
      <c r="Q211" s="204">
        <v>24</v>
      </c>
      <c r="R211" s="204"/>
      <c r="S211" s="204">
        <v>9</v>
      </c>
      <c r="T211" s="204"/>
      <c r="U211" s="204"/>
      <c r="V211" s="204"/>
      <c r="W211" s="204"/>
      <c r="X211" s="204"/>
      <c r="Y211" s="204"/>
      <c r="Z211" s="204"/>
      <c r="AA211" s="204"/>
      <c r="AB211" s="183">
        <f t="shared" si="29"/>
        <v>61</v>
      </c>
      <c r="AC211" s="204"/>
      <c r="AD211" s="204"/>
      <c r="AE211" s="204">
        <v>15</v>
      </c>
      <c r="AF211" s="204">
        <v>19</v>
      </c>
      <c r="AG211" s="204">
        <v>23</v>
      </c>
      <c r="AH211" s="204"/>
      <c r="AI211" s="204">
        <v>8</v>
      </c>
      <c r="AJ211" s="204">
        <v>0.4</v>
      </c>
      <c r="AK211" s="204"/>
      <c r="AL211" s="204"/>
      <c r="AM211" s="204"/>
      <c r="AN211" s="204"/>
      <c r="AO211" s="204"/>
      <c r="AP211" s="204"/>
      <c r="AQ211" s="204"/>
      <c r="AR211" s="149">
        <f t="shared" si="27"/>
        <v>65000</v>
      </c>
      <c r="AS211" s="150">
        <f t="shared" si="28"/>
        <v>5</v>
      </c>
      <c r="AT211" s="150">
        <f t="shared" si="30"/>
        <v>8125</v>
      </c>
      <c r="AU211" s="183">
        <f t="shared" si="31"/>
        <v>61</v>
      </c>
      <c r="AV211" s="183">
        <v>8</v>
      </c>
      <c r="AW211" s="135">
        <f t="shared" si="32"/>
        <v>0.13114754098360656</v>
      </c>
      <c r="AX211" s="205">
        <v>84</v>
      </c>
      <c r="AY211" s="136">
        <f t="shared" si="26"/>
        <v>8.6956521739130432E-2</v>
      </c>
      <c r="AZ211" s="206">
        <v>0.8</v>
      </c>
      <c r="BA211" s="206">
        <v>0.5</v>
      </c>
      <c r="BB211" s="204">
        <v>67000</v>
      </c>
      <c r="BC211" s="179">
        <v>4148</v>
      </c>
    </row>
    <row r="212" spans="1:55" ht="21">
      <c r="A212">
        <v>9</v>
      </c>
      <c r="B212" s="121" t="s">
        <v>70</v>
      </c>
      <c r="C212" s="155" t="s">
        <v>85</v>
      </c>
      <c r="D212" s="204">
        <v>1</v>
      </c>
      <c r="E212" s="204">
        <v>1</v>
      </c>
      <c r="F212" s="204">
        <v>1</v>
      </c>
      <c r="G212" s="204"/>
      <c r="H212" s="204">
        <v>1</v>
      </c>
      <c r="I212" s="204">
        <v>1</v>
      </c>
      <c r="J212" s="204">
        <v>1</v>
      </c>
      <c r="K212" s="204"/>
      <c r="L212" s="204">
        <v>6</v>
      </c>
      <c r="M212" s="204">
        <v>7</v>
      </c>
      <c r="N212" s="204">
        <v>3</v>
      </c>
      <c r="O212" s="204"/>
      <c r="P212" s="204">
        <v>21</v>
      </c>
      <c r="Q212" s="204">
        <v>58</v>
      </c>
      <c r="R212" s="204"/>
      <c r="S212" s="204"/>
      <c r="T212" s="204">
        <v>4</v>
      </c>
      <c r="U212" s="204"/>
      <c r="V212" s="204"/>
      <c r="W212" s="204"/>
      <c r="X212" s="204"/>
      <c r="Y212" s="204"/>
      <c r="Z212" s="204"/>
      <c r="AA212" s="204"/>
      <c r="AB212" s="183">
        <f t="shared" si="29"/>
        <v>86</v>
      </c>
      <c r="AC212" s="204"/>
      <c r="AD212" s="204">
        <v>0.9</v>
      </c>
      <c r="AE212" s="204"/>
      <c r="AF212" s="204">
        <v>6.3</v>
      </c>
      <c r="AG212" s="204">
        <v>17.399999999999999</v>
      </c>
      <c r="AH212" s="204"/>
      <c r="AI212" s="204"/>
      <c r="AJ212" s="204"/>
      <c r="AK212" s="204"/>
      <c r="AL212" s="204"/>
      <c r="AM212" s="204"/>
      <c r="AN212" s="204"/>
      <c r="AO212" s="204"/>
      <c r="AP212" s="204"/>
      <c r="AQ212" s="204"/>
      <c r="AR212" s="149">
        <f t="shared" si="27"/>
        <v>24599.999999999996</v>
      </c>
      <c r="AS212" s="150">
        <f t="shared" si="28"/>
        <v>3</v>
      </c>
      <c r="AT212" s="150">
        <f t="shared" si="30"/>
        <v>946.15384615384596</v>
      </c>
      <c r="AU212" s="183">
        <f t="shared" si="31"/>
        <v>86</v>
      </c>
      <c r="AV212" s="183">
        <v>26</v>
      </c>
      <c r="AW212" s="135">
        <f t="shared" si="32"/>
        <v>0.30232558139534882</v>
      </c>
      <c r="AX212" s="205">
        <v>115</v>
      </c>
      <c r="AY212" s="136">
        <f t="shared" si="26"/>
        <v>0.18439716312056736</v>
      </c>
      <c r="AZ212" s="206">
        <v>1.04</v>
      </c>
      <c r="BA212" s="206">
        <v>1</v>
      </c>
      <c r="BB212" s="204">
        <v>25000</v>
      </c>
      <c r="BC212" s="179">
        <v>7457</v>
      </c>
    </row>
    <row r="213" spans="1:55" ht="21">
      <c r="A213">
        <v>9</v>
      </c>
      <c r="B213" s="121" t="s">
        <v>21</v>
      </c>
      <c r="C213" s="155" t="s">
        <v>45</v>
      </c>
      <c r="D213" s="204">
        <v>1</v>
      </c>
      <c r="E213" s="204">
        <v>1</v>
      </c>
      <c r="F213" s="204">
        <v>1</v>
      </c>
      <c r="G213" s="204"/>
      <c r="H213" s="204"/>
      <c r="I213" s="204"/>
      <c r="J213" s="204"/>
      <c r="K213" s="204"/>
      <c r="L213" s="204">
        <v>3</v>
      </c>
      <c r="M213" s="204">
        <v>53</v>
      </c>
      <c r="N213" s="204"/>
      <c r="O213" s="204"/>
      <c r="P213" s="204">
        <v>23</v>
      </c>
      <c r="Q213" s="204">
        <v>37</v>
      </c>
      <c r="R213" s="204"/>
      <c r="S213" s="204"/>
      <c r="T213" s="204"/>
      <c r="U213" s="204"/>
      <c r="V213" s="204"/>
      <c r="W213" s="204"/>
      <c r="X213" s="204"/>
      <c r="Y213" s="204"/>
      <c r="Z213" s="204"/>
      <c r="AA213" s="204"/>
      <c r="AB213" s="183">
        <f t="shared" si="29"/>
        <v>60</v>
      </c>
      <c r="AC213" s="204"/>
      <c r="AD213" s="204">
        <v>14</v>
      </c>
      <c r="AE213" s="204">
        <v>3</v>
      </c>
      <c r="AF213" s="204">
        <v>20</v>
      </c>
      <c r="AG213" s="204">
        <v>40</v>
      </c>
      <c r="AH213" s="204">
        <v>2</v>
      </c>
      <c r="AI213" s="204"/>
      <c r="AJ213" s="204">
        <v>2</v>
      </c>
      <c r="AK213" s="204"/>
      <c r="AL213" s="204"/>
      <c r="AM213" s="204"/>
      <c r="AN213" s="204"/>
      <c r="AO213" s="204"/>
      <c r="AP213" s="204"/>
      <c r="AQ213" s="204"/>
      <c r="AR213" s="149">
        <f t="shared" si="27"/>
        <v>79000</v>
      </c>
      <c r="AS213" s="150">
        <f t="shared" si="28"/>
        <v>6</v>
      </c>
      <c r="AT213" s="150">
        <f t="shared" si="30"/>
        <v>39500</v>
      </c>
      <c r="AU213" s="183">
        <f t="shared" si="31"/>
        <v>60</v>
      </c>
      <c r="AV213" s="183">
        <v>2</v>
      </c>
      <c r="AW213" s="135">
        <f t="shared" si="32"/>
        <v>3.3333333333333333E-2</v>
      </c>
      <c r="AX213" s="205">
        <v>173</v>
      </c>
      <c r="AY213" s="136">
        <f t="shared" si="26"/>
        <v>1.1428571428571429E-2</v>
      </c>
      <c r="AZ213" s="206">
        <v>1</v>
      </c>
      <c r="BA213" s="206">
        <v>1</v>
      </c>
      <c r="BB213" s="204">
        <v>85000</v>
      </c>
      <c r="BC213" s="179">
        <v>6244</v>
      </c>
    </row>
    <row r="214" spans="1:55" ht="21">
      <c r="A214">
        <v>9</v>
      </c>
      <c r="B214" s="121" t="s">
        <v>21</v>
      </c>
      <c r="C214" s="155" t="s">
        <v>20</v>
      </c>
      <c r="D214" s="204">
        <v>1</v>
      </c>
      <c r="E214" s="204">
        <v>1</v>
      </c>
      <c r="F214" s="204"/>
      <c r="G214" s="204"/>
      <c r="H214" s="204">
        <v>1</v>
      </c>
      <c r="I214" s="204"/>
      <c r="J214" s="204">
        <v>1</v>
      </c>
      <c r="K214" s="204">
        <v>1</v>
      </c>
      <c r="L214" s="204">
        <v>5</v>
      </c>
      <c r="M214" s="204">
        <v>103</v>
      </c>
      <c r="N214" s="204">
        <v>37</v>
      </c>
      <c r="O214" s="204">
        <v>0</v>
      </c>
      <c r="P214" s="204">
        <v>79</v>
      </c>
      <c r="Q214" s="204">
        <v>27</v>
      </c>
      <c r="R214" s="204">
        <v>1</v>
      </c>
      <c r="S214" s="204">
        <v>8</v>
      </c>
      <c r="T214" s="204">
        <v>0</v>
      </c>
      <c r="U214" s="204"/>
      <c r="V214" s="204"/>
      <c r="W214" s="204"/>
      <c r="X214" s="204"/>
      <c r="Y214" s="204">
        <v>0</v>
      </c>
      <c r="Z214" s="204"/>
      <c r="AA214" s="204">
        <v>78</v>
      </c>
      <c r="AB214" s="183">
        <f t="shared" si="29"/>
        <v>230</v>
      </c>
      <c r="AC214" s="204"/>
      <c r="AD214" s="204">
        <v>103.215</v>
      </c>
      <c r="AE214" s="204">
        <v>18</v>
      </c>
      <c r="AF214" s="204">
        <v>56.5</v>
      </c>
      <c r="AG214" s="204">
        <v>42</v>
      </c>
      <c r="AH214" s="204"/>
      <c r="AI214" s="204"/>
      <c r="AJ214" s="204">
        <v>1.2809999999999999</v>
      </c>
      <c r="AK214" s="204"/>
      <c r="AL214" s="204"/>
      <c r="AM214" s="204"/>
      <c r="AN214" s="204"/>
      <c r="AO214" s="204">
        <v>3.6</v>
      </c>
      <c r="AP214" s="204"/>
      <c r="AQ214" s="204"/>
      <c r="AR214" s="149">
        <f t="shared" si="27"/>
        <v>219715</v>
      </c>
      <c r="AS214" s="150">
        <f t="shared" si="28"/>
        <v>6</v>
      </c>
      <c r="AT214" s="150">
        <f t="shared" si="30"/>
        <v>7846.9642857142853</v>
      </c>
      <c r="AU214" s="183">
        <f t="shared" si="31"/>
        <v>230</v>
      </c>
      <c r="AV214" s="183">
        <v>28</v>
      </c>
      <c r="AW214" s="135">
        <f t="shared" si="32"/>
        <v>0.12173913043478261</v>
      </c>
      <c r="AX214" s="205">
        <v>272</v>
      </c>
      <c r="AY214" s="136">
        <f t="shared" si="26"/>
        <v>9.3333333333333338E-2</v>
      </c>
      <c r="AZ214" s="206">
        <v>1.1000000000000001</v>
      </c>
      <c r="BA214" s="206">
        <v>1</v>
      </c>
      <c r="BB214" s="204">
        <v>277000</v>
      </c>
      <c r="BC214" s="179">
        <v>18017</v>
      </c>
    </row>
    <row r="215" spans="1:55" ht="21">
      <c r="A215">
        <v>9</v>
      </c>
      <c r="B215" s="121" t="s">
        <v>139</v>
      </c>
      <c r="C215" s="155" t="s">
        <v>54</v>
      </c>
      <c r="D215" s="204">
        <v>1</v>
      </c>
      <c r="E215" s="204"/>
      <c r="F215" s="204"/>
      <c r="G215" s="204"/>
      <c r="H215" s="204">
        <v>1</v>
      </c>
      <c r="I215" s="204">
        <v>1</v>
      </c>
      <c r="J215" s="204">
        <v>1</v>
      </c>
      <c r="K215" s="204"/>
      <c r="L215" s="204">
        <v>4</v>
      </c>
      <c r="M215" s="204">
        <v>57</v>
      </c>
      <c r="N215" s="204">
        <v>64</v>
      </c>
      <c r="O215" s="204">
        <v>6</v>
      </c>
      <c r="P215" s="204">
        <v>25</v>
      </c>
      <c r="Q215" s="204">
        <v>93</v>
      </c>
      <c r="R215" s="204"/>
      <c r="S215" s="204">
        <v>26</v>
      </c>
      <c r="T215" s="204"/>
      <c r="U215" s="204"/>
      <c r="V215" s="204"/>
      <c r="W215" s="204"/>
      <c r="X215" s="204"/>
      <c r="Y215" s="204">
        <v>0</v>
      </c>
      <c r="Z215" s="204"/>
      <c r="AA215" s="204"/>
      <c r="AB215" s="183">
        <f t="shared" si="29"/>
        <v>214</v>
      </c>
      <c r="AC215" s="204"/>
      <c r="AD215" s="204">
        <v>55</v>
      </c>
      <c r="AE215" s="204">
        <v>5</v>
      </c>
      <c r="AF215" s="204">
        <v>15</v>
      </c>
      <c r="AG215" s="204">
        <v>23</v>
      </c>
      <c r="AH215" s="204"/>
      <c r="AI215" s="204">
        <v>9</v>
      </c>
      <c r="AJ215" s="204"/>
      <c r="AK215" s="204"/>
      <c r="AL215" s="204">
        <v>6</v>
      </c>
      <c r="AM215" s="204"/>
      <c r="AN215" s="204"/>
      <c r="AO215" s="204">
        <v>67</v>
      </c>
      <c r="AP215" s="204"/>
      <c r="AQ215" s="204"/>
      <c r="AR215" s="149">
        <f t="shared" si="27"/>
        <v>107000</v>
      </c>
      <c r="AS215" s="150">
        <f t="shared" si="28"/>
        <v>7</v>
      </c>
      <c r="AT215" s="150">
        <f t="shared" si="30"/>
        <v>7133.333333333333</v>
      </c>
      <c r="AU215" s="183">
        <f t="shared" si="31"/>
        <v>214</v>
      </c>
      <c r="AV215" s="183">
        <v>15</v>
      </c>
      <c r="AW215" s="135">
        <f t="shared" si="32"/>
        <v>7.0093457943925228E-2</v>
      </c>
      <c r="AX215" s="205">
        <v>177</v>
      </c>
      <c r="AY215" s="136">
        <f t="shared" si="26"/>
        <v>7.8125E-2</v>
      </c>
      <c r="AZ215" s="206">
        <v>1.1299999999999999</v>
      </c>
      <c r="BA215" s="206">
        <v>1</v>
      </c>
      <c r="BB215" s="204">
        <v>109000</v>
      </c>
      <c r="BC215" s="179">
        <v>45010</v>
      </c>
    </row>
    <row r="216" spans="1:55" ht="21">
      <c r="A216">
        <v>9</v>
      </c>
      <c r="B216" s="121" t="s">
        <v>70</v>
      </c>
      <c r="C216" s="155" t="s">
        <v>86</v>
      </c>
      <c r="D216" s="204"/>
      <c r="E216" s="204"/>
      <c r="F216" s="204">
        <v>1</v>
      </c>
      <c r="G216" s="204">
        <v>1</v>
      </c>
      <c r="H216" s="204">
        <v>1</v>
      </c>
      <c r="I216" s="204">
        <v>1</v>
      </c>
      <c r="J216" s="204">
        <v>2</v>
      </c>
      <c r="K216" s="204">
        <v>1</v>
      </c>
      <c r="L216" s="204">
        <v>7</v>
      </c>
      <c r="M216" s="204">
        <v>41</v>
      </c>
      <c r="N216" s="204">
        <v>27</v>
      </c>
      <c r="O216" s="204"/>
      <c r="P216" s="204">
        <v>54</v>
      </c>
      <c r="Q216" s="204">
        <v>63</v>
      </c>
      <c r="R216" s="204"/>
      <c r="S216" s="204">
        <v>10</v>
      </c>
      <c r="T216" s="204"/>
      <c r="U216" s="204"/>
      <c r="V216" s="204"/>
      <c r="W216" s="204"/>
      <c r="X216" s="204"/>
      <c r="Y216" s="204"/>
      <c r="Z216" s="204"/>
      <c r="AA216" s="204">
        <v>32</v>
      </c>
      <c r="AB216" s="183">
        <f t="shared" si="29"/>
        <v>186</v>
      </c>
      <c r="AC216" s="204"/>
      <c r="AD216" s="204">
        <v>27</v>
      </c>
      <c r="AE216" s="204"/>
      <c r="AF216" s="204">
        <v>14</v>
      </c>
      <c r="AG216" s="204">
        <v>5</v>
      </c>
      <c r="AH216" s="204"/>
      <c r="AI216" s="204"/>
      <c r="AJ216" s="204">
        <v>1</v>
      </c>
      <c r="AK216" s="204"/>
      <c r="AL216" s="204"/>
      <c r="AM216" s="204"/>
      <c r="AN216" s="204">
        <v>3</v>
      </c>
      <c r="AO216" s="204">
        <v>50</v>
      </c>
      <c r="AP216" s="204"/>
      <c r="AQ216" s="204"/>
      <c r="AR216" s="149">
        <f t="shared" si="27"/>
        <v>46000</v>
      </c>
      <c r="AS216" s="150">
        <f t="shared" si="28"/>
        <v>6</v>
      </c>
      <c r="AT216" s="150">
        <f t="shared" si="30"/>
        <v>3285.7142857142858</v>
      </c>
      <c r="AU216" s="183">
        <f t="shared" si="31"/>
        <v>186</v>
      </c>
      <c r="AV216" s="183">
        <v>14</v>
      </c>
      <c r="AW216" s="135">
        <f t="shared" si="32"/>
        <v>7.5268817204301078E-2</v>
      </c>
      <c r="AX216" s="205">
        <v>53</v>
      </c>
      <c r="AY216" s="136">
        <f t="shared" si="26"/>
        <v>0.20895522388059701</v>
      </c>
      <c r="AZ216" s="206">
        <v>1.06</v>
      </c>
      <c r="BA216" s="206">
        <v>1</v>
      </c>
      <c r="BB216" s="204">
        <v>42000</v>
      </c>
      <c r="BC216" s="179">
        <v>4822</v>
      </c>
    </row>
    <row r="217" spans="1:55" ht="21">
      <c r="A217">
        <v>9</v>
      </c>
      <c r="B217" s="121" t="s">
        <v>139</v>
      </c>
      <c r="C217" s="155" t="s">
        <v>50</v>
      </c>
      <c r="D217" s="204">
        <v>1</v>
      </c>
      <c r="E217" s="204">
        <v>1</v>
      </c>
      <c r="F217" s="204"/>
      <c r="G217" s="204"/>
      <c r="H217" s="204">
        <v>1</v>
      </c>
      <c r="I217" s="204">
        <v>1</v>
      </c>
      <c r="J217" s="204"/>
      <c r="K217" s="204">
        <v>1</v>
      </c>
      <c r="L217" s="204">
        <v>5</v>
      </c>
      <c r="M217" s="204">
        <v>54</v>
      </c>
      <c r="N217" s="204">
        <v>30</v>
      </c>
      <c r="O217" s="204">
        <v>0</v>
      </c>
      <c r="P217" s="204">
        <v>19</v>
      </c>
      <c r="Q217" s="204">
        <v>37</v>
      </c>
      <c r="R217" s="204"/>
      <c r="S217" s="204"/>
      <c r="T217" s="204">
        <v>0</v>
      </c>
      <c r="U217" s="204"/>
      <c r="V217" s="204">
        <v>0</v>
      </c>
      <c r="W217" s="204"/>
      <c r="X217" s="204"/>
      <c r="Y217" s="204"/>
      <c r="Z217" s="204"/>
      <c r="AA217" s="204"/>
      <c r="AB217" s="183">
        <f t="shared" si="29"/>
        <v>86</v>
      </c>
      <c r="AC217" s="204"/>
      <c r="AD217" s="204">
        <v>22.8</v>
      </c>
      <c r="AE217" s="204">
        <v>5</v>
      </c>
      <c r="AF217" s="204">
        <v>37</v>
      </c>
      <c r="AG217" s="204">
        <v>9.6</v>
      </c>
      <c r="AH217" s="204"/>
      <c r="AI217" s="204"/>
      <c r="AJ217" s="204">
        <v>3.3</v>
      </c>
      <c r="AK217" s="204"/>
      <c r="AL217" s="204">
        <v>5</v>
      </c>
      <c r="AM217" s="204"/>
      <c r="AN217" s="204"/>
      <c r="AO217" s="204"/>
      <c r="AP217" s="204"/>
      <c r="AQ217" s="204"/>
      <c r="AR217" s="149">
        <f t="shared" si="27"/>
        <v>74399.999999999985</v>
      </c>
      <c r="AS217" s="150">
        <f t="shared" si="28"/>
        <v>6</v>
      </c>
      <c r="AT217" s="150">
        <f t="shared" si="30"/>
        <v>14879.999999999996</v>
      </c>
      <c r="AU217" s="183">
        <f t="shared" si="31"/>
        <v>86</v>
      </c>
      <c r="AV217" s="183">
        <v>5</v>
      </c>
      <c r="AW217" s="135">
        <f t="shared" si="32"/>
        <v>5.8139534883720929E-2</v>
      </c>
      <c r="AX217" s="205">
        <v>70</v>
      </c>
      <c r="AY217" s="136">
        <f t="shared" si="26"/>
        <v>6.6666666666666666E-2</v>
      </c>
      <c r="AZ217" s="206">
        <v>0.85</v>
      </c>
      <c r="BA217" s="206">
        <v>0.5</v>
      </c>
      <c r="BB217" s="204">
        <v>84000</v>
      </c>
      <c r="BC217" s="179">
        <v>5147</v>
      </c>
    </row>
    <row r="218" spans="1:55" ht="21">
      <c r="A218">
        <v>9</v>
      </c>
      <c r="B218" s="121" t="s">
        <v>70</v>
      </c>
      <c r="C218" s="155" t="s">
        <v>88</v>
      </c>
      <c r="D218" s="204"/>
      <c r="E218" s="204"/>
      <c r="F218" s="204">
        <v>1</v>
      </c>
      <c r="G218" s="204"/>
      <c r="H218" s="204"/>
      <c r="I218" s="204">
        <v>1</v>
      </c>
      <c r="J218" s="204">
        <v>1</v>
      </c>
      <c r="K218" s="204">
        <v>1</v>
      </c>
      <c r="L218" s="204">
        <v>4</v>
      </c>
      <c r="M218" s="204">
        <v>10</v>
      </c>
      <c r="N218" s="204">
        <v>41</v>
      </c>
      <c r="O218" s="204">
        <v>0</v>
      </c>
      <c r="P218" s="204">
        <v>30</v>
      </c>
      <c r="Q218" s="204">
        <v>81</v>
      </c>
      <c r="R218" s="204">
        <v>0</v>
      </c>
      <c r="S218" s="204">
        <v>0</v>
      </c>
      <c r="T218" s="204">
        <v>0</v>
      </c>
      <c r="U218" s="204"/>
      <c r="V218" s="204">
        <v>0</v>
      </c>
      <c r="W218" s="204"/>
      <c r="X218" s="204">
        <v>0</v>
      </c>
      <c r="Y218" s="204">
        <v>0</v>
      </c>
      <c r="Z218" s="204"/>
      <c r="AA218" s="204"/>
      <c r="AB218" s="183">
        <f t="shared" si="29"/>
        <v>152</v>
      </c>
      <c r="AC218" s="204"/>
      <c r="AD218" s="204">
        <v>10</v>
      </c>
      <c r="AE218" s="204">
        <v>6</v>
      </c>
      <c r="AF218" s="204">
        <v>20</v>
      </c>
      <c r="AG218" s="204">
        <v>30</v>
      </c>
      <c r="AH218" s="204">
        <v>5</v>
      </c>
      <c r="AI218" s="204">
        <v>3</v>
      </c>
      <c r="AJ218" s="204">
        <v>1</v>
      </c>
      <c r="AK218" s="204"/>
      <c r="AL218" s="204">
        <v>25</v>
      </c>
      <c r="AM218" s="204"/>
      <c r="AN218" s="204">
        <v>8</v>
      </c>
      <c r="AO218" s="204">
        <v>10</v>
      </c>
      <c r="AP218" s="204"/>
      <c r="AQ218" s="204"/>
      <c r="AR218" s="149">
        <f t="shared" si="27"/>
        <v>74000</v>
      </c>
      <c r="AS218" s="150">
        <f t="shared" si="28"/>
        <v>10</v>
      </c>
      <c r="AT218" s="150">
        <f t="shared" si="30"/>
        <v>5285.7142857142853</v>
      </c>
      <c r="AU218" s="183">
        <f t="shared" si="31"/>
        <v>152</v>
      </c>
      <c r="AV218" s="183">
        <v>14</v>
      </c>
      <c r="AW218" s="135">
        <f t="shared" si="32"/>
        <v>9.2105263157894732E-2</v>
      </c>
      <c r="AX218" s="205">
        <v>60</v>
      </c>
      <c r="AY218" s="136">
        <f t="shared" si="26"/>
        <v>0.1891891891891892</v>
      </c>
      <c r="AZ218" s="206">
        <v>1.27</v>
      </c>
      <c r="BA218" s="206">
        <v>1</v>
      </c>
      <c r="BB218" s="204">
        <v>80000</v>
      </c>
      <c r="BC218" s="179">
        <v>5304</v>
      </c>
    </row>
    <row r="219" spans="1:55" ht="21">
      <c r="A219">
        <v>9</v>
      </c>
      <c r="B219" s="121" t="s">
        <v>21</v>
      </c>
      <c r="C219" s="155" t="s">
        <v>33</v>
      </c>
      <c r="D219" s="204"/>
      <c r="E219" s="204"/>
      <c r="F219" s="204"/>
      <c r="G219" s="204"/>
      <c r="H219" s="204">
        <v>1</v>
      </c>
      <c r="I219" s="204"/>
      <c r="J219" s="204">
        <v>2</v>
      </c>
      <c r="K219" s="204">
        <v>1</v>
      </c>
      <c r="L219" s="204">
        <v>4</v>
      </c>
      <c r="M219" s="204">
        <v>42</v>
      </c>
      <c r="N219" s="204">
        <v>6</v>
      </c>
      <c r="O219" s="204"/>
      <c r="P219" s="204">
        <v>112</v>
      </c>
      <c r="Q219" s="204">
        <v>76</v>
      </c>
      <c r="R219" s="204"/>
      <c r="S219" s="204"/>
      <c r="T219" s="204"/>
      <c r="U219" s="204"/>
      <c r="V219" s="204"/>
      <c r="W219" s="204"/>
      <c r="X219" s="204"/>
      <c r="Y219" s="204"/>
      <c r="Z219" s="204"/>
      <c r="AA219" s="204"/>
      <c r="AB219" s="183">
        <f>SUM(N219:AA219)</f>
        <v>194</v>
      </c>
      <c r="AC219" s="204"/>
      <c r="AD219" s="204"/>
      <c r="AE219" s="204"/>
      <c r="AF219" s="204">
        <v>19</v>
      </c>
      <c r="AG219" s="204">
        <v>24</v>
      </c>
      <c r="AH219" s="204"/>
      <c r="AI219" s="204"/>
      <c r="AJ219" s="204"/>
      <c r="AK219" s="204"/>
      <c r="AL219" s="204"/>
      <c r="AM219" s="204"/>
      <c r="AN219" s="204"/>
      <c r="AO219" s="204"/>
      <c r="AP219" s="204"/>
      <c r="AQ219" s="204"/>
      <c r="AR219" s="149">
        <f t="shared" si="27"/>
        <v>43000</v>
      </c>
      <c r="AS219" s="150">
        <f t="shared" si="28"/>
        <v>2</v>
      </c>
      <c r="AT219" s="150">
        <f t="shared" si="30"/>
        <v>1303.030303030303</v>
      </c>
      <c r="AU219" s="183">
        <f t="shared" si="31"/>
        <v>194</v>
      </c>
      <c r="AV219" s="183">
        <v>33</v>
      </c>
      <c r="AW219" s="135">
        <f t="shared" si="32"/>
        <v>0.17010309278350516</v>
      </c>
      <c r="AX219" s="205">
        <v>263</v>
      </c>
      <c r="AY219" s="136">
        <f t="shared" si="26"/>
        <v>0.11148648648648649</v>
      </c>
      <c r="AZ219" s="206">
        <v>1.1000000000000001</v>
      </c>
      <c r="BA219" s="206">
        <v>1</v>
      </c>
      <c r="BB219" s="204">
        <v>43000</v>
      </c>
      <c r="BC219" s="179">
        <v>21235</v>
      </c>
    </row>
    <row r="220" spans="1:55" ht="21">
      <c r="A220">
        <v>9</v>
      </c>
      <c r="B220" s="121" t="s">
        <v>21</v>
      </c>
      <c r="C220" s="155" t="s">
        <v>24</v>
      </c>
      <c r="D220" s="204">
        <v>1</v>
      </c>
      <c r="E220" s="204">
        <v>1</v>
      </c>
      <c r="F220" s="204">
        <v>1</v>
      </c>
      <c r="G220" s="204"/>
      <c r="H220" s="204"/>
      <c r="I220" s="204"/>
      <c r="J220" s="204"/>
      <c r="K220" s="204"/>
      <c r="L220" s="204">
        <v>3</v>
      </c>
      <c r="M220" s="204">
        <v>4</v>
      </c>
      <c r="N220" s="204"/>
      <c r="O220" s="204"/>
      <c r="P220" s="204">
        <v>5</v>
      </c>
      <c r="Q220" s="204">
        <v>60</v>
      </c>
      <c r="R220" s="204"/>
      <c r="S220" s="204">
        <v>2</v>
      </c>
      <c r="T220" s="204"/>
      <c r="U220" s="204"/>
      <c r="V220" s="204"/>
      <c r="W220" s="204"/>
      <c r="X220" s="204"/>
      <c r="Y220" s="204"/>
      <c r="Z220" s="204"/>
      <c r="AA220" s="204">
        <v>8</v>
      </c>
      <c r="AB220" s="183">
        <f t="shared" si="29"/>
        <v>75</v>
      </c>
      <c r="AC220" s="204"/>
      <c r="AD220" s="204"/>
      <c r="AE220" s="204"/>
      <c r="AF220" s="204"/>
      <c r="AG220" s="204">
        <v>24.73</v>
      </c>
      <c r="AH220" s="204"/>
      <c r="AI220" s="204"/>
      <c r="AJ220" s="204">
        <v>0.55000000000000004</v>
      </c>
      <c r="AK220" s="204"/>
      <c r="AL220" s="204"/>
      <c r="AM220" s="204"/>
      <c r="AN220" s="204">
        <v>3</v>
      </c>
      <c r="AO220" s="204"/>
      <c r="AP220" s="204"/>
      <c r="AQ220" s="204"/>
      <c r="AR220" s="149">
        <f t="shared" si="27"/>
        <v>24730</v>
      </c>
      <c r="AS220" s="150">
        <f t="shared" si="28"/>
        <v>3</v>
      </c>
      <c r="AT220" s="150">
        <f t="shared" si="30"/>
        <v>3532.8571428571427</v>
      </c>
      <c r="AU220" s="183">
        <f t="shared" si="31"/>
        <v>75</v>
      </c>
      <c r="AV220" s="183">
        <v>7</v>
      </c>
      <c r="AW220" s="135">
        <f t="shared" si="32"/>
        <v>9.3333333333333338E-2</v>
      </c>
      <c r="AX220" s="205">
        <v>82</v>
      </c>
      <c r="AY220" s="136">
        <f t="shared" si="26"/>
        <v>7.8651685393258425E-2</v>
      </c>
      <c r="AZ220" s="206">
        <v>0.7</v>
      </c>
      <c r="BA220" s="206">
        <v>0.25</v>
      </c>
      <c r="BB220" s="204">
        <v>47000</v>
      </c>
      <c r="BC220" s="179">
        <v>1193</v>
      </c>
    </row>
    <row r="221" spans="1:55" ht="21.6" thickBot="1">
      <c r="A221">
        <v>9</v>
      </c>
      <c r="B221" s="122" t="s">
        <v>70</v>
      </c>
      <c r="C221" s="155" t="s">
        <v>92</v>
      </c>
      <c r="D221" s="204">
        <v>2</v>
      </c>
      <c r="E221" s="204">
        <v>1</v>
      </c>
      <c r="F221" s="204"/>
      <c r="G221" s="204"/>
      <c r="H221" s="204">
        <v>1</v>
      </c>
      <c r="I221" s="204">
        <v>1</v>
      </c>
      <c r="J221" s="204"/>
      <c r="K221" s="204"/>
      <c r="L221" s="204">
        <v>5</v>
      </c>
      <c r="M221" s="204">
        <v>21</v>
      </c>
      <c r="N221" s="204">
        <v>41</v>
      </c>
      <c r="O221" s="204"/>
      <c r="P221" s="204">
        <v>66</v>
      </c>
      <c r="Q221" s="204">
        <v>41</v>
      </c>
      <c r="R221" s="204"/>
      <c r="S221" s="204">
        <v>18</v>
      </c>
      <c r="T221" s="204"/>
      <c r="U221" s="204"/>
      <c r="V221" s="204"/>
      <c r="W221" s="204"/>
      <c r="X221" s="204"/>
      <c r="Y221" s="204"/>
      <c r="Z221" s="204"/>
      <c r="AA221" s="204"/>
      <c r="AB221" s="183">
        <f t="shared" si="29"/>
        <v>166</v>
      </c>
      <c r="AC221" s="204"/>
      <c r="AD221" s="204">
        <v>32</v>
      </c>
      <c r="AE221" s="204"/>
      <c r="AF221" s="204">
        <v>5</v>
      </c>
      <c r="AG221" s="204">
        <v>6</v>
      </c>
      <c r="AH221" s="204">
        <v>1</v>
      </c>
      <c r="AI221" s="204">
        <v>3</v>
      </c>
      <c r="AJ221" s="204">
        <v>2</v>
      </c>
      <c r="AK221" s="204"/>
      <c r="AL221" s="204">
        <v>3</v>
      </c>
      <c r="AM221" s="204"/>
      <c r="AN221" s="204"/>
      <c r="AO221" s="204"/>
      <c r="AP221" s="204"/>
      <c r="AQ221" s="204"/>
      <c r="AR221" s="149">
        <f t="shared" si="27"/>
        <v>47000</v>
      </c>
      <c r="AS221" s="150">
        <f t="shared" si="28"/>
        <v>7</v>
      </c>
      <c r="AT221" s="150">
        <f t="shared" si="30"/>
        <v>6714.2857142857147</v>
      </c>
      <c r="AU221" s="183">
        <f t="shared" si="31"/>
        <v>166</v>
      </c>
      <c r="AV221" s="183">
        <v>7</v>
      </c>
      <c r="AW221" s="135">
        <f t="shared" si="32"/>
        <v>4.2168674698795178E-2</v>
      </c>
      <c r="AX221" s="205">
        <v>25</v>
      </c>
      <c r="AY221" s="136">
        <f t="shared" si="26"/>
        <v>0.21875</v>
      </c>
      <c r="AZ221" s="206">
        <v>1.04</v>
      </c>
      <c r="BA221" s="206">
        <v>1</v>
      </c>
      <c r="BB221" s="204">
        <v>62000</v>
      </c>
      <c r="BC221" s="179">
        <v>1579</v>
      </c>
    </row>
    <row r="222" spans="1:55" ht="21">
      <c r="A222">
        <v>10</v>
      </c>
      <c r="B222" s="120" t="s">
        <v>70</v>
      </c>
      <c r="C222" s="155" t="s">
        <v>69</v>
      </c>
      <c r="D222" s="207">
        <v>1</v>
      </c>
      <c r="E222" s="207">
        <v>1</v>
      </c>
      <c r="F222" s="207">
        <v>1</v>
      </c>
      <c r="G222" s="207">
        <v>2</v>
      </c>
      <c r="H222" s="207"/>
      <c r="I222" s="207">
        <v>1</v>
      </c>
      <c r="J222" s="204"/>
      <c r="K222" s="207"/>
      <c r="L222" s="207">
        <v>6</v>
      </c>
      <c r="M222" s="208">
        <v>30</v>
      </c>
      <c r="N222" s="208">
        <v>52</v>
      </c>
      <c r="O222" s="208"/>
      <c r="P222" s="208">
        <v>11</v>
      </c>
      <c r="Q222" s="208">
        <v>83</v>
      </c>
      <c r="R222" s="208"/>
      <c r="S222" s="208"/>
      <c r="T222" s="208"/>
      <c r="U222" s="208"/>
      <c r="V222" s="208"/>
      <c r="W222" s="208"/>
      <c r="X222" s="208"/>
      <c r="Y222" s="208"/>
      <c r="Z222" s="208"/>
      <c r="AA222" s="208">
        <v>16</v>
      </c>
      <c r="AB222" s="183">
        <f>SUM(N222:AA222)</f>
        <v>162</v>
      </c>
      <c r="AC222" s="209"/>
      <c r="AD222" s="209">
        <v>13</v>
      </c>
      <c r="AE222" s="209"/>
      <c r="AF222" s="209">
        <v>5</v>
      </c>
      <c r="AG222" s="209">
        <v>9</v>
      </c>
      <c r="AH222" s="209"/>
      <c r="AI222" s="209"/>
      <c r="AJ222" s="209">
        <v>2</v>
      </c>
      <c r="AK222" s="209"/>
      <c r="AL222" s="209">
        <v>5</v>
      </c>
      <c r="AM222" s="209"/>
      <c r="AN222" s="209"/>
      <c r="AO222" s="209"/>
      <c r="AP222" s="209"/>
      <c r="AQ222" s="209"/>
      <c r="AR222" s="149">
        <f t="shared" si="27"/>
        <v>27000</v>
      </c>
      <c r="AS222" s="150">
        <f t="shared" ref="AS222:AS245" si="33">COUNTIF(AD222:AQ222,"&gt;0")</f>
        <v>5</v>
      </c>
      <c r="AT222" s="150">
        <f t="shared" si="30"/>
        <v>2700</v>
      </c>
      <c r="AU222" s="183">
        <f t="shared" ref="AU222:AU285" si="34">AB222</f>
        <v>162</v>
      </c>
      <c r="AV222" s="183">
        <v>10</v>
      </c>
      <c r="AW222" s="135">
        <f t="shared" si="32"/>
        <v>6.1728395061728392E-2</v>
      </c>
      <c r="AX222" s="209">
        <v>38</v>
      </c>
      <c r="AY222" s="136">
        <f t="shared" si="26"/>
        <v>0.20833333333333334</v>
      </c>
      <c r="AZ222" s="195">
        <v>1.1000000000000001</v>
      </c>
      <c r="BA222" s="210">
        <v>1</v>
      </c>
      <c r="BB222" s="211">
        <v>33000</v>
      </c>
      <c r="BC222" s="179">
        <v>4812</v>
      </c>
    </row>
    <row r="223" spans="1:55" ht="21">
      <c r="A223">
        <v>10</v>
      </c>
      <c r="B223" s="121" t="s">
        <v>21</v>
      </c>
      <c r="C223" s="155" t="s">
        <v>36</v>
      </c>
      <c r="D223" s="207">
        <v>1</v>
      </c>
      <c r="E223" s="207"/>
      <c r="F223" s="207">
        <v>1</v>
      </c>
      <c r="G223" s="207"/>
      <c r="H223" s="207"/>
      <c r="I223" s="207"/>
      <c r="J223" s="204"/>
      <c r="K223" s="207">
        <v>1</v>
      </c>
      <c r="L223" s="207">
        <v>3</v>
      </c>
      <c r="M223" s="208">
        <v>64</v>
      </c>
      <c r="N223" s="208"/>
      <c r="O223" s="208"/>
      <c r="P223" s="208">
        <v>14</v>
      </c>
      <c r="Q223" s="208">
        <v>1</v>
      </c>
      <c r="R223" s="208"/>
      <c r="S223" s="208"/>
      <c r="T223" s="208"/>
      <c r="U223" s="208"/>
      <c r="V223" s="208"/>
      <c r="W223" s="208"/>
      <c r="X223" s="208"/>
      <c r="Y223" s="208"/>
      <c r="Z223" s="208"/>
      <c r="AA223" s="208"/>
      <c r="AB223" s="183">
        <f>SUM(N223:AA223)</f>
        <v>15</v>
      </c>
      <c r="AC223" s="212"/>
      <c r="AD223" s="212"/>
      <c r="AE223" s="212"/>
      <c r="AF223" s="212">
        <v>18</v>
      </c>
      <c r="AG223" s="212">
        <v>32</v>
      </c>
      <c r="AH223" s="212"/>
      <c r="AI223" s="212"/>
      <c r="AJ223" s="212"/>
      <c r="AK223" s="212"/>
      <c r="AL223" s="212"/>
      <c r="AM223" s="212"/>
      <c r="AN223" s="212"/>
      <c r="AO223" s="212"/>
      <c r="AP223" s="212"/>
      <c r="AQ223" s="212"/>
      <c r="AR223" s="149">
        <f t="shared" si="27"/>
        <v>50000</v>
      </c>
      <c r="AS223" s="150">
        <f t="shared" si="33"/>
        <v>2</v>
      </c>
      <c r="AT223" s="150">
        <v>0</v>
      </c>
      <c r="AU223" s="183">
        <f t="shared" si="34"/>
        <v>15</v>
      </c>
      <c r="AV223" s="183">
        <v>0</v>
      </c>
      <c r="AW223" s="135">
        <f t="shared" si="32"/>
        <v>0</v>
      </c>
      <c r="AX223" s="209">
        <v>75</v>
      </c>
      <c r="AY223" s="136">
        <f t="shared" si="26"/>
        <v>0</v>
      </c>
      <c r="AZ223" s="195">
        <v>0.39</v>
      </c>
      <c r="BA223" s="210">
        <v>0</v>
      </c>
      <c r="BB223" s="211">
        <v>119000</v>
      </c>
      <c r="BC223" s="179">
        <v>0</v>
      </c>
    </row>
    <row r="224" spans="1:55" ht="21">
      <c r="A224">
        <v>10</v>
      </c>
      <c r="B224" s="121" t="s">
        <v>139</v>
      </c>
      <c r="C224" s="155" t="s">
        <v>149</v>
      </c>
      <c r="D224" s="207">
        <v>1</v>
      </c>
      <c r="E224" s="207"/>
      <c r="F224" s="207"/>
      <c r="G224" s="207">
        <v>1</v>
      </c>
      <c r="H224" s="207"/>
      <c r="I224" s="207">
        <v>1</v>
      </c>
      <c r="J224" s="204"/>
      <c r="K224" s="207">
        <v>1</v>
      </c>
      <c r="L224" s="207">
        <v>4</v>
      </c>
      <c r="M224" s="208">
        <v>90</v>
      </c>
      <c r="N224" s="208">
        <v>60</v>
      </c>
      <c r="O224" s="208">
        <v>0</v>
      </c>
      <c r="P224" s="208">
        <v>42</v>
      </c>
      <c r="Q224" s="208">
        <v>112</v>
      </c>
      <c r="R224" s="208">
        <v>0</v>
      </c>
      <c r="S224" s="208">
        <v>3</v>
      </c>
      <c r="T224" s="208">
        <v>0</v>
      </c>
      <c r="U224" s="208"/>
      <c r="V224" s="208">
        <v>0</v>
      </c>
      <c r="W224" s="208"/>
      <c r="X224" s="208"/>
      <c r="Y224" s="208">
        <v>0</v>
      </c>
      <c r="Z224" s="208"/>
      <c r="AA224" s="208"/>
      <c r="AB224" s="183">
        <f t="shared" si="29"/>
        <v>217</v>
      </c>
      <c r="AC224" s="212">
        <v>50</v>
      </c>
      <c r="AD224" s="212">
        <v>20</v>
      </c>
      <c r="AE224" s="212">
        <v>10</v>
      </c>
      <c r="AF224" s="212">
        <v>40</v>
      </c>
      <c r="AG224" s="212">
        <v>30</v>
      </c>
      <c r="AH224" s="212">
        <v>10</v>
      </c>
      <c r="AI224" s="212">
        <v>0</v>
      </c>
      <c r="AJ224" s="212">
        <v>5</v>
      </c>
      <c r="AK224" s="212"/>
      <c r="AL224" s="212">
        <v>20</v>
      </c>
      <c r="AM224" s="212"/>
      <c r="AN224" s="212"/>
      <c r="AO224" s="212">
        <v>20</v>
      </c>
      <c r="AP224" s="212"/>
      <c r="AQ224" s="212"/>
      <c r="AR224" s="149">
        <f t="shared" si="27"/>
        <v>110000</v>
      </c>
      <c r="AS224" s="150">
        <f t="shared" si="33"/>
        <v>8</v>
      </c>
      <c r="AT224" s="150">
        <f t="shared" si="30"/>
        <v>3235.294117647059</v>
      </c>
      <c r="AU224" s="183">
        <f t="shared" si="34"/>
        <v>217</v>
      </c>
      <c r="AV224" s="183">
        <v>34</v>
      </c>
      <c r="AW224" s="135">
        <f t="shared" si="32"/>
        <v>0.15668202764976957</v>
      </c>
      <c r="AX224" s="209">
        <v>71</v>
      </c>
      <c r="AY224" s="136">
        <f t="shared" si="26"/>
        <v>0.32380952380952382</v>
      </c>
      <c r="AZ224" s="195">
        <v>1.17</v>
      </c>
      <c r="BA224" s="210">
        <v>1</v>
      </c>
      <c r="BB224" s="211">
        <v>37000</v>
      </c>
      <c r="BC224" s="179">
        <v>21897</v>
      </c>
    </row>
    <row r="225" spans="1:55" ht="21">
      <c r="A225">
        <v>10</v>
      </c>
      <c r="B225" s="121" t="s">
        <v>70</v>
      </c>
      <c r="C225" s="155" t="s">
        <v>90</v>
      </c>
      <c r="D225" s="207">
        <v>1</v>
      </c>
      <c r="E225" s="207">
        <v>1</v>
      </c>
      <c r="F225" s="207">
        <v>1</v>
      </c>
      <c r="G225" s="207">
        <v>1</v>
      </c>
      <c r="H225" s="207">
        <v>1</v>
      </c>
      <c r="I225" s="207"/>
      <c r="J225" s="204"/>
      <c r="K225" s="207"/>
      <c r="L225" s="207">
        <v>5</v>
      </c>
      <c r="M225" s="208">
        <v>40</v>
      </c>
      <c r="N225" s="208">
        <v>54</v>
      </c>
      <c r="O225" s="208"/>
      <c r="P225" s="208">
        <v>17</v>
      </c>
      <c r="Q225" s="208">
        <v>94</v>
      </c>
      <c r="R225" s="208">
        <v>2</v>
      </c>
      <c r="S225" s="208">
        <v>1</v>
      </c>
      <c r="T225" s="208">
        <v>1</v>
      </c>
      <c r="U225" s="208"/>
      <c r="V225" s="208">
        <v>5</v>
      </c>
      <c r="W225" s="208"/>
      <c r="X225" s="208"/>
      <c r="Y225" s="208"/>
      <c r="Z225" s="208"/>
      <c r="AA225" s="208"/>
      <c r="AB225" s="183">
        <f t="shared" si="29"/>
        <v>174</v>
      </c>
      <c r="AC225" s="209"/>
      <c r="AD225" s="209">
        <v>42</v>
      </c>
      <c r="AE225" s="209"/>
      <c r="AF225" s="209">
        <v>8</v>
      </c>
      <c r="AG225" s="209">
        <v>24</v>
      </c>
      <c r="AH225" s="209"/>
      <c r="AI225" s="209"/>
      <c r="AJ225" s="209">
        <v>3</v>
      </c>
      <c r="AK225" s="209"/>
      <c r="AL225" s="209">
        <v>3</v>
      </c>
      <c r="AM225" s="209"/>
      <c r="AN225" s="209"/>
      <c r="AO225" s="209"/>
      <c r="AP225" s="209"/>
      <c r="AQ225" s="209"/>
      <c r="AR225" s="149">
        <f t="shared" si="27"/>
        <v>74000</v>
      </c>
      <c r="AS225" s="150">
        <f t="shared" si="33"/>
        <v>5</v>
      </c>
      <c r="AT225" s="150">
        <f t="shared" si="30"/>
        <v>8222.2222222222226</v>
      </c>
      <c r="AU225" s="183">
        <f t="shared" si="34"/>
        <v>174</v>
      </c>
      <c r="AV225" s="183">
        <v>9</v>
      </c>
      <c r="AW225" s="135">
        <f t="shared" si="32"/>
        <v>5.1724137931034482E-2</v>
      </c>
      <c r="AX225" s="209">
        <v>20</v>
      </c>
      <c r="AY225" s="136">
        <f t="shared" si="26"/>
        <v>0.31034482758620691</v>
      </c>
      <c r="AZ225" s="195">
        <v>0.89</v>
      </c>
      <c r="BA225" s="210">
        <v>0.5</v>
      </c>
      <c r="BB225" s="211">
        <v>47000</v>
      </c>
      <c r="BC225" s="179">
        <v>116</v>
      </c>
    </row>
    <row r="226" spans="1:55" ht="21">
      <c r="A226">
        <v>10</v>
      </c>
      <c r="B226" s="121" t="s">
        <v>70</v>
      </c>
      <c r="C226" s="155" t="s">
        <v>79</v>
      </c>
      <c r="D226" s="207">
        <v>1</v>
      </c>
      <c r="E226" s="207"/>
      <c r="F226" s="207">
        <v>2</v>
      </c>
      <c r="G226" s="207">
        <v>1</v>
      </c>
      <c r="H226" s="207">
        <v>1</v>
      </c>
      <c r="I226" s="207">
        <v>1</v>
      </c>
      <c r="J226" s="204"/>
      <c r="K226" s="207"/>
      <c r="L226" s="207">
        <v>6</v>
      </c>
      <c r="M226" s="208">
        <v>72</v>
      </c>
      <c r="N226" s="208">
        <v>66</v>
      </c>
      <c r="O226" s="208"/>
      <c r="P226" s="208">
        <v>9</v>
      </c>
      <c r="Q226" s="208">
        <v>23</v>
      </c>
      <c r="R226" s="208"/>
      <c r="S226" s="208"/>
      <c r="T226" s="208"/>
      <c r="U226" s="208"/>
      <c r="V226" s="208"/>
      <c r="W226" s="208"/>
      <c r="X226" s="208"/>
      <c r="Y226" s="208"/>
      <c r="Z226" s="208"/>
      <c r="AA226" s="208"/>
      <c r="AB226" s="183">
        <f t="shared" si="29"/>
        <v>98</v>
      </c>
      <c r="AC226" s="209"/>
      <c r="AD226" s="209">
        <v>18</v>
      </c>
      <c r="AE226" s="209"/>
      <c r="AF226" s="209">
        <v>6</v>
      </c>
      <c r="AG226" s="209">
        <v>10</v>
      </c>
      <c r="AH226" s="209"/>
      <c r="AI226" s="209"/>
      <c r="AJ226" s="209">
        <v>1</v>
      </c>
      <c r="AK226" s="209">
        <v>12</v>
      </c>
      <c r="AL226" s="209"/>
      <c r="AM226" s="209"/>
      <c r="AN226" s="209"/>
      <c r="AO226" s="209"/>
      <c r="AP226" s="209"/>
      <c r="AQ226" s="209"/>
      <c r="AR226" s="149">
        <f t="shared" si="27"/>
        <v>34000</v>
      </c>
      <c r="AS226" s="150">
        <f t="shared" si="33"/>
        <v>5</v>
      </c>
      <c r="AT226" s="150">
        <f t="shared" si="30"/>
        <v>2833.3333333333335</v>
      </c>
      <c r="AU226" s="183">
        <f t="shared" si="34"/>
        <v>98</v>
      </c>
      <c r="AV226" s="183">
        <v>12</v>
      </c>
      <c r="AW226" s="135">
        <f t="shared" si="32"/>
        <v>0.12244897959183673</v>
      </c>
      <c r="AX226" s="209">
        <v>56</v>
      </c>
      <c r="AY226" s="136">
        <f t="shared" si="26"/>
        <v>0.17647058823529413</v>
      </c>
      <c r="AZ226" s="195">
        <v>1</v>
      </c>
      <c r="BA226" s="210">
        <v>1</v>
      </c>
      <c r="BB226" s="211">
        <v>109000</v>
      </c>
      <c r="BC226" s="179">
        <v>7277</v>
      </c>
    </row>
    <row r="227" spans="1:55" ht="21">
      <c r="A227">
        <v>10</v>
      </c>
      <c r="B227" s="121" t="s">
        <v>139</v>
      </c>
      <c r="C227" s="155" t="s">
        <v>60</v>
      </c>
      <c r="D227" s="207">
        <v>1</v>
      </c>
      <c r="E227" s="207">
        <v>1</v>
      </c>
      <c r="F227" s="207"/>
      <c r="G227" s="207">
        <v>1</v>
      </c>
      <c r="H227" s="207"/>
      <c r="I227" s="207"/>
      <c r="J227" s="204"/>
      <c r="K227" s="207">
        <v>1</v>
      </c>
      <c r="L227" s="207">
        <v>4</v>
      </c>
      <c r="M227" s="208">
        <v>61</v>
      </c>
      <c r="N227" s="208">
        <v>11</v>
      </c>
      <c r="O227" s="208">
        <v>8</v>
      </c>
      <c r="P227" s="208">
        <v>9</v>
      </c>
      <c r="Q227" s="208">
        <v>31</v>
      </c>
      <c r="R227" s="208"/>
      <c r="S227" s="208"/>
      <c r="T227" s="208">
        <v>0</v>
      </c>
      <c r="U227" s="208"/>
      <c r="V227" s="208">
        <v>2</v>
      </c>
      <c r="W227" s="208"/>
      <c r="X227" s="208">
        <v>0</v>
      </c>
      <c r="Y227" s="208"/>
      <c r="Z227" s="208"/>
      <c r="AA227" s="208">
        <v>75</v>
      </c>
      <c r="AB227" s="183">
        <f t="shared" si="29"/>
        <v>136</v>
      </c>
      <c r="AC227" s="212"/>
      <c r="AD227" s="212">
        <v>41</v>
      </c>
      <c r="AE227" s="212">
        <v>4</v>
      </c>
      <c r="AF227" s="212">
        <v>15</v>
      </c>
      <c r="AG227" s="212">
        <v>15</v>
      </c>
      <c r="AH227" s="212"/>
      <c r="AI227" s="212"/>
      <c r="AJ227" s="212">
        <v>1</v>
      </c>
      <c r="AK227" s="212"/>
      <c r="AL227" s="212">
        <v>13</v>
      </c>
      <c r="AM227" s="212"/>
      <c r="AN227" s="212">
        <v>10</v>
      </c>
      <c r="AO227" s="212"/>
      <c r="AP227" s="212"/>
      <c r="AQ227" s="212"/>
      <c r="AR227" s="149">
        <f t="shared" si="27"/>
        <v>75000</v>
      </c>
      <c r="AS227" s="150">
        <f t="shared" si="33"/>
        <v>7</v>
      </c>
      <c r="AT227" s="150">
        <f t="shared" si="30"/>
        <v>9375</v>
      </c>
      <c r="AU227" s="183">
        <f t="shared" si="34"/>
        <v>136</v>
      </c>
      <c r="AV227" s="183">
        <v>8</v>
      </c>
      <c r="AW227" s="135">
        <f t="shared" si="32"/>
        <v>5.8823529411764705E-2</v>
      </c>
      <c r="AX227" s="209">
        <v>146</v>
      </c>
      <c r="AY227" s="136">
        <f t="shared" si="26"/>
        <v>5.1948051948051951E-2</v>
      </c>
      <c r="AZ227" s="195">
        <v>0.91</v>
      </c>
      <c r="BA227" s="210">
        <v>0.75</v>
      </c>
      <c r="BB227" s="211">
        <v>62000</v>
      </c>
      <c r="BC227" s="179">
        <v>19765</v>
      </c>
    </row>
    <row r="228" spans="1:55" ht="21">
      <c r="A228">
        <v>10</v>
      </c>
      <c r="B228" s="121" t="s">
        <v>139</v>
      </c>
      <c r="C228" s="155" t="s">
        <v>57</v>
      </c>
      <c r="D228" s="207">
        <v>1</v>
      </c>
      <c r="E228" s="207"/>
      <c r="F228" s="207">
        <v>1</v>
      </c>
      <c r="G228" s="207"/>
      <c r="H228" s="207">
        <v>1</v>
      </c>
      <c r="I228" s="207"/>
      <c r="J228" s="204"/>
      <c r="K228" s="207"/>
      <c r="L228" s="207">
        <v>3</v>
      </c>
      <c r="M228" s="208">
        <v>36</v>
      </c>
      <c r="N228" s="208">
        <v>36</v>
      </c>
      <c r="O228" s="208"/>
      <c r="P228" s="208">
        <v>47</v>
      </c>
      <c r="Q228" s="208">
        <v>5</v>
      </c>
      <c r="R228" s="208"/>
      <c r="S228" s="208"/>
      <c r="T228" s="208">
        <v>0</v>
      </c>
      <c r="U228" s="208"/>
      <c r="V228" s="208"/>
      <c r="W228" s="208"/>
      <c r="X228" s="208"/>
      <c r="Y228" s="208"/>
      <c r="Z228" s="208"/>
      <c r="AA228" s="208"/>
      <c r="AB228" s="183">
        <f t="shared" si="29"/>
        <v>88</v>
      </c>
      <c r="AC228" s="212"/>
      <c r="AD228" s="212">
        <v>65</v>
      </c>
      <c r="AE228" s="212"/>
      <c r="AF228" s="212">
        <v>13</v>
      </c>
      <c r="AG228" s="212">
        <v>10</v>
      </c>
      <c r="AH228" s="212"/>
      <c r="AI228" s="212"/>
      <c r="AJ228" s="212">
        <v>0.3</v>
      </c>
      <c r="AK228" s="212"/>
      <c r="AL228" s="212"/>
      <c r="AM228" s="212"/>
      <c r="AN228" s="212"/>
      <c r="AO228" s="212"/>
      <c r="AP228" s="212"/>
      <c r="AQ228" s="212"/>
      <c r="AR228" s="149">
        <f t="shared" si="27"/>
        <v>88000</v>
      </c>
      <c r="AS228" s="150">
        <f t="shared" si="33"/>
        <v>4</v>
      </c>
      <c r="AT228" s="150">
        <f t="shared" si="30"/>
        <v>17600</v>
      </c>
      <c r="AU228" s="183">
        <f t="shared" si="34"/>
        <v>88</v>
      </c>
      <c r="AV228" s="183">
        <v>5</v>
      </c>
      <c r="AW228" s="135">
        <f t="shared" si="32"/>
        <v>5.6818181818181816E-2</v>
      </c>
      <c r="AX228" s="209">
        <v>104</v>
      </c>
      <c r="AY228" s="136">
        <f t="shared" si="26"/>
        <v>4.5871559633027525E-2</v>
      </c>
      <c r="AZ228" s="195">
        <v>0.75</v>
      </c>
      <c r="BA228" s="210">
        <v>0.25</v>
      </c>
      <c r="BB228" s="211">
        <v>55000</v>
      </c>
      <c r="BC228" s="179">
        <v>7054</v>
      </c>
    </row>
    <row r="229" spans="1:55" ht="21">
      <c r="A229">
        <v>10</v>
      </c>
      <c r="B229" s="121" t="s">
        <v>139</v>
      </c>
      <c r="C229" s="155" t="s">
        <v>66</v>
      </c>
      <c r="D229" s="207"/>
      <c r="E229" s="207"/>
      <c r="F229" s="207">
        <v>1</v>
      </c>
      <c r="G229" s="207"/>
      <c r="H229" s="207">
        <v>1</v>
      </c>
      <c r="I229" s="207">
        <v>2</v>
      </c>
      <c r="J229" s="204"/>
      <c r="K229" s="207">
        <v>1</v>
      </c>
      <c r="L229" s="207">
        <v>5</v>
      </c>
      <c r="M229" s="208"/>
      <c r="N229" s="208"/>
      <c r="O229" s="208">
        <v>0</v>
      </c>
      <c r="P229" s="208">
        <v>86</v>
      </c>
      <c r="Q229" s="208">
        <v>40</v>
      </c>
      <c r="R229" s="208"/>
      <c r="S229" s="208"/>
      <c r="T229" s="208">
        <v>0</v>
      </c>
      <c r="U229" s="208"/>
      <c r="V229" s="208">
        <v>0</v>
      </c>
      <c r="W229" s="208"/>
      <c r="X229" s="208"/>
      <c r="Y229" s="208"/>
      <c r="Z229" s="208"/>
      <c r="AA229" s="208"/>
      <c r="AB229" s="183">
        <f t="shared" si="29"/>
        <v>126</v>
      </c>
      <c r="AC229" s="212"/>
      <c r="AD229" s="212"/>
      <c r="AE229" s="212">
        <v>17</v>
      </c>
      <c r="AF229" s="212">
        <v>15</v>
      </c>
      <c r="AG229" s="212">
        <v>13</v>
      </c>
      <c r="AH229" s="212"/>
      <c r="AI229" s="212"/>
      <c r="AJ229" s="212">
        <v>1</v>
      </c>
      <c r="AK229" s="212"/>
      <c r="AL229" s="212">
        <v>3.6</v>
      </c>
      <c r="AM229" s="212"/>
      <c r="AN229" s="212"/>
      <c r="AO229" s="212"/>
      <c r="AP229" s="212"/>
      <c r="AQ229" s="212"/>
      <c r="AR229" s="149">
        <f t="shared" si="27"/>
        <v>45000</v>
      </c>
      <c r="AS229" s="150">
        <f t="shared" si="33"/>
        <v>5</v>
      </c>
      <c r="AT229" s="150">
        <f t="shared" si="30"/>
        <v>4500</v>
      </c>
      <c r="AU229" s="183">
        <f t="shared" si="34"/>
        <v>126</v>
      </c>
      <c r="AV229" s="183">
        <v>10</v>
      </c>
      <c r="AW229" s="135">
        <f t="shared" si="32"/>
        <v>7.9365079365079361E-2</v>
      </c>
      <c r="AX229" s="209">
        <v>30</v>
      </c>
      <c r="AY229" s="136">
        <f t="shared" si="26"/>
        <v>0.25</v>
      </c>
      <c r="AZ229" s="195">
        <v>1.58</v>
      </c>
      <c r="BA229" s="210">
        <v>1</v>
      </c>
      <c r="BB229" s="211">
        <v>67000</v>
      </c>
      <c r="BC229" s="179">
        <v>15659</v>
      </c>
    </row>
    <row r="230" spans="1:55" ht="21">
      <c r="A230">
        <v>10</v>
      </c>
      <c r="B230" s="121" t="s">
        <v>70</v>
      </c>
      <c r="C230" s="155" t="s">
        <v>82</v>
      </c>
      <c r="D230" s="207">
        <v>1</v>
      </c>
      <c r="E230" s="207"/>
      <c r="F230" s="207">
        <v>1</v>
      </c>
      <c r="G230" s="207">
        <v>1</v>
      </c>
      <c r="H230" s="207">
        <v>1</v>
      </c>
      <c r="I230" s="207">
        <v>1</v>
      </c>
      <c r="J230" s="204"/>
      <c r="K230" s="207"/>
      <c r="L230" s="207">
        <v>5</v>
      </c>
      <c r="M230" s="208">
        <v>29</v>
      </c>
      <c r="N230" s="208">
        <v>101</v>
      </c>
      <c r="O230" s="208">
        <v>2</v>
      </c>
      <c r="P230" s="208">
        <v>5</v>
      </c>
      <c r="Q230" s="208">
        <v>30</v>
      </c>
      <c r="R230" s="208"/>
      <c r="S230" s="208"/>
      <c r="T230" s="208"/>
      <c r="U230" s="208"/>
      <c r="V230" s="208"/>
      <c r="W230" s="208"/>
      <c r="X230" s="208"/>
      <c r="Y230" s="208"/>
      <c r="Z230" s="208"/>
      <c r="AA230" s="208">
        <v>10</v>
      </c>
      <c r="AB230" s="183">
        <f t="shared" si="29"/>
        <v>148</v>
      </c>
      <c r="AC230" s="209"/>
      <c r="AD230" s="209">
        <v>46</v>
      </c>
      <c r="AE230" s="209">
        <v>3</v>
      </c>
      <c r="AF230" s="209">
        <v>4</v>
      </c>
      <c r="AG230" s="209">
        <v>6</v>
      </c>
      <c r="AH230" s="209"/>
      <c r="AI230" s="209"/>
      <c r="AJ230" s="209">
        <v>2</v>
      </c>
      <c r="AK230" s="209">
        <v>6</v>
      </c>
      <c r="AL230" s="209"/>
      <c r="AM230" s="209"/>
      <c r="AN230" s="209"/>
      <c r="AO230" s="209"/>
      <c r="AP230" s="209"/>
      <c r="AQ230" s="209"/>
      <c r="AR230" s="149">
        <f t="shared" si="27"/>
        <v>59000</v>
      </c>
      <c r="AS230" s="150">
        <f t="shared" si="33"/>
        <v>6</v>
      </c>
      <c r="AT230" s="150">
        <f t="shared" si="30"/>
        <v>7375</v>
      </c>
      <c r="AU230" s="183">
        <f t="shared" si="34"/>
        <v>148</v>
      </c>
      <c r="AV230" s="183">
        <v>8</v>
      </c>
      <c r="AW230" s="135">
        <f t="shared" si="32"/>
        <v>5.4054054054054057E-2</v>
      </c>
      <c r="AX230" s="209">
        <v>29</v>
      </c>
      <c r="AY230" s="136">
        <f t="shared" si="26"/>
        <v>0.21621621621621623</v>
      </c>
      <c r="AZ230" s="195">
        <v>1.21</v>
      </c>
      <c r="BA230" s="210">
        <v>1</v>
      </c>
      <c r="BB230" s="211">
        <v>42000</v>
      </c>
      <c r="BC230" s="179">
        <v>3567</v>
      </c>
    </row>
    <row r="231" spans="1:55" ht="21">
      <c r="A231">
        <v>10</v>
      </c>
      <c r="B231" s="121" t="s">
        <v>21</v>
      </c>
      <c r="C231" s="155" t="s">
        <v>48</v>
      </c>
      <c r="D231" s="207">
        <v>1</v>
      </c>
      <c r="E231" s="207">
        <v>1</v>
      </c>
      <c r="F231" s="207"/>
      <c r="G231" s="207">
        <v>1</v>
      </c>
      <c r="H231" s="207"/>
      <c r="I231" s="207"/>
      <c r="J231" s="204"/>
      <c r="K231" s="207">
        <v>1</v>
      </c>
      <c r="L231" s="207">
        <v>4</v>
      </c>
      <c r="M231" s="208">
        <v>70</v>
      </c>
      <c r="N231" s="208">
        <v>24</v>
      </c>
      <c r="O231" s="208"/>
      <c r="P231" s="208">
        <v>53</v>
      </c>
      <c r="Q231" s="208">
        <v>46</v>
      </c>
      <c r="R231" s="208"/>
      <c r="S231" s="208">
        <v>15</v>
      </c>
      <c r="T231" s="208"/>
      <c r="U231" s="208"/>
      <c r="V231" s="208"/>
      <c r="W231" s="208"/>
      <c r="X231" s="208"/>
      <c r="Y231" s="208"/>
      <c r="Z231" s="208"/>
      <c r="AA231" s="208">
        <v>3</v>
      </c>
      <c r="AB231" s="183">
        <f t="shared" si="29"/>
        <v>141</v>
      </c>
      <c r="AC231" s="212"/>
      <c r="AD231" s="212"/>
      <c r="AE231" s="212">
        <v>10</v>
      </c>
      <c r="AF231" s="212">
        <v>12</v>
      </c>
      <c r="AG231" s="212">
        <v>25</v>
      </c>
      <c r="AH231" s="212"/>
      <c r="AI231" s="212"/>
      <c r="AJ231" s="212"/>
      <c r="AK231" s="212"/>
      <c r="AL231" s="212"/>
      <c r="AM231" s="212"/>
      <c r="AN231" s="212"/>
      <c r="AO231" s="212"/>
      <c r="AP231" s="212"/>
      <c r="AQ231" s="212"/>
      <c r="AR231" s="149">
        <f t="shared" si="27"/>
        <v>47000</v>
      </c>
      <c r="AS231" s="150">
        <f t="shared" si="33"/>
        <v>3</v>
      </c>
      <c r="AT231" s="150">
        <f t="shared" si="30"/>
        <v>3357.1428571428573</v>
      </c>
      <c r="AU231" s="183">
        <f t="shared" si="34"/>
        <v>141</v>
      </c>
      <c r="AV231" s="183">
        <v>14</v>
      </c>
      <c r="AW231" s="135">
        <f t="shared" si="32"/>
        <v>9.9290780141843976E-2</v>
      </c>
      <c r="AX231" s="209">
        <v>59</v>
      </c>
      <c r="AY231" s="136">
        <f t="shared" si="26"/>
        <v>0.19178082191780821</v>
      </c>
      <c r="AZ231" s="195">
        <v>0.91</v>
      </c>
      <c r="BA231" s="210">
        <v>0.75</v>
      </c>
      <c r="BB231" s="211">
        <v>50000</v>
      </c>
      <c r="BC231" s="179">
        <v>6928</v>
      </c>
    </row>
    <row r="232" spans="1:55" ht="21">
      <c r="A232">
        <v>10</v>
      </c>
      <c r="B232" s="121" t="s">
        <v>70</v>
      </c>
      <c r="C232" s="155" t="s">
        <v>76</v>
      </c>
      <c r="D232" s="207">
        <v>1</v>
      </c>
      <c r="E232" s="207">
        <v>1</v>
      </c>
      <c r="F232" s="207">
        <v>1</v>
      </c>
      <c r="G232" s="207">
        <v>1</v>
      </c>
      <c r="H232" s="207">
        <v>1</v>
      </c>
      <c r="I232" s="207"/>
      <c r="J232" s="204"/>
      <c r="K232" s="207"/>
      <c r="L232" s="207">
        <v>5</v>
      </c>
      <c r="M232" s="208">
        <v>19</v>
      </c>
      <c r="N232" s="208">
        <v>50</v>
      </c>
      <c r="O232" s="208"/>
      <c r="P232" s="208">
        <v>64</v>
      </c>
      <c r="Q232" s="208">
        <v>60</v>
      </c>
      <c r="R232" s="208">
        <v>4</v>
      </c>
      <c r="S232" s="208"/>
      <c r="T232" s="208"/>
      <c r="U232" s="208"/>
      <c r="V232" s="208"/>
      <c r="W232" s="208"/>
      <c r="X232" s="208"/>
      <c r="Y232" s="208"/>
      <c r="Z232" s="208"/>
      <c r="AA232" s="208"/>
      <c r="AB232" s="183">
        <f>SUM(N232:AA232)</f>
        <v>178</v>
      </c>
      <c r="AC232" s="209"/>
      <c r="AD232" s="209">
        <v>29</v>
      </c>
      <c r="AE232" s="209"/>
      <c r="AF232" s="209">
        <v>21</v>
      </c>
      <c r="AG232" s="209">
        <v>12</v>
      </c>
      <c r="AH232" s="209"/>
      <c r="AI232" s="209"/>
      <c r="AJ232" s="209"/>
      <c r="AK232" s="209"/>
      <c r="AL232" s="209">
        <v>3</v>
      </c>
      <c r="AM232" s="209"/>
      <c r="AN232" s="209"/>
      <c r="AO232" s="209"/>
      <c r="AP232" s="209"/>
      <c r="AQ232" s="209"/>
      <c r="AR232" s="149">
        <f t="shared" si="27"/>
        <v>62000</v>
      </c>
      <c r="AS232" s="150">
        <f t="shared" si="33"/>
        <v>4</v>
      </c>
      <c r="AT232" s="150">
        <f t="shared" si="30"/>
        <v>6200</v>
      </c>
      <c r="AU232" s="183">
        <f t="shared" si="34"/>
        <v>178</v>
      </c>
      <c r="AV232" s="183">
        <v>10</v>
      </c>
      <c r="AW232" s="135">
        <f t="shared" si="32"/>
        <v>5.6179775280898875E-2</v>
      </c>
      <c r="AX232" s="209">
        <v>36</v>
      </c>
      <c r="AY232" s="136">
        <f t="shared" si="26"/>
        <v>0.21739130434782608</v>
      </c>
      <c r="AZ232" s="195">
        <v>1.1599999999999999</v>
      </c>
      <c r="BA232" s="210">
        <v>1</v>
      </c>
      <c r="BB232" s="211">
        <v>277000</v>
      </c>
      <c r="BC232" s="179">
        <v>7677</v>
      </c>
    </row>
    <row r="233" spans="1:55" ht="21">
      <c r="A233">
        <v>10</v>
      </c>
      <c r="B233" s="121" t="s">
        <v>21</v>
      </c>
      <c r="C233" s="155" t="s">
        <v>27</v>
      </c>
      <c r="D233" s="207"/>
      <c r="E233" s="207">
        <v>1</v>
      </c>
      <c r="F233" s="207">
        <v>1</v>
      </c>
      <c r="G233" s="207">
        <v>1</v>
      </c>
      <c r="H233" s="207"/>
      <c r="I233" s="207">
        <v>1</v>
      </c>
      <c r="J233" s="204"/>
      <c r="K233" s="207"/>
      <c r="L233" s="207">
        <v>4</v>
      </c>
      <c r="M233" s="208">
        <v>121</v>
      </c>
      <c r="N233" s="208">
        <v>5</v>
      </c>
      <c r="O233" s="208"/>
      <c r="P233" s="208">
        <v>89</v>
      </c>
      <c r="Q233" s="208">
        <v>52</v>
      </c>
      <c r="R233" s="208"/>
      <c r="S233" s="208"/>
      <c r="T233" s="208">
        <v>1</v>
      </c>
      <c r="U233" s="208"/>
      <c r="V233" s="208">
        <v>1</v>
      </c>
      <c r="W233" s="208"/>
      <c r="X233" s="208"/>
      <c r="Y233" s="208"/>
      <c r="Z233" s="208"/>
      <c r="AA233" s="208">
        <v>1</v>
      </c>
      <c r="AB233" s="183">
        <f t="shared" si="29"/>
        <v>149</v>
      </c>
      <c r="AC233" s="212"/>
      <c r="AD233" s="212">
        <v>20</v>
      </c>
      <c r="AE233" s="212"/>
      <c r="AF233" s="212">
        <v>25</v>
      </c>
      <c r="AG233" s="212">
        <v>12</v>
      </c>
      <c r="AH233" s="212"/>
      <c r="AI233" s="212"/>
      <c r="AJ233" s="212">
        <v>1</v>
      </c>
      <c r="AK233" s="212"/>
      <c r="AL233" s="212">
        <v>5</v>
      </c>
      <c r="AM233" s="212"/>
      <c r="AN233" s="212"/>
      <c r="AO233" s="212"/>
      <c r="AP233" s="212"/>
      <c r="AQ233" s="212"/>
      <c r="AR233" s="149">
        <f t="shared" si="27"/>
        <v>57000</v>
      </c>
      <c r="AS233" s="150">
        <f t="shared" si="33"/>
        <v>5</v>
      </c>
      <c r="AT233" s="150">
        <f t="shared" si="30"/>
        <v>4750</v>
      </c>
      <c r="AU233" s="183">
        <f t="shared" si="34"/>
        <v>149</v>
      </c>
      <c r="AV233" s="183">
        <v>12</v>
      </c>
      <c r="AW233" s="135">
        <f t="shared" si="32"/>
        <v>8.0536912751677847E-2</v>
      </c>
      <c r="AX233" s="209">
        <v>142</v>
      </c>
      <c r="AY233" s="136">
        <f t="shared" si="26"/>
        <v>7.792207792207792E-2</v>
      </c>
      <c r="AZ233" s="195">
        <v>0.76</v>
      </c>
      <c r="BA233" s="210">
        <v>0.25</v>
      </c>
      <c r="BB233" s="211">
        <v>104000</v>
      </c>
      <c r="BC233" s="179">
        <v>2227</v>
      </c>
    </row>
    <row r="234" spans="1:55" ht="21">
      <c r="A234">
        <v>10</v>
      </c>
      <c r="B234" s="121" t="s">
        <v>70</v>
      </c>
      <c r="C234" s="155" t="s">
        <v>73</v>
      </c>
      <c r="D234" s="207">
        <v>2</v>
      </c>
      <c r="E234" s="207">
        <v>1</v>
      </c>
      <c r="F234" s="207">
        <v>2</v>
      </c>
      <c r="G234" s="207">
        <v>1</v>
      </c>
      <c r="H234" s="207"/>
      <c r="I234" s="207">
        <v>1</v>
      </c>
      <c r="J234" s="204"/>
      <c r="K234" s="207"/>
      <c r="L234" s="207">
        <v>7</v>
      </c>
      <c r="M234" s="208">
        <v>18</v>
      </c>
      <c r="N234" s="208">
        <v>42</v>
      </c>
      <c r="O234" s="208">
        <v>6</v>
      </c>
      <c r="P234" s="208">
        <v>7</v>
      </c>
      <c r="Q234" s="208">
        <v>80</v>
      </c>
      <c r="R234" s="208"/>
      <c r="S234" s="208">
        <v>6</v>
      </c>
      <c r="T234" s="208"/>
      <c r="U234" s="208"/>
      <c r="V234" s="208"/>
      <c r="W234" s="208"/>
      <c r="X234" s="208"/>
      <c r="Y234" s="208"/>
      <c r="Z234" s="208"/>
      <c r="AA234" s="208"/>
      <c r="AB234" s="183">
        <f t="shared" si="29"/>
        <v>141</v>
      </c>
      <c r="AC234" s="209"/>
      <c r="AD234" s="209">
        <v>23</v>
      </c>
      <c r="AE234" s="209">
        <v>5</v>
      </c>
      <c r="AF234" s="209">
        <v>11</v>
      </c>
      <c r="AG234" s="209">
        <v>21</v>
      </c>
      <c r="AH234" s="209"/>
      <c r="AI234" s="209">
        <v>9</v>
      </c>
      <c r="AJ234" s="209">
        <v>1</v>
      </c>
      <c r="AK234" s="209"/>
      <c r="AL234" s="209">
        <v>1</v>
      </c>
      <c r="AM234" s="209"/>
      <c r="AN234" s="209"/>
      <c r="AO234" s="209"/>
      <c r="AP234" s="209"/>
      <c r="AQ234" s="209"/>
      <c r="AR234" s="149">
        <f t="shared" si="27"/>
        <v>69000</v>
      </c>
      <c r="AS234" s="150">
        <f t="shared" si="33"/>
        <v>7</v>
      </c>
      <c r="AT234" s="150">
        <f t="shared" si="30"/>
        <v>6272.727272727273</v>
      </c>
      <c r="AU234" s="183">
        <f t="shared" si="34"/>
        <v>141</v>
      </c>
      <c r="AV234" s="183">
        <v>11</v>
      </c>
      <c r="AW234" s="135">
        <f t="shared" si="32"/>
        <v>7.8014184397163122E-2</v>
      </c>
      <c r="AX234" s="209">
        <v>21</v>
      </c>
      <c r="AY234" s="136">
        <f t="shared" si="26"/>
        <v>0.34375</v>
      </c>
      <c r="AZ234" s="195">
        <v>1</v>
      </c>
      <c r="BA234" s="210">
        <v>1</v>
      </c>
      <c r="BB234" s="211">
        <v>85000</v>
      </c>
      <c r="BC234" s="179">
        <v>3962</v>
      </c>
    </row>
    <row r="235" spans="1:55" ht="21">
      <c r="A235">
        <v>10</v>
      </c>
      <c r="B235" s="121" t="s">
        <v>21</v>
      </c>
      <c r="C235" s="155" t="s">
        <v>30</v>
      </c>
      <c r="D235" s="207">
        <v>1</v>
      </c>
      <c r="E235" s="207"/>
      <c r="F235" s="207">
        <v>1</v>
      </c>
      <c r="G235" s="207">
        <v>1</v>
      </c>
      <c r="H235" s="207"/>
      <c r="I235" s="207"/>
      <c r="J235" s="204"/>
      <c r="K235" s="207">
        <v>1</v>
      </c>
      <c r="L235" s="207">
        <v>4</v>
      </c>
      <c r="M235" s="208">
        <v>116</v>
      </c>
      <c r="N235" s="208">
        <v>49</v>
      </c>
      <c r="O235" s="208">
        <v>21</v>
      </c>
      <c r="P235" s="208">
        <v>14</v>
      </c>
      <c r="Q235" s="208">
        <v>60</v>
      </c>
      <c r="R235" s="208"/>
      <c r="S235" s="208"/>
      <c r="T235" s="208"/>
      <c r="U235" s="208"/>
      <c r="V235" s="208"/>
      <c r="W235" s="208"/>
      <c r="X235" s="208"/>
      <c r="Y235" s="208"/>
      <c r="Z235" s="208"/>
      <c r="AA235" s="208">
        <v>28</v>
      </c>
      <c r="AB235" s="183">
        <f t="shared" si="29"/>
        <v>172</v>
      </c>
      <c r="AC235" s="213"/>
      <c r="AD235" s="212">
        <v>53.45</v>
      </c>
      <c r="AE235" s="212">
        <v>15</v>
      </c>
      <c r="AF235" s="212">
        <v>10</v>
      </c>
      <c r="AG235" s="212">
        <v>23</v>
      </c>
      <c r="AH235" s="212"/>
      <c r="AI235" s="212"/>
      <c r="AJ235" s="212">
        <v>0.6</v>
      </c>
      <c r="AK235" s="212"/>
      <c r="AL235" s="212"/>
      <c r="AM235" s="212"/>
      <c r="AN235" s="212"/>
      <c r="AO235" s="212"/>
      <c r="AP235" s="212"/>
      <c r="AQ235" s="212"/>
      <c r="AR235" s="149">
        <f t="shared" si="27"/>
        <v>101450</v>
      </c>
      <c r="AS235" s="150">
        <f t="shared" si="33"/>
        <v>5</v>
      </c>
      <c r="AT235" s="150">
        <f t="shared" si="30"/>
        <v>9222.7272727272721</v>
      </c>
      <c r="AU235" s="183">
        <f t="shared" si="34"/>
        <v>172</v>
      </c>
      <c r="AV235" s="183">
        <v>11</v>
      </c>
      <c r="AW235" s="135">
        <f t="shared" si="32"/>
        <v>6.3953488372093026E-2</v>
      </c>
      <c r="AX235" s="209">
        <v>86</v>
      </c>
      <c r="AY235" s="136">
        <f t="shared" si="26"/>
        <v>0.1134020618556701</v>
      </c>
      <c r="AZ235" s="195">
        <v>0.96</v>
      </c>
      <c r="BA235" s="210">
        <v>0.75</v>
      </c>
      <c r="BB235" s="211">
        <v>73000</v>
      </c>
      <c r="BC235" s="179">
        <v>5178</v>
      </c>
    </row>
    <row r="236" spans="1:55" ht="21">
      <c r="A236">
        <v>10</v>
      </c>
      <c r="B236" s="121" t="s">
        <v>70</v>
      </c>
      <c r="C236" s="155" t="s">
        <v>85</v>
      </c>
      <c r="D236" s="207">
        <v>2</v>
      </c>
      <c r="E236" s="207"/>
      <c r="F236" s="207">
        <v>1</v>
      </c>
      <c r="G236" s="207">
        <v>1</v>
      </c>
      <c r="H236" s="207">
        <v>1</v>
      </c>
      <c r="I236" s="207"/>
      <c r="J236" s="204"/>
      <c r="K236" s="207">
        <v>1</v>
      </c>
      <c r="L236" s="207">
        <v>6</v>
      </c>
      <c r="M236" s="208">
        <v>15</v>
      </c>
      <c r="N236" s="208">
        <v>30</v>
      </c>
      <c r="O236" s="208"/>
      <c r="P236" s="208">
        <v>21</v>
      </c>
      <c r="Q236" s="208">
        <v>82</v>
      </c>
      <c r="R236" s="208"/>
      <c r="S236" s="208"/>
      <c r="T236" s="208">
        <v>0</v>
      </c>
      <c r="U236" s="208"/>
      <c r="V236" s="208"/>
      <c r="W236" s="208"/>
      <c r="X236" s="208"/>
      <c r="Y236" s="208"/>
      <c r="Z236" s="208"/>
      <c r="AA236" s="208"/>
      <c r="AB236" s="183">
        <f t="shared" si="29"/>
        <v>133</v>
      </c>
      <c r="AC236" s="209"/>
      <c r="AD236" s="209">
        <v>9</v>
      </c>
      <c r="AE236" s="209"/>
      <c r="AF236" s="209">
        <v>6.3</v>
      </c>
      <c r="AG236" s="209">
        <v>24.6</v>
      </c>
      <c r="AH236" s="209"/>
      <c r="AI236" s="209"/>
      <c r="AJ236" s="209">
        <v>0</v>
      </c>
      <c r="AK236" s="209"/>
      <c r="AL236" s="209"/>
      <c r="AM236" s="209"/>
      <c r="AN236" s="209"/>
      <c r="AO236" s="209"/>
      <c r="AP236" s="209"/>
      <c r="AQ236" s="209"/>
      <c r="AR236" s="149">
        <f t="shared" si="27"/>
        <v>39900.000000000007</v>
      </c>
      <c r="AS236" s="150">
        <f t="shared" si="33"/>
        <v>3</v>
      </c>
      <c r="AT236" s="150">
        <f t="shared" si="30"/>
        <v>3069.23076923077</v>
      </c>
      <c r="AU236" s="183">
        <f t="shared" si="34"/>
        <v>133</v>
      </c>
      <c r="AV236" s="183">
        <v>13</v>
      </c>
      <c r="AW236" s="135">
        <f t="shared" si="32"/>
        <v>9.7744360902255634E-2</v>
      </c>
      <c r="AX236" s="209">
        <v>67</v>
      </c>
      <c r="AY236" s="136">
        <f t="shared" si="26"/>
        <v>0.16250000000000001</v>
      </c>
      <c r="AZ236" s="195">
        <v>2.0499999999999998</v>
      </c>
      <c r="BA236" s="210">
        <v>1</v>
      </c>
      <c r="BB236" s="211">
        <v>84000</v>
      </c>
      <c r="BC236" s="179">
        <v>5570</v>
      </c>
    </row>
    <row r="237" spans="1:55" ht="21">
      <c r="A237">
        <v>10</v>
      </c>
      <c r="B237" s="121" t="s">
        <v>21</v>
      </c>
      <c r="C237" s="155" t="s">
        <v>45</v>
      </c>
      <c r="D237" s="204"/>
      <c r="E237" s="204"/>
      <c r="F237" s="204"/>
      <c r="G237" s="204"/>
      <c r="H237" s="204"/>
      <c r="I237" s="204"/>
      <c r="J237" s="204"/>
      <c r="K237" s="204"/>
      <c r="L237" s="204"/>
      <c r="M237" s="208">
        <v>54</v>
      </c>
      <c r="N237" s="208">
        <v>0</v>
      </c>
      <c r="O237" s="208">
        <v>0</v>
      </c>
      <c r="P237" s="208">
        <v>18</v>
      </c>
      <c r="Q237" s="208">
        <v>89</v>
      </c>
      <c r="R237" s="208"/>
      <c r="S237" s="208"/>
      <c r="T237" s="208">
        <v>0</v>
      </c>
      <c r="U237" s="208"/>
      <c r="V237" s="208"/>
      <c r="W237" s="208"/>
      <c r="X237" s="208"/>
      <c r="Y237" s="208"/>
      <c r="Z237" s="208"/>
      <c r="AA237" s="208"/>
      <c r="AB237" s="183">
        <f t="shared" si="29"/>
        <v>107</v>
      </c>
      <c r="AC237" s="212"/>
      <c r="AD237" s="212">
        <v>40</v>
      </c>
      <c r="AE237" s="212"/>
      <c r="AF237" s="212">
        <v>25</v>
      </c>
      <c r="AG237" s="212">
        <v>54</v>
      </c>
      <c r="AH237" s="212"/>
      <c r="AI237" s="212"/>
      <c r="AJ237" s="212">
        <v>2</v>
      </c>
      <c r="AK237" s="212"/>
      <c r="AL237" s="212"/>
      <c r="AM237" s="212"/>
      <c r="AN237" s="212"/>
      <c r="AO237" s="212"/>
      <c r="AP237" s="212"/>
      <c r="AQ237" s="212"/>
      <c r="AR237" s="149">
        <f t="shared" si="27"/>
        <v>119000</v>
      </c>
      <c r="AS237" s="150">
        <f t="shared" si="33"/>
        <v>4</v>
      </c>
      <c r="AT237" s="150">
        <f t="shared" si="30"/>
        <v>29750</v>
      </c>
      <c r="AU237" s="183">
        <f t="shared" si="34"/>
        <v>107</v>
      </c>
      <c r="AV237" s="183">
        <v>4</v>
      </c>
      <c r="AW237" s="135">
        <f t="shared" si="32"/>
        <v>3.7383177570093455E-2</v>
      </c>
      <c r="AX237" s="209">
        <v>237</v>
      </c>
      <c r="AY237" s="136">
        <f t="shared" si="26"/>
        <v>1.6597510373443983E-2</v>
      </c>
      <c r="AZ237" s="195">
        <v>1.1299999999999999</v>
      </c>
      <c r="BA237" s="210">
        <v>1</v>
      </c>
      <c r="BB237" s="211">
        <v>58000</v>
      </c>
      <c r="BC237" s="179">
        <v>2893</v>
      </c>
    </row>
    <row r="238" spans="1:55" ht="21">
      <c r="A238">
        <v>10</v>
      </c>
      <c r="B238" s="121" t="s">
        <v>21</v>
      </c>
      <c r="C238" s="155" t="s">
        <v>20</v>
      </c>
      <c r="D238" s="207">
        <v>1</v>
      </c>
      <c r="E238" s="207">
        <v>1</v>
      </c>
      <c r="F238" s="207">
        <v>1</v>
      </c>
      <c r="G238" s="207">
        <v>1</v>
      </c>
      <c r="H238" s="207"/>
      <c r="I238" s="207">
        <v>2</v>
      </c>
      <c r="J238" s="204"/>
      <c r="K238" s="207"/>
      <c r="L238" s="207">
        <v>6</v>
      </c>
      <c r="M238" s="214">
        <v>112</v>
      </c>
      <c r="N238" s="214">
        <v>1</v>
      </c>
      <c r="O238" s="214">
        <v>1</v>
      </c>
      <c r="P238" s="214">
        <v>76</v>
      </c>
      <c r="Q238" s="214">
        <v>26</v>
      </c>
      <c r="R238" s="214">
        <v>0</v>
      </c>
      <c r="S238" s="214">
        <v>15</v>
      </c>
      <c r="T238" s="214">
        <v>3</v>
      </c>
      <c r="U238" s="214"/>
      <c r="V238" s="214"/>
      <c r="W238" s="214"/>
      <c r="X238" s="214">
        <v>0</v>
      </c>
      <c r="Y238" s="214">
        <v>0</v>
      </c>
      <c r="Z238" s="214"/>
      <c r="AA238" s="208">
        <v>76</v>
      </c>
      <c r="AB238" s="183">
        <f t="shared" si="29"/>
        <v>198</v>
      </c>
      <c r="AC238" s="215"/>
      <c r="AD238" s="215">
        <v>77</v>
      </c>
      <c r="AE238" s="215">
        <v>15</v>
      </c>
      <c r="AF238" s="215">
        <v>35</v>
      </c>
      <c r="AG238" s="215">
        <v>18</v>
      </c>
      <c r="AH238" s="215">
        <v>8</v>
      </c>
      <c r="AI238" s="215">
        <v>0</v>
      </c>
      <c r="AJ238" s="215">
        <v>1.365</v>
      </c>
      <c r="AK238" s="215"/>
      <c r="AL238" s="215"/>
      <c r="AM238" s="215"/>
      <c r="AN238" s="215">
        <v>5</v>
      </c>
      <c r="AO238" s="215">
        <v>52.8</v>
      </c>
      <c r="AP238" s="215"/>
      <c r="AQ238" s="212"/>
      <c r="AR238" s="149">
        <f t="shared" si="27"/>
        <v>153000</v>
      </c>
      <c r="AS238" s="150">
        <f t="shared" si="33"/>
        <v>8</v>
      </c>
      <c r="AT238" s="150">
        <f t="shared" si="30"/>
        <v>7650</v>
      </c>
      <c r="AU238" s="183">
        <f t="shared" si="34"/>
        <v>198</v>
      </c>
      <c r="AV238" s="183">
        <v>20</v>
      </c>
      <c r="AW238" s="135">
        <f t="shared" si="32"/>
        <v>0.10101010101010101</v>
      </c>
      <c r="AX238" s="209">
        <v>193</v>
      </c>
      <c r="AY238" s="136">
        <f t="shared" si="26"/>
        <v>9.3896713615023469E-2</v>
      </c>
      <c r="AZ238" s="195">
        <v>1.52</v>
      </c>
      <c r="BA238" s="210">
        <v>1</v>
      </c>
      <c r="BB238" s="211">
        <v>26000</v>
      </c>
      <c r="BC238" s="179">
        <v>11766</v>
      </c>
    </row>
    <row r="239" spans="1:55" ht="21">
      <c r="A239">
        <v>10</v>
      </c>
      <c r="B239" s="121" t="s">
        <v>139</v>
      </c>
      <c r="C239" s="155" t="s">
        <v>54</v>
      </c>
      <c r="D239" s="207">
        <v>1</v>
      </c>
      <c r="E239" s="207"/>
      <c r="F239" s="207">
        <v>1</v>
      </c>
      <c r="G239" s="207"/>
      <c r="H239" s="207">
        <v>2</v>
      </c>
      <c r="I239" s="207">
        <v>1</v>
      </c>
      <c r="J239" s="204"/>
      <c r="K239" s="207"/>
      <c r="L239" s="207">
        <v>5</v>
      </c>
      <c r="M239" s="208">
        <v>100</v>
      </c>
      <c r="N239" s="208">
        <v>102</v>
      </c>
      <c r="O239" s="208">
        <v>8</v>
      </c>
      <c r="P239" s="208">
        <v>20</v>
      </c>
      <c r="Q239" s="208">
        <v>60</v>
      </c>
      <c r="R239" s="208"/>
      <c r="S239" s="208">
        <v>21</v>
      </c>
      <c r="T239" s="208">
        <v>0</v>
      </c>
      <c r="U239" s="208"/>
      <c r="V239" s="208">
        <v>0</v>
      </c>
      <c r="W239" s="208"/>
      <c r="X239" s="208">
        <v>0</v>
      </c>
      <c r="Y239" s="208"/>
      <c r="Z239" s="208"/>
      <c r="AA239" s="208">
        <v>10</v>
      </c>
      <c r="AB239" s="183">
        <f>SUM(N239:AA239)</f>
        <v>221</v>
      </c>
      <c r="AC239" s="212">
        <v>35</v>
      </c>
      <c r="AD239" s="212">
        <v>53</v>
      </c>
      <c r="AE239" s="212">
        <v>4</v>
      </c>
      <c r="AF239" s="212">
        <v>13</v>
      </c>
      <c r="AG239" s="212">
        <v>30</v>
      </c>
      <c r="AH239" s="212"/>
      <c r="AI239" s="212">
        <v>3</v>
      </c>
      <c r="AJ239" s="212">
        <v>1</v>
      </c>
      <c r="AK239" s="212"/>
      <c r="AL239" s="212">
        <v>8</v>
      </c>
      <c r="AM239" s="212"/>
      <c r="AN239" s="212">
        <v>4</v>
      </c>
      <c r="AO239" s="212"/>
      <c r="AP239" s="212"/>
      <c r="AQ239" s="212">
        <v>20</v>
      </c>
      <c r="AR239" s="149">
        <f t="shared" si="27"/>
        <v>123000</v>
      </c>
      <c r="AS239" s="150">
        <f t="shared" si="33"/>
        <v>9</v>
      </c>
      <c r="AT239" s="150">
        <f t="shared" si="30"/>
        <v>3416.6666666666665</v>
      </c>
      <c r="AU239" s="183">
        <f t="shared" si="34"/>
        <v>221</v>
      </c>
      <c r="AV239" s="183">
        <v>36</v>
      </c>
      <c r="AW239" s="135">
        <f t="shared" si="32"/>
        <v>0.16289592760180996</v>
      </c>
      <c r="AX239" s="209">
        <v>223</v>
      </c>
      <c r="AY239" s="136">
        <f t="shared" si="26"/>
        <v>0.138996138996139</v>
      </c>
      <c r="AZ239" s="195">
        <v>1.19</v>
      </c>
      <c r="BA239" s="210">
        <v>1</v>
      </c>
      <c r="BB239" s="211">
        <v>60000</v>
      </c>
      <c r="BC239" s="179">
        <v>31131</v>
      </c>
    </row>
    <row r="240" spans="1:55" ht="21">
      <c r="A240">
        <v>10</v>
      </c>
      <c r="B240" s="121" t="s">
        <v>70</v>
      </c>
      <c r="C240" s="155" t="s">
        <v>86</v>
      </c>
      <c r="D240" s="207">
        <v>1</v>
      </c>
      <c r="E240" s="207"/>
      <c r="F240" s="207">
        <v>1</v>
      </c>
      <c r="G240" s="207">
        <v>2</v>
      </c>
      <c r="H240" s="207">
        <v>2</v>
      </c>
      <c r="I240" s="207">
        <v>2</v>
      </c>
      <c r="J240" s="204"/>
      <c r="K240" s="207">
        <v>1</v>
      </c>
      <c r="L240" s="207">
        <v>9</v>
      </c>
      <c r="M240" s="208">
        <v>13</v>
      </c>
      <c r="N240" s="208">
        <v>45</v>
      </c>
      <c r="O240" s="208"/>
      <c r="P240" s="208">
        <v>44</v>
      </c>
      <c r="Q240" s="208">
        <v>78</v>
      </c>
      <c r="R240" s="208"/>
      <c r="S240" s="208">
        <v>11</v>
      </c>
      <c r="T240" s="208"/>
      <c r="U240" s="208"/>
      <c r="V240" s="208"/>
      <c r="W240" s="208"/>
      <c r="X240" s="208"/>
      <c r="Y240" s="208"/>
      <c r="Z240" s="208"/>
      <c r="AA240" s="208">
        <v>14</v>
      </c>
      <c r="AB240" s="183">
        <f>SUM(N240:AA240)</f>
        <v>192</v>
      </c>
      <c r="AC240" s="209"/>
      <c r="AD240" s="209">
        <v>58</v>
      </c>
      <c r="AE240" s="209">
        <v>2</v>
      </c>
      <c r="AF240" s="209">
        <v>15</v>
      </c>
      <c r="AG240" s="209">
        <v>20</v>
      </c>
      <c r="AH240" s="209"/>
      <c r="AI240" s="209"/>
      <c r="AJ240" s="209">
        <v>2</v>
      </c>
      <c r="AK240" s="209"/>
      <c r="AL240" s="209"/>
      <c r="AM240" s="209"/>
      <c r="AN240" s="209"/>
      <c r="AO240" s="209">
        <v>6</v>
      </c>
      <c r="AP240" s="209"/>
      <c r="AQ240" s="209"/>
      <c r="AR240" s="149">
        <f t="shared" si="27"/>
        <v>95000</v>
      </c>
      <c r="AS240" s="150">
        <f t="shared" si="33"/>
        <v>6</v>
      </c>
      <c r="AT240" s="150">
        <f t="shared" si="30"/>
        <v>11875</v>
      </c>
      <c r="AU240" s="183">
        <f t="shared" si="34"/>
        <v>192</v>
      </c>
      <c r="AV240" s="183">
        <v>8</v>
      </c>
      <c r="AW240" s="135">
        <f t="shared" si="32"/>
        <v>4.1666666666666664E-2</v>
      </c>
      <c r="AX240" s="209">
        <v>86</v>
      </c>
      <c r="AY240" s="136">
        <f t="shared" si="26"/>
        <v>8.5106382978723402E-2</v>
      </c>
      <c r="AZ240" s="195">
        <v>1.1499999999999999</v>
      </c>
      <c r="BA240" s="210">
        <v>1</v>
      </c>
      <c r="BB240" s="211">
        <v>80000</v>
      </c>
      <c r="BC240" s="179">
        <v>5874</v>
      </c>
    </row>
    <row r="241" spans="1:55" ht="21">
      <c r="A241">
        <v>10</v>
      </c>
      <c r="B241" s="121" t="s">
        <v>139</v>
      </c>
      <c r="C241" s="155" t="s">
        <v>50</v>
      </c>
      <c r="D241" s="207">
        <v>1</v>
      </c>
      <c r="E241" s="207">
        <v>1</v>
      </c>
      <c r="F241" s="207"/>
      <c r="G241" s="207">
        <v>1</v>
      </c>
      <c r="H241" s="207"/>
      <c r="I241" s="207">
        <v>1</v>
      </c>
      <c r="J241" s="204"/>
      <c r="K241" s="207">
        <v>1</v>
      </c>
      <c r="L241" s="207">
        <v>5</v>
      </c>
      <c r="M241" s="208">
        <v>61</v>
      </c>
      <c r="N241" s="208">
        <v>0</v>
      </c>
      <c r="O241" s="208"/>
      <c r="P241" s="208">
        <v>20</v>
      </c>
      <c r="Q241" s="208">
        <v>23</v>
      </c>
      <c r="R241" s="208"/>
      <c r="S241" s="208"/>
      <c r="T241" s="208">
        <v>0</v>
      </c>
      <c r="U241" s="208"/>
      <c r="V241" s="208">
        <v>0</v>
      </c>
      <c r="W241" s="208"/>
      <c r="X241" s="208"/>
      <c r="Y241" s="208"/>
      <c r="Z241" s="208"/>
      <c r="AA241" s="208">
        <v>0</v>
      </c>
      <c r="AB241" s="183">
        <f t="shared" si="29"/>
        <v>43</v>
      </c>
      <c r="AC241" s="212"/>
      <c r="AD241" s="212">
        <v>83.2</v>
      </c>
      <c r="AE241" s="212"/>
      <c r="AF241" s="212">
        <v>12</v>
      </c>
      <c r="AG241" s="212">
        <v>9.6</v>
      </c>
      <c r="AH241" s="212"/>
      <c r="AI241" s="212"/>
      <c r="AJ241" s="212">
        <v>3.3</v>
      </c>
      <c r="AK241" s="212"/>
      <c r="AL241" s="212">
        <v>5</v>
      </c>
      <c r="AM241" s="212"/>
      <c r="AN241" s="212"/>
      <c r="AO241" s="212"/>
      <c r="AP241" s="212"/>
      <c r="AQ241" s="212">
        <v>25</v>
      </c>
      <c r="AR241" s="149">
        <f t="shared" si="27"/>
        <v>129800.00000000001</v>
      </c>
      <c r="AS241" s="150">
        <f t="shared" si="33"/>
        <v>6</v>
      </c>
      <c r="AT241" s="150">
        <f t="shared" si="30"/>
        <v>25960.000000000004</v>
      </c>
      <c r="AU241" s="183">
        <f t="shared" si="34"/>
        <v>43</v>
      </c>
      <c r="AV241" s="183">
        <v>5</v>
      </c>
      <c r="AW241" s="135">
        <f t="shared" si="32"/>
        <v>0.11627906976744186</v>
      </c>
      <c r="AX241" s="209">
        <v>68</v>
      </c>
      <c r="AY241" s="136">
        <f t="shared" si="26"/>
        <v>6.8493150684931503E-2</v>
      </c>
      <c r="AZ241" s="195">
        <v>0.83</v>
      </c>
      <c r="BA241" s="210">
        <v>0.5</v>
      </c>
      <c r="BB241" s="211">
        <v>38000</v>
      </c>
      <c r="BC241" s="179">
        <v>6570</v>
      </c>
    </row>
    <row r="242" spans="1:55" ht="21">
      <c r="A242">
        <v>10</v>
      </c>
      <c r="B242" s="121" t="s">
        <v>70</v>
      </c>
      <c r="C242" s="155" t="s">
        <v>88</v>
      </c>
      <c r="D242" s="207"/>
      <c r="E242" s="207"/>
      <c r="F242" s="207">
        <v>2</v>
      </c>
      <c r="G242" s="207"/>
      <c r="H242" s="207"/>
      <c r="I242" s="207">
        <v>1</v>
      </c>
      <c r="J242" s="204"/>
      <c r="K242" s="207"/>
      <c r="L242" s="207">
        <v>3</v>
      </c>
      <c r="M242" s="208">
        <v>34</v>
      </c>
      <c r="N242" s="208">
        <v>59</v>
      </c>
      <c r="O242" s="208">
        <v>0</v>
      </c>
      <c r="P242" s="208">
        <v>90</v>
      </c>
      <c r="Q242" s="208">
        <v>47</v>
      </c>
      <c r="R242" s="208">
        <v>0</v>
      </c>
      <c r="S242" s="208">
        <v>0</v>
      </c>
      <c r="T242" s="208">
        <v>0</v>
      </c>
      <c r="U242" s="208"/>
      <c r="V242" s="208">
        <v>0</v>
      </c>
      <c r="W242" s="208"/>
      <c r="X242" s="208">
        <v>0</v>
      </c>
      <c r="Y242" s="208"/>
      <c r="Z242" s="208"/>
      <c r="AA242" s="208"/>
      <c r="AB242" s="183">
        <f t="shared" si="29"/>
        <v>196</v>
      </c>
      <c r="AC242" s="209"/>
      <c r="AD242" s="209">
        <v>40</v>
      </c>
      <c r="AE242" s="209">
        <v>6</v>
      </c>
      <c r="AF242" s="209">
        <v>20</v>
      </c>
      <c r="AG242" s="209">
        <v>30</v>
      </c>
      <c r="AH242" s="209">
        <v>5</v>
      </c>
      <c r="AI242" s="209">
        <v>3</v>
      </c>
      <c r="AJ242" s="209">
        <v>1</v>
      </c>
      <c r="AK242" s="209"/>
      <c r="AL242" s="209">
        <v>25</v>
      </c>
      <c r="AM242" s="209"/>
      <c r="AN242" s="209">
        <v>8</v>
      </c>
      <c r="AO242" s="209"/>
      <c r="AP242" s="209"/>
      <c r="AQ242" s="209"/>
      <c r="AR242" s="149">
        <f t="shared" si="27"/>
        <v>104000</v>
      </c>
      <c r="AS242" s="150">
        <f t="shared" si="33"/>
        <v>9</v>
      </c>
      <c r="AT242" s="150">
        <f t="shared" si="30"/>
        <v>9454.545454545454</v>
      </c>
      <c r="AU242" s="183">
        <f t="shared" si="34"/>
        <v>196</v>
      </c>
      <c r="AV242" s="183">
        <v>11</v>
      </c>
      <c r="AW242" s="135">
        <f t="shared" si="32"/>
        <v>5.6122448979591837E-2</v>
      </c>
      <c r="AX242" s="209">
        <v>51</v>
      </c>
      <c r="AY242" s="136">
        <f t="shared" si="26"/>
        <v>0.17741935483870969</v>
      </c>
      <c r="AZ242" s="195">
        <v>1.74</v>
      </c>
      <c r="BA242" s="210">
        <v>1</v>
      </c>
      <c r="BB242" s="211">
        <v>43000</v>
      </c>
      <c r="BC242" s="179">
        <v>5711</v>
      </c>
    </row>
    <row r="243" spans="1:55" ht="21">
      <c r="A243">
        <v>10</v>
      </c>
      <c r="B243" s="121" t="s">
        <v>21</v>
      </c>
      <c r="C243" s="155" t="s">
        <v>33</v>
      </c>
      <c r="D243" s="207">
        <v>1</v>
      </c>
      <c r="E243" s="207"/>
      <c r="F243" s="207">
        <v>1</v>
      </c>
      <c r="G243" s="207"/>
      <c r="H243" s="207">
        <v>1</v>
      </c>
      <c r="I243" s="207"/>
      <c r="J243" s="204"/>
      <c r="K243" s="207"/>
      <c r="L243" s="207">
        <v>3</v>
      </c>
      <c r="M243" s="216">
        <v>22</v>
      </c>
      <c r="N243" s="216">
        <v>23</v>
      </c>
      <c r="O243" s="216">
        <v>0</v>
      </c>
      <c r="P243" s="216">
        <v>101</v>
      </c>
      <c r="Q243" s="216">
        <v>122</v>
      </c>
      <c r="R243" s="216">
        <v>6</v>
      </c>
      <c r="S243" s="216">
        <v>0</v>
      </c>
      <c r="T243" s="216">
        <v>5</v>
      </c>
      <c r="U243" s="216">
        <v>0</v>
      </c>
      <c r="V243" s="216">
        <v>0</v>
      </c>
      <c r="W243" s="216">
        <v>0</v>
      </c>
      <c r="X243" s="216">
        <v>0</v>
      </c>
      <c r="Y243" s="216">
        <v>0</v>
      </c>
      <c r="Z243" s="216">
        <v>0</v>
      </c>
      <c r="AA243" s="216">
        <v>0</v>
      </c>
      <c r="AB243" s="183">
        <f t="shared" si="29"/>
        <v>257</v>
      </c>
      <c r="AC243" s="204"/>
      <c r="AD243" s="217">
        <v>10</v>
      </c>
      <c r="AE243" s="217">
        <v>6</v>
      </c>
      <c r="AF243" s="217">
        <v>20</v>
      </c>
      <c r="AG243" s="217">
        <v>30</v>
      </c>
      <c r="AH243" s="217">
        <v>5</v>
      </c>
      <c r="AI243" s="217">
        <v>3</v>
      </c>
      <c r="AJ243" s="217">
        <v>1</v>
      </c>
      <c r="AK243" s="217"/>
      <c r="AL243" s="217">
        <v>25</v>
      </c>
      <c r="AM243" s="217">
        <v>8</v>
      </c>
      <c r="AN243" s="217">
        <v>10</v>
      </c>
      <c r="AO243" s="217"/>
      <c r="AP243" s="218"/>
      <c r="AQ243" s="209"/>
      <c r="AR243" s="149">
        <f>(SUM(AD243:AI243)+AQ243)*1000</f>
        <v>74000</v>
      </c>
      <c r="AS243" s="150">
        <f t="shared" si="33"/>
        <v>10</v>
      </c>
      <c r="AT243" s="150">
        <f t="shared" si="30"/>
        <v>6727.272727272727</v>
      </c>
      <c r="AU243" s="183">
        <f t="shared" si="34"/>
        <v>257</v>
      </c>
      <c r="AV243" s="183">
        <v>11</v>
      </c>
      <c r="AW243" s="135">
        <f t="shared" si="32"/>
        <v>4.2801556420233464E-2</v>
      </c>
      <c r="AX243" s="183">
        <v>51</v>
      </c>
      <c r="AY243" s="136">
        <f t="shared" si="26"/>
        <v>0.17741935483870969</v>
      </c>
      <c r="AZ243" s="195">
        <v>1.1100000000000001</v>
      </c>
      <c r="BA243" s="210">
        <v>1</v>
      </c>
      <c r="BB243" s="211">
        <v>74000</v>
      </c>
      <c r="BC243" s="179">
        <v>13544</v>
      </c>
    </row>
    <row r="244" spans="1:55" ht="21">
      <c r="A244">
        <v>10</v>
      </c>
      <c r="B244" s="121" t="s">
        <v>21</v>
      </c>
      <c r="C244" s="155" t="s">
        <v>24</v>
      </c>
      <c r="D244" s="207">
        <v>2</v>
      </c>
      <c r="E244" s="207"/>
      <c r="F244" s="207">
        <v>1</v>
      </c>
      <c r="G244" s="207">
        <v>1</v>
      </c>
      <c r="H244" s="207"/>
      <c r="I244" s="207"/>
      <c r="J244" s="204"/>
      <c r="K244" s="207"/>
      <c r="L244" s="207">
        <v>4</v>
      </c>
      <c r="M244" s="214">
        <v>8</v>
      </c>
      <c r="N244" s="214">
        <v>8</v>
      </c>
      <c r="O244" s="214"/>
      <c r="P244" s="214">
        <v>5</v>
      </c>
      <c r="Q244" s="214">
        <v>36</v>
      </c>
      <c r="R244" s="214"/>
      <c r="S244" s="214">
        <v>2</v>
      </c>
      <c r="T244" s="214"/>
      <c r="U244" s="214"/>
      <c r="V244" s="214"/>
      <c r="W244" s="214"/>
      <c r="X244" s="214"/>
      <c r="Y244" s="214"/>
      <c r="Z244" s="214"/>
      <c r="AA244" s="208"/>
      <c r="AB244" s="183">
        <f t="shared" si="29"/>
        <v>51</v>
      </c>
      <c r="AC244" s="215"/>
      <c r="AD244" s="215">
        <v>16.8</v>
      </c>
      <c r="AE244" s="215"/>
      <c r="AF244" s="215"/>
      <c r="AG244" s="215">
        <v>26.2</v>
      </c>
      <c r="AH244" s="215"/>
      <c r="AI244" s="215">
        <v>0.35399999999999998</v>
      </c>
      <c r="AJ244" s="215">
        <v>0.20300000000000001</v>
      </c>
      <c r="AK244" s="215"/>
      <c r="AL244" s="215"/>
      <c r="AM244" s="215"/>
      <c r="AN244" s="215">
        <v>1.9</v>
      </c>
      <c r="AO244" s="215">
        <v>22.6</v>
      </c>
      <c r="AP244" s="215"/>
      <c r="AQ244" s="212">
        <v>35.299999999999997</v>
      </c>
      <c r="AR244" s="149">
        <f t="shared" si="27"/>
        <v>78654</v>
      </c>
      <c r="AS244" s="150">
        <f t="shared" si="33"/>
        <v>7</v>
      </c>
      <c r="AT244" s="150">
        <f t="shared" si="30"/>
        <v>11236.285714285714</v>
      </c>
      <c r="AU244" s="183">
        <f t="shared" si="34"/>
        <v>51</v>
      </c>
      <c r="AV244" s="183">
        <v>7</v>
      </c>
      <c r="AW244" s="135">
        <f t="shared" si="32"/>
        <v>0.13725490196078433</v>
      </c>
      <c r="AX244" s="209">
        <v>112</v>
      </c>
      <c r="AY244" s="136">
        <f t="shared" si="26"/>
        <v>5.8823529411764705E-2</v>
      </c>
      <c r="AZ244" s="195">
        <v>1.04</v>
      </c>
      <c r="BA244" s="210">
        <v>1</v>
      </c>
      <c r="BB244" s="211">
        <v>66000</v>
      </c>
      <c r="BC244" s="179">
        <v>7031</v>
      </c>
    </row>
    <row r="245" spans="1:55" ht="21.6" thickBot="1">
      <c r="A245">
        <v>10</v>
      </c>
      <c r="B245" s="122" t="s">
        <v>70</v>
      </c>
      <c r="C245" s="155" t="s">
        <v>92</v>
      </c>
      <c r="D245" s="207"/>
      <c r="E245" s="207">
        <v>1</v>
      </c>
      <c r="F245" s="207">
        <v>2</v>
      </c>
      <c r="G245" s="207">
        <v>2</v>
      </c>
      <c r="H245" s="207">
        <v>1</v>
      </c>
      <c r="I245" s="207"/>
      <c r="J245" s="204"/>
      <c r="K245" s="207"/>
      <c r="L245" s="207">
        <v>6</v>
      </c>
      <c r="M245" s="208">
        <v>30</v>
      </c>
      <c r="N245" s="208">
        <v>62</v>
      </c>
      <c r="O245" s="208"/>
      <c r="P245" s="208">
        <v>35</v>
      </c>
      <c r="Q245" s="208">
        <v>60</v>
      </c>
      <c r="R245" s="208"/>
      <c r="S245" s="208"/>
      <c r="T245" s="208"/>
      <c r="U245" s="208"/>
      <c r="V245" s="208"/>
      <c r="W245" s="208"/>
      <c r="X245" s="208"/>
      <c r="Y245" s="208"/>
      <c r="Z245" s="208"/>
      <c r="AA245" s="208"/>
      <c r="AB245" s="183">
        <f t="shared" si="29"/>
        <v>157</v>
      </c>
      <c r="AC245" s="209"/>
      <c r="AD245" s="209">
        <v>36</v>
      </c>
      <c r="AE245" s="209"/>
      <c r="AF245" s="209">
        <v>5</v>
      </c>
      <c r="AG245" s="209">
        <v>11</v>
      </c>
      <c r="AH245" s="209"/>
      <c r="AI245" s="209">
        <v>1</v>
      </c>
      <c r="AJ245" s="209"/>
      <c r="AK245" s="209"/>
      <c r="AL245" s="209">
        <v>2</v>
      </c>
      <c r="AM245" s="209"/>
      <c r="AN245" s="209"/>
      <c r="AO245" s="209"/>
      <c r="AP245" s="209"/>
      <c r="AQ245" s="209"/>
      <c r="AR245" s="149">
        <f t="shared" si="27"/>
        <v>53000</v>
      </c>
      <c r="AS245" s="150">
        <f t="shared" si="33"/>
        <v>5</v>
      </c>
      <c r="AT245" s="150">
        <f t="shared" si="30"/>
        <v>6625</v>
      </c>
      <c r="AU245" s="183">
        <f t="shared" si="34"/>
        <v>157</v>
      </c>
      <c r="AV245" s="183">
        <v>8</v>
      </c>
      <c r="AW245" s="135">
        <f t="shared" si="32"/>
        <v>5.0955414012738856E-2</v>
      </c>
      <c r="AX245" s="209">
        <v>24</v>
      </c>
      <c r="AY245" s="136">
        <f t="shared" si="26"/>
        <v>0.25</v>
      </c>
      <c r="AZ245" s="195">
        <v>1.06</v>
      </c>
      <c r="BA245" s="210">
        <v>1</v>
      </c>
      <c r="BB245" s="211">
        <v>62000</v>
      </c>
      <c r="BC245" s="179">
        <v>1299</v>
      </c>
    </row>
    <row r="246" spans="1:55" ht="21">
      <c r="A246">
        <v>11</v>
      </c>
      <c r="B246" s="120" t="s">
        <v>70</v>
      </c>
      <c r="C246" s="155" t="s">
        <v>69</v>
      </c>
      <c r="D246" s="204">
        <v>2</v>
      </c>
      <c r="E246" s="204"/>
      <c r="F246" s="204">
        <v>1</v>
      </c>
      <c r="G246" s="204">
        <v>2</v>
      </c>
      <c r="H246" s="204">
        <v>3</v>
      </c>
      <c r="I246" s="204">
        <v>1</v>
      </c>
      <c r="J246" s="204"/>
      <c r="K246" s="204"/>
      <c r="L246" s="204">
        <v>9</v>
      </c>
      <c r="M246" s="214">
        <v>30</v>
      </c>
      <c r="N246" s="214">
        <v>51</v>
      </c>
      <c r="O246" s="214"/>
      <c r="P246" s="214">
        <v>15</v>
      </c>
      <c r="Q246" s="214">
        <v>63</v>
      </c>
      <c r="R246" s="214"/>
      <c r="S246" s="214"/>
      <c r="T246" s="214"/>
      <c r="U246" s="214"/>
      <c r="V246" s="214"/>
      <c r="W246" s="214"/>
      <c r="X246" s="214"/>
      <c r="Y246" s="214"/>
      <c r="Z246" s="214"/>
      <c r="AA246" s="208">
        <v>36</v>
      </c>
      <c r="AB246" s="183">
        <f t="shared" si="29"/>
        <v>165</v>
      </c>
      <c r="AC246" s="215"/>
      <c r="AD246" s="215">
        <v>20</v>
      </c>
      <c r="AE246" s="215"/>
      <c r="AF246" s="215">
        <v>4</v>
      </c>
      <c r="AG246" s="215">
        <v>5</v>
      </c>
      <c r="AH246" s="215"/>
      <c r="AI246" s="215"/>
      <c r="AJ246" s="215">
        <v>1</v>
      </c>
      <c r="AK246" s="215">
        <v>1.5</v>
      </c>
      <c r="AL246" s="215"/>
      <c r="AM246" s="215"/>
      <c r="AN246" s="215"/>
      <c r="AO246" s="215"/>
      <c r="AP246" s="215"/>
      <c r="AQ246" s="212">
        <v>0.5</v>
      </c>
      <c r="AR246" s="149">
        <f t="shared" si="27"/>
        <v>29500</v>
      </c>
      <c r="AS246" s="150">
        <f t="shared" ref="AS246:AS293" si="35">COUNTIF(AD246:AQ246,"&gt;0")</f>
        <v>6</v>
      </c>
      <c r="AT246" s="150">
        <f>AR246/AV246</f>
        <v>5900</v>
      </c>
      <c r="AU246" s="183">
        <f t="shared" si="34"/>
        <v>165</v>
      </c>
      <c r="AV246" s="183">
        <v>5</v>
      </c>
      <c r="AW246" s="135">
        <f t="shared" si="32"/>
        <v>3.0303030303030304E-2</v>
      </c>
      <c r="AX246" s="209">
        <v>28</v>
      </c>
      <c r="AY246" s="136">
        <f t="shared" si="26"/>
        <v>0.15151515151515152</v>
      </c>
      <c r="AZ246" s="219">
        <v>1</v>
      </c>
      <c r="BA246" s="210">
        <v>1</v>
      </c>
      <c r="BB246" s="211">
        <v>32000</v>
      </c>
      <c r="BC246" s="204"/>
    </row>
    <row r="247" spans="1:55" ht="21">
      <c r="A247">
        <v>11</v>
      </c>
      <c r="B247" s="121" t="s">
        <v>21</v>
      </c>
      <c r="C247" s="155" t="s">
        <v>36</v>
      </c>
      <c r="D247" s="204"/>
      <c r="E247" s="204"/>
      <c r="F247" s="204">
        <v>2</v>
      </c>
      <c r="G247" s="204"/>
      <c r="H247" s="204"/>
      <c r="I247" s="204"/>
      <c r="J247" s="204"/>
      <c r="K247" s="204"/>
      <c r="L247" s="204">
        <v>2</v>
      </c>
      <c r="M247" s="214">
        <v>26</v>
      </c>
      <c r="N247" s="214">
        <v>50</v>
      </c>
      <c r="O247" s="214"/>
      <c r="P247" s="214">
        <v>38</v>
      </c>
      <c r="Q247" s="214">
        <v>39</v>
      </c>
      <c r="R247" s="214"/>
      <c r="S247" s="214"/>
      <c r="T247" s="214"/>
      <c r="U247" s="214"/>
      <c r="V247" s="214"/>
      <c r="W247" s="214"/>
      <c r="X247" s="214"/>
      <c r="Y247" s="214"/>
      <c r="Z247" s="214"/>
      <c r="AA247" s="208"/>
      <c r="AB247" s="183">
        <f>SUM(N247:AA247)</f>
        <v>127</v>
      </c>
      <c r="AC247" s="215"/>
      <c r="AD247" s="215">
        <v>8</v>
      </c>
      <c r="AE247" s="215"/>
      <c r="AF247" s="215">
        <v>18</v>
      </c>
      <c r="AG247" s="215">
        <v>32</v>
      </c>
      <c r="AH247" s="215"/>
      <c r="AI247" s="215"/>
      <c r="AJ247" s="215"/>
      <c r="AK247" s="215"/>
      <c r="AL247" s="215"/>
      <c r="AM247" s="215"/>
      <c r="AN247" s="215"/>
      <c r="AO247" s="215"/>
      <c r="AP247" s="215"/>
      <c r="AQ247" s="212"/>
      <c r="AR247" s="149">
        <f t="shared" si="27"/>
        <v>58000</v>
      </c>
      <c r="AS247" s="150">
        <f t="shared" si="35"/>
        <v>3</v>
      </c>
      <c r="AT247" s="150">
        <f t="shared" si="30"/>
        <v>29000</v>
      </c>
      <c r="AU247" s="183">
        <f t="shared" si="34"/>
        <v>127</v>
      </c>
      <c r="AV247" s="183">
        <v>2</v>
      </c>
      <c r="AW247" s="135">
        <f t="shared" si="32"/>
        <v>1.5748031496062992E-2</v>
      </c>
      <c r="AX247" s="209">
        <v>53</v>
      </c>
      <c r="AY247" s="136">
        <f t="shared" si="26"/>
        <v>3.6363636363636362E-2</v>
      </c>
      <c r="AZ247" s="219">
        <v>0.32</v>
      </c>
      <c r="BA247" s="210">
        <v>0</v>
      </c>
      <c r="BB247" s="211">
        <v>58000</v>
      </c>
      <c r="BC247" s="204"/>
    </row>
    <row r="248" spans="1:55" ht="21">
      <c r="A248">
        <v>11</v>
      </c>
      <c r="B248" s="121" t="s">
        <v>139</v>
      </c>
      <c r="C248" s="155" t="s">
        <v>149</v>
      </c>
      <c r="D248" s="204"/>
      <c r="E248" s="204"/>
      <c r="F248" s="204">
        <v>1</v>
      </c>
      <c r="G248" s="204">
        <v>1</v>
      </c>
      <c r="H248" s="204">
        <v>1</v>
      </c>
      <c r="I248" s="204">
        <v>1</v>
      </c>
      <c r="J248" s="204">
        <v>1</v>
      </c>
      <c r="K248" s="204"/>
      <c r="L248" s="204">
        <v>5</v>
      </c>
      <c r="M248" s="208">
        <v>87</v>
      </c>
      <c r="N248" s="208">
        <v>130</v>
      </c>
      <c r="O248" s="208">
        <v>0</v>
      </c>
      <c r="P248" s="208">
        <v>31</v>
      </c>
      <c r="Q248" s="208">
        <v>85</v>
      </c>
      <c r="R248" s="208">
        <v>0</v>
      </c>
      <c r="S248" s="208">
        <v>1</v>
      </c>
      <c r="T248" s="208"/>
      <c r="U248" s="208"/>
      <c r="V248" s="208">
        <v>0</v>
      </c>
      <c r="W248" s="208"/>
      <c r="X248" s="208"/>
      <c r="Y248" s="208">
        <v>0</v>
      </c>
      <c r="Z248" s="208"/>
      <c r="AA248" s="208"/>
      <c r="AB248" s="183">
        <f t="shared" si="29"/>
        <v>247</v>
      </c>
      <c r="AC248" s="212"/>
      <c r="AD248" s="212">
        <v>80</v>
      </c>
      <c r="AE248" s="212">
        <v>10</v>
      </c>
      <c r="AF248" s="212">
        <v>30</v>
      </c>
      <c r="AG248" s="212">
        <v>30</v>
      </c>
      <c r="AH248" s="212">
        <v>5</v>
      </c>
      <c r="AI248" s="212">
        <v>0</v>
      </c>
      <c r="AJ248" s="212">
        <v>6</v>
      </c>
      <c r="AK248" s="212"/>
      <c r="AL248" s="212">
        <v>20</v>
      </c>
      <c r="AM248" s="212"/>
      <c r="AN248" s="212"/>
      <c r="AO248" s="212">
        <v>20</v>
      </c>
      <c r="AP248" s="212"/>
      <c r="AQ248" s="212"/>
      <c r="AR248" s="149">
        <f t="shared" si="27"/>
        <v>155000</v>
      </c>
      <c r="AS248" s="150">
        <f t="shared" si="35"/>
        <v>8</v>
      </c>
      <c r="AT248" s="150">
        <f t="shared" si="30"/>
        <v>8157.894736842105</v>
      </c>
      <c r="AU248" s="183">
        <f t="shared" si="34"/>
        <v>247</v>
      </c>
      <c r="AV248" s="183">
        <v>19</v>
      </c>
      <c r="AW248" s="135">
        <f t="shared" si="32"/>
        <v>7.6923076923076927E-2</v>
      </c>
      <c r="AX248" s="209">
        <v>62</v>
      </c>
      <c r="AY248" s="136">
        <f t="shared" si="26"/>
        <v>0.23456790123456789</v>
      </c>
      <c r="AZ248" s="219">
        <v>1.24</v>
      </c>
      <c r="BA248" s="210">
        <v>1</v>
      </c>
      <c r="BB248" s="211">
        <v>201000</v>
      </c>
      <c r="BC248" s="204"/>
    </row>
    <row r="249" spans="1:55" ht="21">
      <c r="A249">
        <v>11</v>
      </c>
      <c r="B249" s="121" t="s">
        <v>70</v>
      </c>
      <c r="C249" s="155" t="s">
        <v>90</v>
      </c>
      <c r="D249" s="204">
        <v>2</v>
      </c>
      <c r="E249" s="204">
        <v>1</v>
      </c>
      <c r="F249" s="204"/>
      <c r="G249" s="204">
        <v>1</v>
      </c>
      <c r="H249" s="204">
        <v>1</v>
      </c>
      <c r="I249" s="204">
        <v>1</v>
      </c>
      <c r="J249" s="204">
        <v>1</v>
      </c>
      <c r="K249" s="204">
        <v>1</v>
      </c>
      <c r="L249" s="204">
        <v>8</v>
      </c>
      <c r="M249" s="208">
        <v>20</v>
      </c>
      <c r="N249" s="208">
        <v>32</v>
      </c>
      <c r="O249" s="208">
        <v>8</v>
      </c>
      <c r="P249" s="208">
        <v>1</v>
      </c>
      <c r="Q249" s="208">
        <v>35</v>
      </c>
      <c r="R249" s="208">
        <v>1</v>
      </c>
      <c r="S249" s="208">
        <v>2</v>
      </c>
      <c r="T249" s="208"/>
      <c r="U249" s="208"/>
      <c r="V249" s="208"/>
      <c r="W249" s="208"/>
      <c r="X249" s="208"/>
      <c r="Y249" s="208"/>
      <c r="Z249" s="208"/>
      <c r="AA249" s="208"/>
      <c r="AB249" s="183">
        <f t="shared" si="29"/>
        <v>79</v>
      </c>
      <c r="AC249" s="213"/>
      <c r="AD249" s="212">
        <v>24.7</v>
      </c>
      <c r="AE249" s="212"/>
      <c r="AF249" s="212">
        <v>8.3000000000000007</v>
      </c>
      <c r="AG249" s="212">
        <v>38.4</v>
      </c>
      <c r="AH249" s="212"/>
      <c r="AI249" s="212"/>
      <c r="AJ249" s="212">
        <v>3.3</v>
      </c>
      <c r="AK249" s="212"/>
      <c r="AL249" s="212">
        <v>2.5</v>
      </c>
      <c r="AM249" s="212"/>
      <c r="AN249" s="212"/>
      <c r="AO249" s="212"/>
      <c r="AP249" s="212"/>
      <c r="AQ249" s="212"/>
      <c r="AR249" s="149">
        <f t="shared" si="27"/>
        <v>71400</v>
      </c>
      <c r="AS249" s="150">
        <f t="shared" si="35"/>
        <v>5</v>
      </c>
      <c r="AT249" s="150">
        <f t="shared" si="30"/>
        <v>11900</v>
      </c>
      <c r="AU249" s="183">
        <f t="shared" si="34"/>
        <v>79</v>
      </c>
      <c r="AV249" s="183">
        <v>6</v>
      </c>
      <c r="AW249" s="135">
        <f t="shared" si="32"/>
        <v>7.5949367088607597E-2</v>
      </c>
      <c r="AX249" s="209">
        <v>8</v>
      </c>
      <c r="AY249" s="136">
        <f t="shared" si="26"/>
        <v>0.42857142857142855</v>
      </c>
      <c r="AZ249" s="219">
        <v>1</v>
      </c>
      <c r="BA249" s="210">
        <v>1</v>
      </c>
      <c r="BB249" s="211">
        <v>77000</v>
      </c>
      <c r="BC249" s="204"/>
    </row>
    <row r="250" spans="1:55" ht="21">
      <c r="A250">
        <v>11</v>
      </c>
      <c r="B250" s="121" t="s">
        <v>70</v>
      </c>
      <c r="C250" s="155" t="s">
        <v>79</v>
      </c>
      <c r="D250" s="204">
        <v>1</v>
      </c>
      <c r="E250" s="204"/>
      <c r="F250" s="204"/>
      <c r="G250" s="204"/>
      <c r="H250" s="204">
        <v>2</v>
      </c>
      <c r="I250" s="204">
        <v>1</v>
      </c>
      <c r="J250" s="204"/>
      <c r="K250" s="204">
        <v>1</v>
      </c>
      <c r="L250" s="204">
        <v>5</v>
      </c>
      <c r="M250" s="220">
        <v>54</v>
      </c>
      <c r="N250" s="220">
        <v>77</v>
      </c>
      <c r="O250" s="208"/>
      <c r="P250" s="208">
        <v>9</v>
      </c>
      <c r="Q250" s="208">
        <v>27</v>
      </c>
      <c r="R250" s="208"/>
      <c r="S250" s="208"/>
      <c r="T250" s="208"/>
      <c r="U250" s="208"/>
      <c r="V250" s="208"/>
      <c r="W250" s="208"/>
      <c r="X250" s="208"/>
      <c r="Y250" s="208"/>
      <c r="Z250" s="212"/>
      <c r="AA250" s="208"/>
      <c r="AB250" s="183">
        <f t="shared" si="29"/>
        <v>113</v>
      </c>
      <c r="AC250" s="209"/>
      <c r="AD250" s="212">
        <v>12</v>
      </c>
      <c r="AE250" s="212"/>
      <c r="AF250" s="212">
        <v>6</v>
      </c>
      <c r="AG250" s="212">
        <v>10</v>
      </c>
      <c r="AH250" s="212"/>
      <c r="AI250" s="212"/>
      <c r="AJ250" s="212"/>
      <c r="AK250" s="212"/>
      <c r="AL250" s="212">
        <v>20</v>
      </c>
      <c r="AM250" s="212"/>
      <c r="AN250" s="212"/>
      <c r="AO250" s="212"/>
      <c r="AP250" s="218"/>
      <c r="AQ250" s="209"/>
      <c r="AR250" s="149">
        <f t="shared" si="27"/>
        <v>28000</v>
      </c>
      <c r="AS250" s="150">
        <f t="shared" si="35"/>
        <v>4</v>
      </c>
      <c r="AT250" s="150">
        <f t="shared" si="30"/>
        <v>1555.5555555555557</v>
      </c>
      <c r="AU250" s="183">
        <f t="shared" si="34"/>
        <v>113</v>
      </c>
      <c r="AV250" s="183">
        <v>18</v>
      </c>
      <c r="AW250" s="135">
        <f t="shared" si="32"/>
        <v>0.15929203539823009</v>
      </c>
      <c r="AX250" s="209">
        <v>24</v>
      </c>
      <c r="AY250" s="136">
        <f t="shared" si="26"/>
        <v>0.42857142857142855</v>
      </c>
      <c r="AZ250" s="219">
        <v>0.95</v>
      </c>
      <c r="BA250" s="210">
        <v>0.75</v>
      </c>
      <c r="BB250" s="211">
        <v>48000</v>
      </c>
      <c r="BC250" s="204"/>
    </row>
    <row r="251" spans="1:55" ht="21">
      <c r="A251">
        <v>11</v>
      </c>
      <c r="B251" s="121" t="s">
        <v>139</v>
      </c>
      <c r="C251" s="155" t="s">
        <v>60</v>
      </c>
      <c r="D251" s="204">
        <v>1</v>
      </c>
      <c r="E251" s="204"/>
      <c r="F251" s="204">
        <v>2</v>
      </c>
      <c r="G251" s="204"/>
      <c r="H251" s="204">
        <v>1</v>
      </c>
      <c r="I251" s="204"/>
      <c r="J251" s="204">
        <v>1</v>
      </c>
      <c r="K251" s="204"/>
      <c r="L251" s="204">
        <v>5</v>
      </c>
      <c r="M251" s="220">
        <v>37</v>
      </c>
      <c r="N251" s="220">
        <v>105</v>
      </c>
      <c r="O251" s="208">
        <v>16</v>
      </c>
      <c r="P251" s="208">
        <v>13</v>
      </c>
      <c r="Q251" s="208">
        <v>40</v>
      </c>
      <c r="R251" s="208"/>
      <c r="S251" s="208">
        <v>7</v>
      </c>
      <c r="T251" s="208"/>
      <c r="U251" s="208"/>
      <c r="V251" s="208">
        <v>4</v>
      </c>
      <c r="W251" s="208"/>
      <c r="X251" s="208">
        <v>3</v>
      </c>
      <c r="Y251" s="208"/>
      <c r="Z251" s="212"/>
      <c r="AA251" s="208">
        <v>17</v>
      </c>
      <c r="AB251" s="183">
        <f t="shared" si="29"/>
        <v>205</v>
      </c>
      <c r="AC251" s="209"/>
      <c r="AD251" s="212">
        <v>39</v>
      </c>
      <c r="AE251" s="212">
        <v>4</v>
      </c>
      <c r="AF251" s="212">
        <v>15</v>
      </c>
      <c r="AG251" s="212">
        <v>15</v>
      </c>
      <c r="AH251" s="212"/>
      <c r="AI251" s="212">
        <v>0</v>
      </c>
      <c r="AJ251" s="212">
        <v>1</v>
      </c>
      <c r="AK251" s="212"/>
      <c r="AL251" s="212">
        <v>13</v>
      </c>
      <c r="AM251" s="212"/>
      <c r="AN251" s="212">
        <v>10</v>
      </c>
      <c r="AO251" s="212"/>
      <c r="AP251" s="218"/>
      <c r="AQ251" s="209">
        <v>0</v>
      </c>
      <c r="AR251" s="149">
        <f t="shared" si="27"/>
        <v>73000</v>
      </c>
      <c r="AS251" s="150">
        <f t="shared" si="35"/>
        <v>7</v>
      </c>
      <c r="AT251" s="150">
        <f t="shared" si="30"/>
        <v>9125</v>
      </c>
      <c r="AU251" s="183">
        <f t="shared" si="34"/>
        <v>205</v>
      </c>
      <c r="AV251" s="183">
        <v>8</v>
      </c>
      <c r="AW251" s="135">
        <f t="shared" si="32"/>
        <v>3.9024390243902439E-2</v>
      </c>
      <c r="AX251" s="209">
        <v>111</v>
      </c>
      <c r="AY251" s="136">
        <f t="shared" si="26"/>
        <v>6.7226890756302518E-2</v>
      </c>
      <c r="AZ251" s="219">
        <v>1.29</v>
      </c>
      <c r="BA251" s="210">
        <v>1</v>
      </c>
      <c r="BB251" s="211">
        <v>97000</v>
      </c>
      <c r="BC251" s="204"/>
    </row>
    <row r="252" spans="1:55" ht="21">
      <c r="A252">
        <v>11</v>
      </c>
      <c r="B252" s="121" t="s">
        <v>139</v>
      </c>
      <c r="C252" s="155" t="s">
        <v>57</v>
      </c>
      <c r="D252" s="204"/>
      <c r="E252" s="204">
        <v>1</v>
      </c>
      <c r="F252" s="204"/>
      <c r="G252" s="204">
        <v>2</v>
      </c>
      <c r="H252" s="204">
        <v>2</v>
      </c>
      <c r="I252" s="204"/>
      <c r="J252" s="204"/>
      <c r="K252" s="204">
        <v>1</v>
      </c>
      <c r="L252" s="204">
        <v>6</v>
      </c>
      <c r="M252" s="208">
        <v>36</v>
      </c>
      <c r="N252" s="208">
        <v>158</v>
      </c>
      <c r="O252" s="208">
        <v>0</v>
      </c>
      <c r="P252" s="208">
        <v>19</v>
      </c>
      <c r="Q252" s="208">
        <v>15</v>
      </c>
      <c r="R252" s="208"/>
      <c r="S252" s="208">
        <v>8</v>
      </c>
      <c r="T252" s="208">
        <v>0</v>
      </c>
      <c r="U252" s="208">
        <v>0</v>
      </c>
      <c r="V252" s="208">
        <v>0</v>
      </c>
      <c r="W252" s="208"/>
      <c r="X252" s="208">
        <v>0</v>
      </c>
      <c r="Y252" s="208"/>
      <c r="Z252" s="208"/>
      <c r="AA252" s="208"/>
      <c r="AB252" s="183">
        <f t="shared" si="29"/>
        <v>200</v>
      </c>
      <c r="AC252" s="212"/>
      <c r="AD252" s="212">
        <v>90</v>
      </c>
      <c r="AE252" s="212"/>
      <c r="AF252" s="212">
        <v>13</v>
      </c>
      <c r="AG252" s="212">
        <v>15</v>
      </c>
      <c r="AH252" s="212"/>
      <c r="AI252" s="212">
        <v>8</v>
      </c>
      <c r="AJ252" s="212">
        <v>0.5</v>
      </c>
      <c r="AK252" s="212"/>
      <c r="AL252" s="212"/>
      <c r="AM252" s="212"/>
      <c r="AN252" s="212">
        <v>10</v>
      </c>
      <c r="AO252" s="212"/>
      <c r="AP252" s="212"/>
      <c r="AQ252" s="212"/>
      <c r="AR252" s="149">
        <f t="shared" si="27"/>
        <v>126000</v>
      </c>
      <c r="AS252" s="150">
        <f t="shared" si="35"/>
        <v>6</v>
      </c>
      <c r="AT252" s="150">
        <f t="shared" si="30"/>
        <v>14000</v>
      </c>
      <c r="AU252" s="183">
        <f t="shared" si="34"/>
        <v>200</v>
      </c>
      <c r="AV252" s="183">
        <v>9</v>
      </c>
      <c r="AW252" s="135">
        <f t="shared" si="32"/>
        <v>4.4999999999999998E-2</v>
      </c>
      <c r="AX252" s="209">
        <v>70</v>
      </c>
      <c r="AY252" s="136">
        <f t="shared" si="26"/>
        <v>0.11392405063291139</v>
      </c>
      <c r="AZ252" s="219">
        <v>1.03</v>
      </c>
      <c r="BA252" s="210">
        <v>1</v>
      </c>
      <c r="BB252" s="211">
        <v>137000</v>
      </c>
      <c r="BC252" s="204"/>
    </row>
    <row r="253" spans="1:55" ht="21">
      <c r="A253">
        <v>11</v>
      </c>
      <c r="B253" s="121" t="s">
        <v>139</v>
      </c>
      <c r="C253" s="155" t="s">
        <v>66</v>
      </c>
      <c r="D253" s="204">
        <v>1</v>
      </c>
      <c r="E253" s="204"/>
      <c r="F253" s="204">
        <v>2</v>
      </c>
      <c r="G253" s="204">
        <v>1</v>
      </c>
      <c r="H253" s="204"/>
      <c r="I253" s="204">
        <v>2</v>
      </c>
      <c r="J253" s="204">
        <v>1</v>
      </c>
      <c r="K253" s="204"/>
      <c r="L253" s="204">
        <v>7</v>
      </c>
      <c r="M253" s="208">
        <v>12</v>
      </c>
      <c r="N253" s="208">
        <v>20</v>
      </c>
      <c r="O253" s="208">
        <v>0</v>
      </c>
      <c r="P253" s="208">
        <v>27</v>
      </c>
      <c r="Q253" s="208">
        <v>21</v>
      </c>
      <c r="R253" s="208"/>
      <c r="S253" s="208"/>
      <c r="T253" s="208">
        <v>0</v>
      </c>
      <c r="U253" s="208"/>
      <c r="V253" s="208">
        <v>0</v>
      </c>
      <c r="W253" s="208"/>
      <c r="X253" s="208"/>
      <c r="Y253" s="208"/>
      <c r="Z253" s="208"/>
      <c r="AA253" s="208"/>
      <c r="AB253" s="183">
        <f t="shared" si="29"/>
        <v>68</v>
      </c>
      <c r="AC253" s="212"/>
      <c r="AD253" s="212">
        <v>15</v>
      </c>
      <c r="AE253" s="212">
        <v>17</v>
      </c>
      <c r="AF253" s="212">
        <v>15</v>
      </c>
      <c r="AG253" s="212">
        <v>13</v>
      </c>
      <c r="AH253" s="212"/>
      <c r="AI253" s="212"/>
      <c r="AJ253" s="212">
        <v>1</v>
      </c>
      <c r="AK253" s="212"/>
      <c r="AL253" s="212">
        <v>3.6</v>
      </c>
      <c r="AM253" s="212"/>
      <c r="AN253" s="212"/>
      <c r="AO253" s="212"/>
      <c r="AP253" s="212"/>
      <c r="AQ253" s="212"/>
      <c r="AR253" s="149">
        <f t="shared" si="27"/>
        <v>60000</v>
      </c>
      <c r="AS253" s="150">
        <f t="shared" si="35"/>
        <v>6</v>
      </c>
      <c r="AT253" s="150">
        <f t="shared" si="30"/>
        <v>10000</v>
      </c>
      <c r="AU253" s="183">
        <f t="shared" si="34"/>
        <v>68</v>
      </c>
      <c r="AV253" s="183">
        <v>6</v>
      </c>
      <c r="AW253" s="135">
        <f t="shared" si="32"/>
        <v>8.8235294117647065E-2</v>
      </c>
      <c r="AX253" s="209">
        <v>35</v>
      </c>
      <c r="AY253" s="136">
        <f t="shared" si="26"/>
        <v>0.14634146341463414</v>
      </c>
      <c r="AZ253" s="219">
        <v>1.17</v>
      </c>
      <c r="BA253" s="210">
        <v>1</v>
      </c>
      <c r="BB253" s="211">
        <v>65000</v>
      </c>
      <c r="BC253" s="204"/>
    </row>
    <row r="254" spans="1:55" ht="21">
      <c r="A254">
        <v>11</v>
      </c>
      <c r="B254" s="121" t="s">
        <v>70</v>
      </c>
      <c r="C254" s="155" t="s">
        <v>82</v>
      </c>
      <c r="D254" s="204"/>
      <c r="E254" s="204"/>
      <c r="F254" s="204"/>
      <c r="G254" s="204">
        <v>1</v>
      </c>
      <c r="H254" s="204"/>
      <c r="I254" s="204">
        <v>1</v>
      </c>
      <c r="J254" s="204"/>
      <c r="K254" s="204">
        <v>2</v>
      </c>
      <c r="L254" s="204">
        <v>4</v>
      </c>
      <c r="M254" s="208">
        <v>40</v>
      </c>
      <c r="N254" s="208">
        <v>32</v>
      </c>
      <c r="O254" s="208"/>
      <c r="P254" s="208">
        <v>6</v>
      </c>
      <c r="Q254" s="208">
        <v>17</v>
      </c>
      <c r="R254" s="208"/>
      <c r="S254" s="208"/>
      <c r="T254" s="208"/>
      <c r="U254" s="208"/>
      <c r="V254" s="208"/>
      <c r="W254" s="208"/>
      <c r="X254" s="208"/>
      <c r="Y254" s="208"/>
      <c r="Z254" s="208"/>
      <c r="AA254" s="208">
        <v>6</v>
      </c>
      <c r="AB254" s="183">
        <f t="shared" si="29"/>
        <v>61</v>
      </c>
      <c r="AC254" s="212"/>
      <c r="AD254" s="212">
        <v>32</v>
      </c>
      <c r="AE254" s="212"/>
      <c r="AF254" s="212">
        <v>4</v>
      </c>
      <c r="AG254" s="212">
        <v>16</v>
      </c>
      <c r="AH254" s="212"/>
      <c r="AI254" s="212"/>
      <c r="AJ254" s="212">
        <v>2</v>
      </c>
      <c r="AK254" s="212"/>
      <c r="AL254" s="212">
        <v>8</v>
      </c>
      <c r="AM254" s="212"/>
      <c r="AN254" s="212"/>
      <c r="AO254" s="212"/>
      <c r="AP254" s="212"/>
      <c r="AQ254" s="212"/>
      <c r="AR254" s="149">
        <f t="shared" si="27"/>
        <v>52000</v>
      </c>
      <c r="AS254" s="150">
        <f t="shared" si="35"/>
        <v>5</v>
      </c>
      <c r="AT254" s="150">
        <f t="shared" si="30"/>
        <v>6500</v>
      </c>
      <c r="AU254" s="183">
        <f t="shared" si="34"/>
        <v>61</v>
      </c>
      <c r="AV254" s="183">
        <v>8</v>
      </c>
      <c r="AW254" s="135">
        <f t="shared" si="32"/>
        <v>0.13114754098360656</v>
      </c>
      <c r="AX254" s="209">
        <v>44</v>
      </c>
      <c r="AY254" s="136">
        <f t="shared" si="26"/>
        <v>0.15384615384615385</v>
      </c>
      <c r="AZ254" s="219">
        <v>1</v>
      </c>
      <c r="BA254" s="210">
        <v>1</v>
      </c>
      <c r="BB254" s="211">
        <v>62000</v>
      </c>
      <c r="BC254" s="204"/>
    </row>
    <row r="255" spans="1:55" ht="21">
      <c r="A255">
        <v>11</v>
      </c>
      <c r="B255" s="121" t="s">
        <v>21</v>
      </c>
      <c r="C255" s="155" t="s">
        <v>48</v>
      </c>
      <c r="D255" s="204">
        <v>1</v>
      </c>
      <c r="E255" s="204">
        <v>1</v>
      </c>
      <c r="F255" s="204">
        <v>1</v>
      </c>
      <c r="G255" s="204"/>
      <c r="H255" s="204">
        <v>2</v>
      </c>
      <c r="I255" s="204"/>
      <c r="J255" s="204"/>
      <c r="K255" s="204"/>
      <c r="L255" s="204">
        <v>5</v>
      </c>
      <c r="M255" s="208">
        <v>31</v>
      </c>
      <c r="N255" s="208">
        <v>33</v>
      </c>
      <c r="O255" s="208">
        <v>14</v>
      </c>
      <c r="P255" s="208">
        <v>16</v>
      </c>
      <c r="Q255" s="208">
        <v>32</v>
      </c>
      <c r="R255" s="208"/>
      <c r="S255" s="208">
        <v>12</v>
      </c>
      <c r="T255" s="208"/>
      <c r="U255" s="208"/>
      <c r="V255" s="208"/>
      <c r="W255" s="208"/>
      <c r="X255" s="208"/>
      <c r="Y255" s="208"/>
      <c r="Z255" s="208"/>
      <c r="AA255" s="208"/>
      <c r="AB255" s="183">
        <f t="shared" si="29"/>
        <v>107</v>
      </c>
      <c r="AC255" s="212"/>
      <c r="AD255" s="212">
        <v>24</v>
      </c>
      <c r="AE255" s="212">
        <v>10</v>
      </c>
      <c r="AF255" s="212">
        <v>12</v>
      </c>
      <c r="AG255" s="212">
        <v>25</v>
      </c>
      <c r="AH255" s="212"/>
      <c r="AI255" s="212"/>
      <c r="AJ255" s="212"/>
      <c r="AK255" s="212"/>
      <c r="AL255" s="212"/>
      <c r="AM255" s="212"/>
      <c r="AN255" s="212"/>
      <c r="AO255" s="212"/>
      <c r="AP255" s="212"/>
      <c r="AQ255" s="212"/>
      <c r="AR255" s="149">
        <f t="shared" si="27"/>
        <v>71000</v>
      </c>
      <c r="AS255" s="150">
        <f t="shared" si="35"/>
        <v>4</v>
      </c>
      <c r="AT255" s="150">
        <f t="shared" si="30"/>
        <v>6454.545454545455</v>
      </c>
      <c r="AU255" s="183">
        <f t="shared" si="34"/>
        <v>107</v>
      </c>
      <c r="AV255" s="183">
        <v>11</v>
      </c>
      <c r="AW255" s="135">
        <f t="shared" si="32"/>
        <v>0.10280373831775701</v>
      </c>
      <c r="AX255" s="209">
        <v>66</v>
      </c>
      <c r="AY255" s="136">
        <f t="shared" si="26"/>
        <v>0.14285714285714285</v>
      </c>
      <c r="AZ255" s="219">
        <v>0.86</v>
      </c>
      <c r="BA255" s="210">
        <v>0.5</v>
      </c>
      <c r="BB255" s="211">
        <v>71000</v>
      </c>
      <c r="BC255" s="204"/>
    </row>
    <row r="256" spans="1:55" ht="21">
      <c r="A256">
        <v>11</v>
      </c>
      <c r="B256" s="121" t="s">
        <v>70</v>
      </c>
      <c r="C256" s="155" t="s">
        <v>76</v>
      </c>
      <c r="D256" s="204">
        <v>1</v>
      </c>
      <c r="E256" s="204"/>
      <c r="F256" s="204">
        <v>1</v>
      </c>
      <c r="G256" s="204">
        <v>2</v>
      </c>
      <c r="H256" s="204"/>
      <c r="I256" s="204">
        <v>1</v>
      </c>
      <c r="J256" s="204"/>
      <c r="K256" s="204">
        <v>1</v>
      </c>
      <c r="L256" s="204">
        <v>6</v>
      </c>
      <c r="M256" s="208">
        <v>19</v>
      </c>
      <c r="N256" s="208">
        <v>6</v>
      </c>
      <c r="O256" s="208"/>
      <c r="P256" s="208">
        <v>52</v>
      </c>
      <c r="Q256" s="208">
        <v>62</v>
      </c>
      <c r="R256" s="208"/>
      <c r="S256" s="208"/>
      <c r="T256" s="208"/>
      <c r="U256" s="208"/>
      <c r="V256" s="208"/>
      <c r="W256" s="208"/>
      <c r="X256" s="208"/>
      <c r="Y256" s="208"/>
      <c r="Z256" s="208"/>
      <c r="AA256" s="208"/>
      <c r="AB256" s="183">
        <f t="shared" si="29"/>
        <v>120</v>
      </c>
      <c r="AC256" s="212"/>
      <c r="AD256" s="212">
        <v>12</v>
      </c>
      <c r="AE256" s="212"/>
      <c r="AF256" s="212">
        <v>24</v>
      </c>
      <c r="AG256" s="212">
        <v>18</v>
      </c>
      <c r="AH256" s="212">
        <v>3</v>
      </c>
      <c r="AI256" s="212"/>
      <c r="AJ256" s="212"/>
      <c r="AK256" s="212"/>
      <c r="AL256" s="212">
        <v>3</v>
      </c>
      <c r="AM256" s="212"/>
      <c r="AN256" s="212"/>
      <c r="AO256" s="212"/>
      <c r="AP256" s="212"/>
      <c r="AQ256" s="212"/>
      <c r="AR256" s="149">
        <f t="shared" si="27"/>
        <v>57000</v>
      </c>
      <c r="AS256" s="150">
        <f t="shared" si="35"/>
        <v>5</v>
      </c>
      <c r="AT256" s="150">
        <f t="shared" si="30"/>
        <v>7125</v>
      </c>
      <c r="AU256" s="183">
        <f t="shared" si="34"/>
        <v>120</v>
      </c>
      <c r="AV256" s="183">
        <v>8</v>
      </c>
      <c r="AW256" s="135">
        <f>AV256/AU256</f>
        <v>6.6666666666666666E-2</v>
      </c>
      <c r="AX256" s="209">
        <v>39</v>
      </c>
      <c r="AY256" s="136">
        <f t="shared" ref="AY256:AY293" si="36">AV256/SUM(AV256+AX256)</f>
        <v>0.1702127659574468</v>
      </c>
      <c r="AZ256" s="219">
        <v>1.1399999999999999</v>
      </c>
      <c r="BA256" s="210">
        <v>1</v>
      </c>
      <c r="BB256" s="211">
        <v>60000</v>
      </c>
      <c r="BC256" s="204"/>
    </row>
    <row r="257" spans="1:55" ht="21">
      <c r="A257">
        <v>11</v>
      </c>
      <c r="B257" s="121" t="s">
        <v>21</v>
      </c>
      <c r="C257" s="155" t="s">
        <v>27</v>
      </c>
      <c r="D257" s="204"/>
      <c r="E257" s="204">
        <v>1</v>
      </c>
      <c r="F257" s="204">
        <v>2</v>
      </c>
      <c r="G257" s="204"/>
      <c r="H257" s="204"/>
      <c r="I257" s="204"/>
      <c r="J257" s="204"/>
      <c r="K257" s="204"/>
      <c r="L257" s="204">
        <v>3</v>
      </c>
      <c r="M257" s="208">
        <v>79</v>
      </c>
      <c r="N257" s="208">
        <v>18</v>
      </c>
      <c r="O257" s="208"/>
      <c r="P257" s="208">
        <v>41</v>
      </c>
      <c r="Q257" s="208">
        <v>47</v>
      </c>
      <c r="R257" s="208">
        <v>2</v>
      </c>
      <c r="S257" s="208"/>
      <c r="T257" s="208"/>
      <c r="U257" s="208"/>
      <c r="V257" s="208"/>
      <c r="W257" s="208"/>
      <c r="X257" s="208"/>
      <c r="Y257" s="208"/>
      <c r="Z257" s="208"/>
      <c r="AA257" s="208">
        <v>3</v>
      </c>
      <c r="AB257" s="183">
        <f t="shared" si="29"/>
        <v>111</v>
      </c>
      <c r="AC257" s="204"/>
      <c r="AD257" s="212">
        <v>40</v>
      </c>
      <c r="AE257" s="212"/>
      <c r="AF257" s="212">
        <v>35</v>
      </c>
      <c r="AG257" s="212">
        <v>19</v>
      </c>
      <c r="AH257" s="212"/>
      <c r="AI257" s="212"/>
      <c r="AJ257" s="212">
        <v>1</v>
      </c>
      <c r="AK257" s="212"/>
      <c r="AL257" s="212">
        <v>5</v>
      </c>
      <c r="AM257" s="212"/>
      <c r="AN257" s="212"/>
      <c r="AO257" s="212"/>
      <c r="AP257" s="212"/>
      <c r="AQ257" s="212"/>
      <c r="AR257" s="149">
        <f t="shared" si="27"/>
        <v>94000</v>
      </c>
      <c r="AS257" s="150">
        <f>COUNTIF(AD257:AQ257,"&gt;0")</f>
        <v>5</v>
      </c>
      <c r="AT257" s="150">
        <f t="shared" si="30"/>
        <v>10444.444444444445</v>
      </c>
      <c r="AU257" s="183">
        <f>AB257</f>
        <v>111</v>
      </c>
      <c r="AV257" s="183">
        <v>9</v>
      </c>
      <c r="AW257" s="135">
        <f t="shared" si="32"/>
        <v>8.1081081081081086E-2</v>
      </c>
      <c r="AX257" s="209">
        <v>118</v>
      </c>
      <c r="AY257" s="136">
        <f t="shared" si="36"/>
        <v>7.0866141732283464E-2</v>
      </c>
      <c r="AZ257" s="219">
        <v>0.77</v>
      </c>
      <c r="BA257" s="210">
        <v>0.25</v>
      </c>
      <c r="BB257" s="211">
        <v>0</v>
      </c>
      <c r="BC257" s="204"/>
    </row>
    <row r="258" spans="1:55" ht="21">
      <c r="A258">
        <v>11</v>
      </c>
      <c r="B258" s="121" t="s">
        <v>70</v>
      </c>
      <c r="C258" s="155" t="s">
        <v>73</v>
      </c>
      <c r="D258" s="204">
        <v>2</v>
      </c>
      <c r="E258" s="204">
        <v>1</v>
      </c>
      <c r="F258" s="204"/>
      <c r="G258" s="204">
        <v>1</v>
      </c>
      <c r="H258" s="204">
        <v>1</v>
      </c>
      <c r="I258" s="204">
        <v>2</v>
      </c>
      <c r="J258" s="204"/>
      <c r="K258" s="204">
        <v>1</v>
      </c>
      <c r="L258" s="204">
        <v>8</v>
      </c>
      <c r="M258" s="208">
        <v>17</v>
      </c>
      <c r="N258" s="208">
        <v>66</v>
      </c>
      <c r="O258" s="208">
        <v>8</v>
      </c>
      <c r="P258" s="208">
        <v>10</v>
      </c>
      <c r="Q258" s="208">
        <v>41</v>
      </c>
      <c r="R258" s="208"/>
      <c r="S258" s="208"/>
      <c r="T258" s="208"/>
      <c r="U258" s="208"/>
      <c r="V258" s="208"/>
      <c r="W258" s="208"/>
      <c r="X258" s="208"/>
      <c r="Y258" s="208"/>
      <c r="Z258" s="208"/>
      <c r="AA258" s="208"/>
      <c r="AB258" s="183">
        <v>107</v>
      </c>
      <c r="AC258" s="212"/>
      <c r="AD258" s="212">
        <v>14</v>
      </c>
      <c r="AE258" s="212">
        <v>3.8</v>
      </c>
      <c r="AF258" s="212">
        <v>13</v>
      </c>
      <c r="AG258" s="212">
        <v>15</v>
      </c>
      <c r="AH258" s="212"/>
      <c r="AI258" s="212">
        <v>3</v>
      </c>
      <c r="AJ258" s="212">
        <v>1</v>
      </c>
      <c r="AK258" s="212"/>
      <c r="AL258" s="212">
        <v>1</v>
      </c>
      <c r="AM258" s="212"/>
      <c r="AN258" s="212"/>
      <c r="AO258" s="212">
        <v>7.5</v>
      </c>
      <c r="AP258" s="212"/>
      <c r="AQ258" s="212"/>
      <c r="AR258" s="149">
        <f t="shared" ref="AR258:AR293" si="37">(SUM(AD258:AI258)+AQ258)*1000</f>
        <v>48800</v>
      </c>
      <c r="AS258" s="150">
        <f t="shared" si="35"/>
        <v>8</v>
      </c>
      <c r="AT258" s="150">
        <f t="shared" si="30"/>
        <v>6971.4285714285716</v>
      </c>
      <c r="AU258" s="183">
        <f t="shared" si="34"/>
        <v>107</v>
      </c>
      <c r="AV258" s="183">
        <v>7</v>
      </c>
      <c r="AW258" s="135">
        <f t="shared" si="32"/>
        <v>6.5420560747663545E-2</v>
      </c>
      <c r="AX258" s="209">
        <v>37</v>
      </c>
      <c r="AY258" s="136">
        <f t="shared" si="36"/>
        <v>0.15909090909090909</v>
      </c>
      <c r="AZ258" s="219">
        <v>1.28</v>
      </c>
      <c r="BA258" s="210">
        <v>1</v>
      </c>
      <c r="BB258" s="211">
        <v>58000</v>
      </c>
      <c r="BC258" s="204"/>
    </row>
    <row r="259" spans="1:55" ht="21">
      <c r="A259">
        <v>11</v>
      </c>
      <c r="B259" s="121" t="s">
        <v>21</v>
      </c>
      <c r="C259" s="155" t="s">
        <v>30</v>
      </c>
      <c r="D259" s="204">
        <v>2</v>
      </c>
      <c r="E259" s="204">
        <v>1</v>
      </c>
      <c r="F259" s="204">
        <v>1</v>
      </c>
      <c r="G259" s="204"/>
      <c r="H259" s="204">
        <v>1</v>
      </c>
      <c r="I259" s="204"/>
      <c r="J259" s="204"/>
      <c r="K259" s="204"/>
      <c r="L259" s="204">
        <v>5</v>
      </c>
      <c r="M259" s="208">
        <v>89</v>
      </c>
      <c r="N259" s="208">
        <v>11</v>
      </c>
      <c r="O259" s="208">
        <v>12</v>
      </c>
      <c r="P259" s="208">
        <v>12</v>
      </c>
      <c r="Q259" s="208">
        <v>34</v>
      </c>
      <c r="R259" s="208"/>
      <c r="S259" s="208"/>
      <c r="T259" s="208">
        <v>8</v>
      </c>
      <c r="U259" s="208"/>
      <c r="V259" s="208"/>
      <c r="W259" s="208"/>
      <c r="X259" s="208"/>
      <c r="Y259" s="208"/>
      <c r="Z259" s="208"/>
      <c r="AA259" s="208"/>
      <c r="AB259" s="183">
        <f t="shared" ref="AB259:AB268" si="38">SUM(N259:AA259)</f>
        <v>77</v>
      </c>
      <c r="AC259" s="212"/>
      <c r="AD259" s="212">
        <v>20</v>
      </c>
      <c r="AE259" s="212">
        <v>15</v>
      </c>
      <c r="AF259" s="212">
        <v>19</v>
      </c>
      <c r="AG259" s="212">
        <v>31</v>
      </c>
      <c r="AH259" s="212"/>
      <c r="AI259" s="212"/>
      <c r="AJ259" s="212">
        <v>1</v>
      </c>
      <c r="AK259" s="212"/>
      <c r="AL259" s="212"/>
      <c r="AM259" s="212"/>
      <c r="AN259" s="212"/>
      <c r="AO259" s="212"/>
      <c r="AP259" s="212"/>
      <c r="AQ259" s="212"/>
      <c r="AR259" s="149">
        <f t="shared" si="37"/>
        <v>85000</v>
      </c>
      <c r="AS259" s="150">
        <f t="shared" si="35"/>
        <v>5</v>
      </c>
      <c r="AT259" s="150">
        <f t="shared" ref="AT259:AT293" si="39">AR259/AV259</f>
        <v>14166.666666666666</v>
      </c>
      <c r="AU259" s="183">
        <f t="shared" si="34"/>
        <v>77</v>
      </c>
      <c r="AV259" s="183">
        <v>6</v>
      </c>
      <c r="AW259" s="135">
        <f t="shared" ref="AW259:AW293" si="40">AV259/AU259</f>
        <v>7.792207792207792E-2</v>
      </c>
      <c r="AX259" s="209">
        <v>73</v>
      </c>
      <c r="AY259" s="136">
        <f t="shared" si="36"/>
        <v>7.5949367088607597E-2</v>
      </c>
      <c r="AZ259" s="219">
        <v>1</v>
      </c>
      <c r="BA259" s="210">
        <v>1</v>
      </c>
      <c r="BB259" s="211">
        <v>85000</v>
      </c>
      <c r="BC259" s="204"/>
    </row>
    <row r="260" spans="1:55" ht="21">
      <c r="A260">
        <v>11</v>
      </c>
      <c r="B260" s="121" t="s">
        <v>70</v>
      </c>
      <c r="C260" s="155" t="s">
        <v>85</v>
      </c>
      <c r="D260" s="204"/>
      <c r="E260" s="204"/>
      <c r="F260" s="204">
        <v>1</v>
      </c>
      <c r="G260" s="204">
        <v>1</v>
      </c>
      <c r="H260" s="204">
        <v>1</v>
      </c>
      <c r="I260" s="204"/>
      <c r="J260" s="204">
        <v>1</v>
      </c>
      <c r="K260" s="204"/>
      <c r="L260" s="204">
        <v>4</v>
      </c>
      <c r="M260" s="208">
        <v>34</v>
      </c>
      <c r="N260" s="208">
        <v>6</v>
      </c>
      <c r="O260" s="208"/>
      <c r="P260" s="208">
        <v>30</v>
      </c>
      <c r="Q260" s="208">
        <v>131</v>
      </c>
      <c r="R260" s="208"/>
      <c r="S260" s="208"/>
      <c r="T260" s="208">
        <v>0</v>
      </c>
      <c r="U260" s="208"/>
      <c r="V260" s="208">
        <v>2</v>
      </c>
      <c r="W260" s="208"/>
      <c r="X260" s="208"/>
      <c r="Y260" s="208"/>
      <c r="Z260" s="208"/>
      <c r="AA260" s="208"/>
      <c r="AB260" s="183">
        <f t="shared" si="38"/>
        <v>169</v>
      </c>
      <c r="AC260" s="209"/>
      <c r="AD260" s="209">
        <v>12</v>
      </c>
      <c r="AE260" s="209"/>
      <c r="AF260" s="209">
        <v>9</v>
      </c>
      <c r="AG260" s="209">
        <v>39</v>
      </c>
      <c r="AH260" s="209"/>
      <c r="AI260" s="209"/>
      <c r="AJ260" s="209">
        <v>0</v>
      </c>
      <c r="AK260" s="209"/>
      <c r="AL260" s="209"/>
      <c r="AM260" s="209"/>
      <c r="AN260" s="209"/>
      <c r="AO260" s="209"/>
      <c r="AP260" s="209"/>
      <c r="AQ260" s="209"/>
      <c r="AR260" s="149">
        <f t="shared" si="37"/>
        <v>60000</v>
      </c>
      <c r="AS260" s="150">
        <f t="shared" si="35"/>
        <v>3</v>
      </c>
      <c r="AT260" s="150">
        <f t="shared" si="39"/>
        <v>6666.666666666667</v>
      </c>
      <c r="AU260" s="183">
        <f t="shared" si="34"/>
        <v>169</v>
      </c>
      <c r="AV260" s="183">
        <v>9</v>
      </c>
      <c r="AW260" s="135">
        <f t="shared" si="40"/>
        <v>5.3254437869822487E-2</v>
      </c>
      <c r="AX260" s="209">
        <v>60</v>
      </c>
      <c r="AY260" s="136">
        <f t="shared" si="36"/>
        <v>0.13043478260869565</v>
      </c>
      <c r="AZ260" s="219">
        <v>1.79</v>
      </c>
      <c r="BA260" s="210">
        <v>1</v>
      </c>
      <c r="BB260" s="211">
        <v>60000</v>
      </c>
      <c r="BC260" s="204"/>
    </row>
    <row r="261" spans="1:55" ht="21">
      <c r="A261">
        <v>11</v>
      </c>
      <c r="B261" s="121" t="s">
        <v>21</v>
      </c>
      <c r="C261" s="155" t="s">
        <v>45</v>
      </c>
      <c r="D261" s="204"/>
      <c r="E261" s="204"/>
      <c r="F261" s="204">
        <v>1</v>
      </c>
      <c r="G261" s="204"/>
      <c r="H261" s="204">
        <v>1</v>
      </c>
      <c r="I261" s="204"/>
      <c r="J261" s="204">
        <v>1</v>
      </c>
      <c r="K261" s="204">
        <v>1</v>
      </c>
      <c r="L261" s="204">
        <v>4</v>
      </c>
      <c r="M261" s="208">
        <v>111</v>
      </c>
      <c r="N261" s="208">
        <v>0</v>
      </c>
      <c r="O261" s="208"/>
      <c r="P261" s="208">
        <v>11</v>
      </c>
      <c r="Q261" s="208">
        <v>85</v>
      </c>
      <c r="R261" s="208"/>
      <c r="S261" s="208"/>
      <c r="T261" s="208">
        <v>0</v>
      </c>
      <c r="U261" s="208"/>
      <c r="V261" s="208"/>
      <c r="W261" s="208"/>
      <c r="X261" s="208"/>
      <c r="Y261" s="208"/>
      <c r="Z261" s="208"/>
      <c r="AA261" s="208"/>
      <c r="AB261" s="183">
        <f t="shared" si="38"/>
        <v>96</v>
      </c>
      <c r="AC261" s="209"/>
      <c r="AD261" s="209">
        <v>15</v>
      </c>
      <c r="AE261" s="209"/>
      <c r="AF261" s="209">
        <v>25</v>
      </c>
      <c r="AG261" s="209">
        <v>90</v>
      </c>
      <c r="AH261" s="209"/>
      <c r="AI261" s="209"/>
      <c r="AJ261" s="209">
        <v>3</v>
      </c>
      <c r="AK261" s="209"/>
      <c r="AL261" s="209"/>
      <c r="AM261" s="209"/>
      <c r="AN261" s="209"/>
      <c r="AO261" s="209"/>
      <c r="AP261" s="209"/>
      <c r="AQ261" s="209"/>
      <c r="AR261" s="149">
        <f t="shared" si="37"/>
        <v>130000</v>
      </c>
      <c r="AS261" s="150">
        <f t="shared" si="35"/>
        <v>4</v>
      </c>
      <c r="AT261" s="150">
        <f t="shared" si="39"/>
        <v>18571.428571428572</v>
      </c>
      <c r="AU261" s="183">
        <f t="shared" si="34"/>
        <v>96</v>
      </c>
      <c r="AV261" s="183">
        <v>7</v>
      </c>
      <c r="AW261" s="135">
        <f t="shared" si="40"/>
        <v>7.2916666666666671E-2</v>
      </c>
      <c r="AX261" s="209">
        <v>215</v>
      </c>
      <c r="AY261" s="136">
        <f t="shared" si="36"/>
        <v>3.1531531531531529E-2</v>
      </c>
      <c r="AZ261" s="219">
        <v>0.96</v>
      </c>
      <c r="BA261" s="210">
        <v>0.75</v>
      </c>
      <c r="BB261" s="211">
        <v>133000</v>
      </c>
      <c r="BC261" s="204"/>
    </row>
    <row r="262" spans="1:55" ht="21">
      <c r="A262">
        <v>11</v>
      </c>
      <c r="B262" s="121" t="s">
        <v>21</v>
      </c>
      <c r="C262" s="155" t="s">
        <v>20</v>
      </c>
      <c r="D262" s="204">
        <v>1</v>
      </c>
      <c r="E262" s="204">
        <v>1</v>
      </c>
      <c r="F262" s="204">
        <v>2</v>
      </c>
      <c r="G262" s="204"/>
      <c r="H262" s="204">
        <v>1</v>
      </c>
      <c r="I262" s="204">
        <v>1</v>
      </c>
      <c r="J262" s="204"/>
      <c r="K262" s="204"/>
      <c r="L262" s="204">
        <v>6</v>
      </c>
      <c r="M262" s="208">
        <v>93</v>
      </c>
      <c r="N262" s="208">
        <v>137</v>
      </c>
      <c r="O262" s="208">
        <v>4</v>
      </c>
      <c r="P262" s="208">
        <v>31</v>
      </c>
      <c r="Q262" s="208">
        <v>21</v>
      </c>
      <c r="R262" s="208">
        <v>0</v>
      </c>
      <c r="S262" s="208">
        <v>11</v>
      </c>
      <c r="T262" s="208">
        <v>2</v>
      </c>
      <c r="U262" s="208"/>
      <c r="V262" s="208">
        <v>2</v>
      </c>
      <c r="W262" s="208"/>
      <c r="X262" s="208">
        <v>2</v>
      </c>
      <c r="Y262" s="208">
        <v>0</v>
      </c>
      <c r="Z262" s="208"/>
      <c r="AA262" s="208">
        <v>31</v>
      </c>
      <c r="AB262" s="183">
        <f>SUM(N262:AA262)</f>
        <v>241</v>
      </c>
      <c r="AC262" s="209"/>
      <c r="AD262" s="209">
        <v>116</v>
      </c>
      <c r="AE262" s="212">
        <v>18</v>
      </c>
      <c r="AF262" s="212">
        <v>45</v>
      </c>
      <c r="AG262" s="212">
        <v>40</v>
      </c>
      <c r="AH262" s="212">
        <v>8</v>
      </c>
      <c r="AI262" s="212">
        <v>0</v>
      </c>
      <c r="AJ262" s="212">
        <v>1.77</v>
      </c>
      <c r="AK262" s="209"/>
      <c r="AL262" s="212">
        <v>0</v>
      </c>
      <c r="AM262" s="209"/>
      <c r="AN262" s="212">
        <v>10</v>
      </c>
      <c r="AO262" s="212">
        <v>9</v>
      </c>
      <c r="AP262" s="209"/>
      <c r="AQ262" s="212">
        <v>0</v>
      </c>
      <c r="AR262" s="149">
        <f t="shared" si="37"/>
        <v>227000</v>
      </c>
      <c r="AS262" s="150">
        <f t="shared" si="35"/>
        <v>8</v>
      </c>
      <c r="AT262" s="150">
        <f t="shared" si="39"/>
        <v>11350</v>
      </c>
      <c r="AU262" s="183">
        <f t="shared" si="34"/>
        <v>241</v>
      </c>
      <c r="AV262" s="183">
        <v>20</v>
      </c>
      <c r="AW262" s="135">
        <f t="shared" si="40"/>
        <v>8.2987551867219914E-2</v>
      </c>
      <c r="AX262" s="209">
        <v>119</v>
      </c>
      <c r="AY262" s="136">
        <f t="shared" si="36"/>
        <v>0.14388489208633093</v>
      </c>
      <c r="AZ262" s="219">
        <v>1.32</v>
      </c>
      <c r="BA262" s="210">
        <v>1</v>
      </c>
      <c r="BB262" s="211">
        <v>248000</v>
      </c>
      <c r="BC262" s="204"/>
    </row>
    <row r="263" spans="1:55" ht="21">
      <c r="A263">
        <v>11</v>
      </c>
      <c r="B263" s="121" t="s">
        <v>139</v>
      </c>
      <c r="C263" s="155" t="s">
        <v>54</v>
      </c>
      <c r="D263" s="204">
        <v>1</v>
      </c>
      <c r="E263" s="204"/>
      <c r="F263" s="204"/>
      <c r="G263" s="204"/>
      <c r="H263" s="204">
        <v>2</v>
      </c>
      <c r="I263" s="204"/>
      <c r="J263" s="204"/>
      <c r="K263" s="204">
        <v>1</v>
      </c>
      <c r="L263" s="204">
        <v>4</v>
      </c>
      <c r="M263" s="208">
        <v>78</v>
      </c>
      <c r="N263" s="208">
        <v>78</v>
      </c>
      <c r="O263" s="208">
        <v>0</v>
      </c>
      <c r="P263" s="208">
        <v>22</v>
      </c>
      <c r="Q263" s="208">
        <v>63</v>
      </c>
      <c r="R263" s="208"/>
      <c r="S263" s="208">
        <v>59</v>
      </c>
      <c r="T263" s="208"/>
      <c r="U263" s="208"/>
      <c r="V263" s="208">
        <v>0</v>
      </c>
      <c r="W263" s="208"/>
      <c r="X263" s="208"/>
      <c r="Y263" s="208"/>
      <c r="Z263" s="208"/>
      <c r="AA263" s="208">
        <v>0</v>
      </c>
      <c r="AB263" s="183">
        <f t="shared" si="38"/>
        <v>222</v>
      </c>
      <c r="AC263" s="209"/>
      <c r="AD263" s="209">
        <v>75</v>
      </c>
      <c r="AE263" s="209">
        <v>4</v>
      </c>
      <c r="AF263" s="209">
        <v>11</v>
      </c>
      <c r="AG263" s="209">
        <v>29</v>
      </c>
      <c r="AH263" s="209"/>
      <c r="AI263" s="209">
        <v>11</v>
      </c>
      <c r="AJ263" s="209"/>
      <c r="AK263" s="209"/>
      <c r="AL263" s="209">
        <v>5</v>
      </c>
      <c r="AM263" s="209"/>
      <c r="AN263" s="209"/>
      <c r="AO263" s="209"/>
      <c r="AP263" s="209"/>
      <c r="AQ263" s="209">
        <v>20</v>
      </c>
      <c r="AR263" s="149">
        <f t="shared" si="37"/>
        <v>150000</v>
      </c>
      <c r="AS263" s="150">
        <f t="shared" si="35"/>
        <v>7</v>
      </c>
      <c r="AT263" s="150">
        <f t="shared" si="39"/>
        <v>9375</v>
      </c>
      <c r="AU263" s="183">
        <f t="shared" si="34"/>
        <v>222</v>
      </c>
      <c r="AV263" s="183">
        <v>16</v>
      </c>
      <c r="AW263" s="135">
        <f t="shared" si="40"/>
        <v>7.2072072072072071E-2</v>
      </c>
      <c r="AX263" s="209">
        <v>132</v>
      </c>
      <c r="AY263" s="136">
        <f t="shared" si="36"/>
        <v>0.10810810810810811</v>
      </c>
      <c r="AZ263" s="219">
        <v>1.1299999999999999</v>
      </c>
      <c r="BA263" s="210">
        <v>1</v>
      </c>
      <c r="BB263" s="211">
        <v>155000</v>
      </c>
      <c r="BC263" s="204"/>
    </row>
    <row r="264" spans="1:55" ht="21">
      <c r="A264">
        <v>11</v>
      </c>
      <c r="B264" s="121" t="s">
        <v>70</v>
      </c>
      <c r="C264" s="155" t="s">
        <v>86</v>
      </c>
      <c r="D264" s="204">
        <v>1</v>
      </c>
      <c r="E264" s="204">
        <v>1</v>
      </c>
      <c r="F264" s="204">
        <v>3</v>
      </c>
      <c r="G264" s="204">
        <v>2</v>
      </c>
      <c r="H264" s="204">
        <v>1</v>
      </c>
      <c r="I264" s="204">
        <v>1</v>
      </c>
      <c r="J264" s="204"/>
      <c r="K264" s="204"/>
      <c r="L264" s="204">
        <v>9</v>
      </c>
      <c r="M264" s="208">
        <v>3</v>
      </c>
      <c r="N264" s="208">
        <v>45</v>
      </c>
      <c r="O264" s="208"/>
      <c r="P264" s="208">
        <v>33</v>
      </c>
      <c r="Q264" s="208">
        <v>90</v>
      </c>
      <c r="R264" s="208"/>
      <c r="S264" s="208">
        <v>8</v>
      </c>
      <c r="T264" s="208"/>
      <c r="U264" s="208"/>
      <c r="V264" s="208"/>
      <c r="W264" s="208"/>
      <c r="X264" s="208"/>
      <c r="Y264" s="208"/>
      <c r="Z264" s="208"/>
      <c r="AA264" s="208">
        <v>26</v>
      </c>
      <c r="AB264" s="183">
        <f t="shared" si="38"/>
        <v>202</v>
      </c>
      <c r="AC264" s="209"/>
      <c r="AD264" s="209">
        <v>37</v>
      </c>
      <c r="AE264" s="209">
        <v>2</v>
      </c>
      <c r="AF264" s="209">
        <v>15</v>
      </c>
      <c r="AG264" s="209">
        <v>20</v>
      </c>
      <c r="AH264" s="209"/>
      <c r="AI264" s="209"/>
      <c r="AJ264" s="209">
        <v>7</v>
      </c>
      <c r="AK264" s="209"/>
      <c r="AL264" s="209"/>
      <c r="AM264" s="209"/>
      <c r="AN264" s="209"/>
      <c r="AO264" s="209">
        <v>18</v>
      </c>
      <c r="AP264" s="209"/>
      <c r="AQ264" s="209"/>
      <c r="AR264" s="149">
        <f t="shared" si="37"/>
        <v>74000</v>
      </c>
      <c r="AS264" s="150">
        <f t="shared" si="35"/>
        <v>6</v>
      </c>
      <c r="AT264" s="150">
        <f t="shared" si="39"/>
        <v>8222.2222222222226</v>
      </c>
      <c r="AU264" s="183">
        <f t="shared" si="34"/>
        <v>202</v>
      </c>
      <c r="AV264" s="183">
        <v>9</v>
      </c>
      <c r="AW264" s="135">
        <f t="shared" si="40"/>
        <v>4.4554455445544552E-2</v>
      </c>
      <c r="AX264" s="209">
        <v>94</v>
      </c>
      <c r="AY264" s="136">
        <f t="shared" si="36"/>
        <v>8.7378640776699032E-2</v>
      </c>
      <c r="AZ264" s="219">
        <v>1.1599999999999999</v>
      </c>
      <c r="BA264" s="210">
        <v>1</v>
      </c>
      <c r="BB264" s="211">
        <v>98000</v>
      </c>
      <c r="BC264" s="204"/>
    </row>
    <row r="265" spans="1:55" ht="21">
      <c r="A265">
        <v>11</v>
      </c>
      <c r="B265" s="121" t="s">
        <v>139</v>
      </c>
      <c r="C265" s="155" t="s">
        <v>50</v>
      </c>
      <c r="D265" s="204">
        <v>1</v>
      </c>
      <c r="E265" s="204">
        <v>1</v>
      </c>
      <c r="F265" s="204">
        <v>1</v>
      </c>
      <c r="G265" s="204">
        <v>1</v>
      </c>
      <c r="H265" s="204">
        <v>1</v>
      </c>
      <c r="I265" s="204">
        <v>1</v>
      </c>
      <c r="J265" s="204"/>
      <c r="K265" s="204"/>
      <c r="L265" s="204">
        <v>6</v>
      </c>
      <c r="M265" s="208">
        <v>60</v>
      </c>
      <c r="N265" s="208">
        <v>30</v>
      </c>
      <c r="O265" s="208"/>
      <c r="P265" s="208">
        <v>18</v>
      </c>
      <c r="Q265" s="208">
        <v>36</v>
      </c>
      <c r="R265" s="208"/>
      <c r="S265" s="208"/>
      <c r="T265" s="208"/>
      <c r="U265" s="208"/>
      <c r="V265" s="208"/>
      <c r="W265" s="208"/>
      <c r="X265" s="208"/>
      <c r="Y265" s="208"/>
      <c r="Z265" s="208"/>
      <c r="AA265" s="208">
        <v>60</v>
      </c>
      <c r="AB265" s="183">
        <f t="shared" si="38"/>
        <v>144</v>
      </c>
      <c r="AC265" s="209"/>
      <c r="AD265" s="209">
        <v>19.899999999999999</v>
      </c>
      <c r="AE265" s="209"/>
      <c r="AF265" s="209">
        <v>12</v>
      </c>
      <c r="AG265" s="209">
        <v>8</v>
      </c>
      <c r="AH265" s="209"/>
      <c r="AI265" s="209"/>
      <c r="AJ265" s="209"/>
      <c r="AK265" s="209"/>
      <c r="AL265" s="209"/>
      <c r="AM265" s="209"/>
      <c r="AN265" s="209"/>
      <c r="AO265" s="209"/>
      <c r="AP265" s="209"/>
      <c r="AQ265" s="209">
        <v>75</v>
      </c>
      <c r="AR265" s="149">
        <f t="shared" si="37"/>
        <v>114900</v>
      </c>
      <c r="AS265" s="150">
        <f t="shared" si="35"/>
        <v>4</v>
      </c>
      <c r="AT265" s="150">
        <f t="shared" si="39"/>
        <v>57450</v>
      </c>
      <c r="AU265" s="183">
        <f t="shared" si="34"/>
        <v>144</v>
      </c>
      <c r="AV265" s="183">
        <v>2</v>
      </c>
      <c r="AW265" s="135">
        <f t="shared" si="40"/>
        <v>1.3888888888888888E-2</v>
      </c>
      <c r="AX265" s="209">
        <v>56</v>
      </c>
      <c r="AY265" s="136">
        <f t="shared" si="36"/>
        <v>3.4482758620689655E-2</v>
      </c>
      <c r="AZ265" s="219">
        <v>0.96</v>
      </c>
      <c r="BA265" s="210">
        <v>0.75</v>
      </c>
      <c r="BB265" s="211">
        <v>115000</v>
      </c>
      <c r="BC265" s="204"/>
    </row>
    <row r="266" spans="1:55" ht="21">
      <c r="A266">
        <v>11</v>
      </c>
      <c r="B266" s="121" t="s">
        <v>70</v>
      </c>
      <c r="C266" s="155" t="s">
        <v>88</v>
      </c>
      <c r="D266" s="204"/>
      <c r="E266" s="204"/>
      <c r="F266" s="204">
        <v>2</v>
      </c>
      <c r="G266" s="204"/>
      <c r="H266" s="204">
        <v>1</v>
      </c>
      <c r="I266" s="204">
        <v>1</v>
      </c>
      <c r="J266" s="204"/>
      <c r="K266" s="204"/>
      <c r="L266" s="204">
        <v>4</v>
      </c>
      <c r="M266" s="208">
        <v>29</v>
      </c>
      <c r="N266" s="208">
        <v>56</v>
      </c>
      <c r="O266" s="208">
        <v>0</v>
      </c>
      <c r="P266" s="208">
        <v>80</v>
      </c>
      <c r="Q266" s="208">
        <v>56</v>
      </c>
      <c r="R266" s="208">
        <v>12</v>
      </c>
      <c r="S266" s="208">
        <v>0</v>
      </c>
      <c r="T266" s="208">
        <v>0</v>
      </c>
      <c r="U266" s="208"/>
      <c r="V266" s="208">
        <v>0</v>
      </c>
      <c r="W266" s="208"/>
      <c r="X266" s="208">
        <v>0</v>
      </c>
      <c r="Y266" s="208"/>
      <c r="Z266" s="208"/>
      <c r="AA266" s="208"/>
      <c r="AB266" s="183">
        <f t="shared" si="38"/>
        <v>204</v>
      </c>
      <c r="AC266" s="209"/>
      <c r="AD266" s="209">
        <v>34</v>
      </c>
      <c r="AE266" s="209">
        <v>5</v>
      </c>
      <c r="AF266" s="209">
        <v>30</v>
      </c>
      <c r="AG266" s="209">
        <v>30</v>
      </c>
      <c r="AH266" s="209">
        <v>12</v>
      </c>
      <c r="AI266" s="209">
        <v>3</v>
      </c>
      <c r="AJ266" s="209">
        <v>1</v>
      </c>
      <c r="AK266" s="209"/>
      <c r="AL266" s="209">
        <v>2</v>
      </c>
      <c r="AM266" s="209"/>
      <c r="AN266" s="209">
        <v>8</v>
      </c>
      <c r="AO266" s="209"/>
      <c r="AP266" s="209"/>
      <c r="AQ266" s="209"/>
      <c r="AR266" s="149">
        <f t="shared" si="37"/>
        <v>114000</v>
      </c>
      <c r="AS266" s="150">
        <f t="shared" si="35"/>
        <v>9</v>
      </c>
      <c r="AT266" s="150">
        <f t="shared" si="39"/>
        <v>8142.8571428571431</v>
      </c>
      <c r="AU266" s="183">
        <f t="shared" si="34"/>
        <v>204</v>
      </c>
      <c r="AV266" s="183">
        <v>14</v>
      </c>
      <c r="AW266" s="135">
        <f t="shared" si="40"/>
        <v>6.8627450980392163E-2</v>
      </c>
      <c r="AX266" s="209">
        <v>44</v>
      </c>
      <c r="AY266" s="136">
        <f t="shared" si="36"/>
        <v>0.2413793103448276</v>
      </c>
      <c r="AZ266" s="219">
        <v>1.41</v>
      </c>
      <c r="BA266" s="210">
        <v>1</v>
      </c>
      <c r="BB266" s="211">
        <v>125000</v>
      </c>
      <c r="BC266" s="204"/>
    </row>
    <row r="267" spans="1:55" ht="21">
      <c r="A267">
        <v>11</v>
      </c>
      <c r="B267" s="121" t="s">
        <v>21</v>
      </c>
      <c r="C267" s="155" t="s">
        <v>33</v>
      </c>
      <c r="D267" s="204"/>
      <c r="E267" s="204">
        <v>1</v>
      </c>
      <c r="F267" s="204"/>
      <c r="G267" s="204">
        <v>1</v>
      </c>
      <c r="H267" s="204"/>
      <c r="I267" s="204"/>
      <c r="J267" s="204"/>
      <c r="K267" s="204"/>
      <c r="L267" s="204">
        <v>2</v>
      </c>
      <c r="M267" s="208">
        <v>81</v>
      </c>
      <c r="N267" s="208">
        <v>0</v>
      </c>
      <c r="O267" s="208"/>
      <c r="P267" s="208">
        <v>90</v>
      </c>
      <c r="Q267" s="208">
        <v>52</v>
      </c>
      <c r="R267" s="208"/>
      <c r="S267" s="208"/>
      <c r="T267" s="208">
        <v>0</v>
      </c>
      <c r="U267" s="208"/>
      <c r="V267" s="208">
        <v>0</v>
      </c>
      <c r="W267" s="208"/>
      <c r="X267" s="208">
        <v>0</v>
      </c>
      <c r="Y267" s="208"/>
      <c r="Z267" s="208"/>
      <c r="AA267" s="208"/>
      <c r="AB267" s="183">
        <f>SUM(N267:AA267)</f>
        <v>142</v>
      </c>
      <c r="AC267" s="209"/>
      <c r="AD267" s="209">
        <v>40</v>
      </c>
      <c r="AE267" s="209"/>
      <c r="AF267" s="209">
        <v>30</v>
      </c>
      <c r="AG267" s="209">
        <v>35</v>
      </c>
      <c r="AH267" s="209"/>
      <c r="AI267" s="209"/>
      <c r="AJ267" s="209">
        <v>5</v>
      </c>
      <c r="AK267" s="209"/>
      <c r="AL267" s="209">
        <v>25</v>
      </c>
      <c r="AM267" s="209"/>
      <c r="AN267" s="209">
        <v>8</v>
      </c>
      <c r="AO267" s="209"/>
      <c r="AP267" s="209"/>
      <c r="AQ267" s="209"/>
      <c r="AR267" s="149">
        <f t="shared" si="37"/>
        <v>105000</v>
      </c>
      <c r="AS267" s="150">
        <f t="shared" si="35"/>
        <v>6</v>
      </c>
      <c r="AT267" s="150">
        <f t="shared" si="39"/>
        <v>9545.454545454546</v>
      </c>
      <c r="AU267" s="183">
        <f t="shared" si="34"/>
        <v>142</v>
      </c>
      <c r="AV267" s="183">
        <v>11</v>
      </c>
      <c r="AW267" s="135">
        <f t="shared" si="40"/>
        <v>7.746478873239436E-2</v>
      </c>
      <c r="AX267" s="209">
        <v>120</v>
      </c>
      <c r="AY267" s="136">
        <f t="shared" si="36"/>
        <v>8.3969465648854963E-2</v>
      </c>
      <c r="AZ267" s="219">
        <v>1</v>
      </c>
      <c r="BA267" s="210">
        <v>1</v>
      </c>
      <c r="BB267" s="211">
        <v>143000</v>
      </c>
      <c r="BC267" s="204"/>
    </row>
    <row r="268" spans="1:55" ht="21">
      <c r="A268">
        <v>11</v>
      </c>
      <c r="B268" s="121" t="s">
        <v>21</v>
      </c>
      <c r="C268" s="155" t="s">
        <v>24</v>
      </c>
      <c r="D268" s="204">
        <v>2</v>
      </c>
      <c r="E268" s="204">
        <v>1</v>
      </c>
      <c r="F268" s="204">
        <v>1</v>
      </c>
      <c r="G268" s="204"/>
      <c r="H268" s="204"/>
      <c r="I268" s="204"/>
      <c r="J268" s="204"/>
      <c r="K268" s="204"/>
      <c r="L268" s="204">
        <v>4</v>
      </c>
      <c r="M268" s="208">
        <v>10</v>
      </c>
      <c r="N268" s="208"/>
      <c r="O268" s="208"/>
      <c r="P268" s="208">
        <v>6</v>
      </c>
      <c r="Q268" s="208">
        <v>103</v>
      </c>
      <c r="R268" s="208"/>
      <c r="S268" s="208">
        <v>4</v>
      </c>
      <c r="T268" s="208"/>
      <c r="U268" s="208"/>
      <c r="V268" s="208"/>
      <c r="W268" s="208"/>
      <c r="X268" s="208"/>
      <c r="Y268" s="208"/>
      <c r="Z268" s="208"/>
      <c r="AA268" s="208">
        <v>6</v>
      </c>
      <c r="AB268" s="183">
        <f t="shared" si="38"/>
        <v>119</v>
      </c>
      <c r="AC268" s="209"/>
      <c r="AD268" s="209"/>
      <c r="AE268" s="209">
        <v>3</v>
      </c>
      <c r="AF268" s="209"/>
      <c r="AG268" s="209">
        <v>50</v>
      </c>
      <c r="AH268" s="209"/>
      <c r="AI268" s="209">
        <v>3</v>
      </c>
      <c r="AJ268" s="209">
        <v>1</v>
      </c>
      <c r="AK268" s="209"/>
      <c r="AL268" s="209"/>
      <c r="AM268" s="209"/>
      <c r="AN268" s="209">
        <v>3</v>
      </c>
      <c r="AO268" s="209"/>
      <c r="AP268" s="209"/>
      <c r="AQ268" s="209">
        <v>9</v>
      </c>
      <c r="AR268" s="149">
        <f t="shared" si="37"/>
        <v>65000</v>
      </c>
      <c r="AS268" s="150">
        <f t="shared" si="35"/>
        <v>6</v>
      </c>
      <c r="AT268" s="150">
        <f t="shared" si="39"/>
        <v>21666.666666666668</v>
      </c>
      <c r="AU268" s="183">
        <f t="shared" si="34"/>
        <v>119</v>
      </c>
      <c r="AV268" s="183">
        <v>3</v>
      </c>
      <c r="AW268" s="135">
        <f t="shared" si="40"/>
        <v>2.5210084033613446E-2</v>
      </c>
      <c r="AX268" s="209">
        <v>82</v>
      </c>
      <c r="AY268" s="136">
        <f t="shared" si="36"/>
        <v>3.5294117647058823E-2</v>
      </c>
      <c r="AZ268" s="219">
        <v>1.1100000000000001</v>
      </c>
      <c r="BA268" s="210">
        <v>1</v>
      </c>
      <c r="BB268" s="211">
        <v>69000</v>
      </c>
      <c r="BC268" s="204"/>
    </row>
    <row r="269" spans="1:55" ht="21.6" thickBot="1">
      <c r="A269">
        <v>11</v>
      </c>
      <c r="B269" s="122" t="s">
        <v>70</v>
      </c>
      <c r="C269" s="155" t="s">
        <v>92</v>
      </c>
      <c r="D269" s="204">
        <v>1</v>
      </c>
      <c r="E269" s="204"/>
      <c r="F269" s="204">
        <v>1</v>
      </c>
      <c r="G269" s="204">
        <v>2</v>
      </c>
      <c r="H269" s="204"/>
      <c r="I269" s="204">
        <v>3</v>
      </c>
      <c r="J269" s="204"/>
      <c r="K269" s="204">
        <v>1</v>
      </c>
      <c r="L269" s="204">
        <v>8</v>
      </c>
      <c r="M269" s="208">
        <v>19</v>
      </c>
      <c r="N269" s="208">
        <v>49</v>
      </c>
      <c r="O269" s="208"/>
      <c r="P269" s="208">
        <v>31</v>
      </c>
      <c r="Q269" s="208">
        <v>15</v>
      </c>
      <c r="R269" s="208"/>
      <c r="S269" s="208"/>
      <c r="T269" s="208"/>
      <c r="U269" s="208"/>
      <c r="V269" s="208"/>
      <c r="W269" s="208"/>
      <c r="X269" s="208"/>
      <c r="Y269" s="208"/>
      <c r="Z269" s="208"/>
      <c r="AA269" s="208"/>
      <c r="AB269" s="183">
        <f>SUM(N269:AA269)</f>
        <v>95</v>
      </c>
      <c r="AC269" s="209"/>
      <c r="AD269" s="209">
        <v>85</v>
      </c>
      <c r="AE269" s="209"/>
      <c r="AF269" s="209">
        <v>6</v>
      </c>
      <c r="AG269" s="209">
        <v>2</v>
      </c>
      <c r="AH269" s="209"/>
      <c r="AI269" s="209">
        <v>2</v>
      </c>
      <c r="AJ269" s="209">
        <v>1</v>
      </c>
      <c r="AK269" s="209"/>
      <c r="AL269" s="209">
        <v>12</v>
      </c>
      <c r="AM269" s="209"/>
      <c r="AN269" s="209"/>
      <c r="AO269" s="209"/>
      <c r="AP269" s="209"/>
      <c r="AQ269" s="209"/>
      <c r="AR269" s="149">
        <f t="shared" si="37"/>
        <v>95000</v>
      </c>
      <c r="AS269" s="150">
        <f t="shared" si="35"/>
        <v>6</v>
      </c>
      <c r="AT269" s="150">
        <f t="shared" si="39"/>
        <v>13571.428571428571</v>
      </c>
      <c r="AU269" s="183">
        <f t="shared" si="34"/>
        <v>95</v>
      </c>
      <c r="AV269" s="183">
        <v>7</v>
      </c>
      <c r="AW269" s="135">
        <f t="shared" si="40"/>
        <v>7.3684210526315783E-2</v>
      </c>
      <c r="AX269" s="209">
        <v>26</v>
      </c>
      <c r="AY269" s="136">
        <f t="shared" si="36"/>
        <v>0.21212121212121213</v>
      </c>
      <c r="AZ269" s="219">
        <v>1.1000000000000001</v>
      </c>
      <c r="BA269" s="210">
        <v>1</v>
      </c>
      <c r="BB269" s="211">
        <v>108000</v>
      </c>
      <c r="BC269" s="204"/>
    </row>
    <row r="270" spans="1:55" ht="21">
      <c r="A270">
        <v>12</v>
      </c>
      <c r="B270" s="120" t="s">
        <v>70</v>
      </c>
      <c r="C270" s="155" t="s">
        <v>69</v>
      </c>
      <c r="D270">
        <v>1</v>
      </c>
      <c r="G270">
        <v>2</v>
      </c>
      <c r="H270">
        <v>1</v>
      </c>
      <c r="I270">
        <v>1</v>
      </c>
      <c r="K270">
        <v>1</v>
      </c>
      <c r="L270">
        <f>SUM(D270:K270)</f>
        <v>6</v>
      </c>
      <c r="M270" s="230">
        <v>30</v>
      </c>
      <c r="N270" s="229">
        <v>127</v>
      </c>
      <c r="O270" s="230"/>
      <c r="P270" s="229">
        <v>11</v>
      </c>
      <c r="Q270" s="229">
        <v>42</v>
      </c>
      <c r="R270" s="229"/>
      <c r="S270" s="229"/>
      <c r="T270" s="229"/>
      <c r="U270" s="230"/>
      <c r="V270" s="230"/>
      <c r="W270" s="230"/>
      <c r="X270" s="230"/>
      <c r="Y270" s="230"/>
      <c r="Z270" s="230"/>
      <c r="AA270" s="53">
        <v>18</v>
      </c>
      <c r="AB270" s="183">
        <f>SUM(N270:AA270)</f>
        <v>198</v>
      </c>
      <c r="AD270">
        <v>30</v>
      </c>
      <c r="AF270">
        <v>4</v>
      </c>
      <c r="AG270">
        <v>5</v>
      </c>
      <c r="AJ270">
        <v>0.5</v>
      </c>
      <c r="AL270">
        <v>2</v>
      </c>
      <c r="AR270" s="149">
        <f t="shared" si="37"/>
        <v>39000</v>
      </c>
      <c r="AS270" s="150">
        <f t="shared" si="35"/>
        <v>5</v>
      </c>
      <c r="AT270" s="150">
        <f t="shared" si="39"/>
        <v>7800</v>
      </c>
      <c r="AU270" s="183">
        <f t="shared" si="34"/>
        <v>198</v>
      </c>
      <c r="AV270" s="236">
        <v>5</v>
      </c>
      <c r="AW270" s="135">
        <f t="shared" si="40"/>
        <v>2.5252525252525252E-2</v>
      </c>
      <c r="AX270" s="237">
        <v>31</v>
      </c>
      <c r="AY270" s="136">
        <f t="shared" si="36"/>
        <v>0.1388888888888889</v>
      </c>
      <c r="AZ270" s="153">
        <v>1.1100000000000001</v>
      </c>
      <c r="BA270" s="153">
        <v>1</v>
      </c>
      <c r="BB270" s="134">
        <v>41500</v>
      </c>
    </row>
    <row r="271" spans="1:55" ht="21">
      <c r="A271">
        <v>12</v>
      </c>
      <c r="B271" s="121" t="s">
        <v>21</v>
      </c>
      <c r="C271" s="155" t="s">
        <v>36</v>
      </c>
      <c r="D271">
        <v>1</v>
      </c>
      <c r="F271">
        <v>1</v>
      </c>
      <c r="L271">
        <f t="shared" ref="L271:L293" si="41">SUM(D271:K271)</f>
        <v>2</v>
      </c>
      <c r="M271" s="230">
        <v>55</v>
      </c>
      <c r="O271" s="229"/>
      <c r="P271" s="229">
        <v>27</v>
      </c>
      <c r="Q271" s="229">
        <v>20</v>
      </c>
      <c r="R271" s="229"/>
      <c r="S271" s="229"/>
      <c r="T271" s="229"/>
      <c r="U271" s="230"/>
      <c r="V271" s="230"/>
      <c r="W271" s="230"/>
      <c r="X271" s="230"/>
      <c r="Y271" s="230"/>
      <c r="Z271" s="230"/>
      <c r="AA271" s="53"/>
      <c r="AB271" s="183">
        <f>SUM(N271:AA271)</f>
        <v>47</v>
      </c>
      <c r="AF271">
        <v>18</v>
      </c>
      <c r="AG271">
        <v>23.2</v>
      </c>
      <c r="AR271" s="149">
        <f t="shared" si="37"/>
        <v>41200</v>
      </c>
      <c r="AS271" s="150">
        <f t="shared" si="35"/>
        <v>2</v>
      </c>
      <c r="AT271" s="150">
        <f t="shared" si="39"/>
        <v>13733.333333333334</v>
      </c>
      <c r="AU271" s="183">
        <f t="shared" si="34"/>
        <v>47</v>
      </c>
      <c r="AV271" s="237">
        <v>3</v>
      </c>
      <c r="AW271" s="135">
        <f t="shared" si="40"/>
        <v>6.3829787234042548E-2</v>
      </c>
      <c r="AX271" s="237">
        <v>44</v>
      </c>
      <c r="AY271" s="136">
        <f t="shared" si="36"/>
        <v>6.3829787234042548E-2</v>
      </c>
      <c r="AZ271" s="153">
        <v>1.1000000000000001</v>
      </c>
      <c r="BA271" s="153">
        <v>1</v>
      </c>
      <c r="BB271" s="134">
        <v>41200</v>
      </c>
    </row>
    <row r="272" spans="1:55" ht="21">
      <c r="A272">
        <v>12</v>
      </c>
      <c r="B272" s="121" t="s">
        <v>139</v>
      </c>
      <c r="C272" s="155" t="s">
        <v>149</v>
      </c>
      <c r="E272">
        <v>1</v>
      </c>
      <c r="F272">
        <v>1</v>
      </c>
      <c r="I272">
        <v>1</v>
      </c>
      <c r="K272">
        <v>1</v>
      </c>
      <c r="L272">
        <f t="shared" si="41"/>
        <v>4</v>
      </c>
      <c r="M272" s="231">
        <v>83</v>
      </c>
      <c r="N272" s="52">
        <v>0</v>
      </c>
      <c r="O272" s="87">
        <v>0</v>
      </c>
      <c r="P272" s="231">
        <v>39</v>
      </c>
      <c r="Q272" s="53">
        <v>76</v>
      </c>
      <c r="R272" s="53"/>
      <c r="S272" s="53">
        <v>5</v>
      </c>
      <c r="T272" s="53">
        <v>0</v>
      </c>
      <c r="U272" s="53"/>
      <c r="V272" s="53">
        <v>0</v>
      </c>
      <c r="W272" s="53"/>
      <c r="X272" s="53"/>
      <c r="Y272" s="53"/>
      <c r="Z272" s="53"/>
      <c r="AA272" s="53"/>
      <c r="AB272" s="183">
        <f t="shared" ref="AB272:AB293" si="42">SUM(N272:AA272)</f>
        <v>120</v>
      </c>
      <c r="AD272">
        <v>80</v>
      </c>
      <c r="AE272">
        <v>6</v>
      </c>
      <c r="AF272">
        <v>30</v>
      </c>
      <c r="AG272">
        <v>30</v>
      </c>
      <c r="AI272">
        <v>1</v>
      </c>
      <c r="AJ272">
        <v>5</v>
      </c>
      <c r="AL272">
        <v>20</v>
      </c>
      <c r="AR272" s="149">
        <f t="shared" si="37"/>
        <v>147000</v>
      </c>
      <c r="AS272" s="150">
        <f t="shared" si="35"/>
        <v>7</v>
      </c>
      <c r="AT272" s="150">
        <f t="shared" si="39"/>
        <v>5880</v>
      </c>
      <c r="AU272" s="183">
        <f t="shared" si="34"/>
        <v>120</v>
      </c>
      <c r="AV272" s="228">
        <v>25</v>
      </c>
      <c r="AW272" s="135">
        <f t="shared" si="40"/>
        <v>0.20833333333333334</v>
      </c>
      <c r="AX272" s="228">
        <v>78</v>
      </c>
      <c r="AY272" s="136">
        <f t="shared" si="36"/>
        <v>0.24271844660194175</v>
      </c>
      <c r="AZ272" s="153">
        <v>1.03</v>
      </c>
      <c r="BA272" s="153">
        <v>1</v>
      </c>
      <c r="BB272" s="134">
        <v>172000</v>
      </c>
    </row>
    <row r="273" spans="1:54" ht="21">
      <c r="A273">
        <v>12</v>
      </c>
      <c r="B273" s="121" t="s">
        <v>70</v>
      </c>
      <c r="C273" s="155" t="s">
        <v>90</v>
      </c>
      <c r="E273">
        <v>1</v>
      </c>
      <c r="F273">
        <v>1</v>
      </c>
      <c r="G273">
        <v>1</v>
      </c>
      <c r="H273">
        <v>1</v>
      </c>
      <c r="I273">
        <v>1</v>
      </c>
      <c r="K273">
        <v>1</v>
      </c>
      <c r="L273">
        <f t="shared" si="41"/>
        <v>6</v>
      </c>
      <c r="M273" s="231">
        <v>32</v>
      </c>
      <c r="N273" s="52">
        <v>62</v>
      </c>
      <c r="O273" s="87"/>
      <c r="P273" s="53">
        <v>15</v>
      </c>
      <c r="Q273" s="53">
        <v>48</v>
      </c>
      <c r="R273" s="53">
        <v>5</v>
      </c>
      <c r="S273" s="53"/>
      <c r="T273" s="53"/>
      <c r="U273" s="53">
        <v>7</v>
      </c>
      <c r="V273" s="53">
        <v>6</v>
      </c>
      <c r="W273" s="53"/>
      <c r="X273" s="53"/>
      <c r="Y273" s="53"/>
      <c r="Z273" s="53"/>
      <c r="AA273" s="53"/>
      <c r="AB273" s="183">
        <f t="shared" si="42"/>
        <v>143</v>
      </c>
      <c r="AD273">
        <v>24.7</v>
      </c>
      <c r="AF273">
        <v>8.3000000000000007</v>
      </c>
      <c r="AG273">
        <v>35</v>
      </c>
      <c r="AH273">
        <v>12</v>
      </c>
      <c r="AJ273">
        <v>3.3</v>
      </c>
      <c r="AL273">
        <v>2.5</v>
      </c>
      <c r="AR273" s="149">
        <f t="shared" si="37"/>
        <v>80000</v>
      </c>
      <c r="AS273" s="150">
        <f t="shared" si="35"/>
        <v>6</v>
      </c>
      <c r="AT273" s="150">
        <f t="shared" si="39"/>
        <v>13333.333333333334</v>
      </c>
      <c r="AU273" s="183">
        <f t="shared" si="34"/>
        <v>143</v>
      </c>
      <c r="AV273" s="236">
        <v>6</v>
      </c>
      <c r="AW273" s="135">
        <f t="shared" si="40"/>
        <v>4.195804195804196E-2</v>
      </c>
      <c r="AX273" s="237">
        <v>14</v>
      </c>
      <c r="AY273" s="136">
        <f t="shared" si="36"/>
        <v>0.3</v>
      </c>
      <c r="AZ273" s="153">
        <v>0.98</v>
      </c>
      <c r="BA273" s="153">
        <v>0.75</v>
      </c>
      <c r="BB273" s="134">
        <v>85800</v>
      </c>
    </row>
    <row r="274" spans="1:54" ht="21">
      <c r="A274">
        <v>12</v>
      </c>
      <c r="B274" s="121" t="s">
        <v>70</v>
      </c>
      <c r="C274" s="155" t="s">
        <v>79</v>
      </c>
      <c r="D274">
        <v>1</v>
      </c>
      <c r="E274">
        <v>1</v>
      </c>
      <c r="F274">
        <v>1</v>
      </c>
      <c r="G274">
        <v>1</v>
      </c>
      <c r="I274">
        <v>1</v>
      </c>
      <c r="K274">
        <v>1</v>
      </c>
      <c r="L274">
        <f t="shared" si="41"/>
        <v>6</v>
      </c>
      <c r="M274" s="232">
        <v>49</v>
      </c>
      <c r="N274" s="232">
        <v>31</v>
      </c>
      <c r="O274" s="52"/>
      <c r="P274" s="53">
        <v>3</v>
      </c>
      <c r="Q274" s="53">
        <v>19</v>
      </c>
      <c r="R274" s="53"/>
      <c r="S274" s="53"/>
      <c r="T274" s="53"/>
      <c r="U274" s="53"/>
      <c r="V274" s="53"/>
      <c r="W274" s="53"/>
      <c r="X274" s="53"/>
      <c r="Y274" s="53"/>
      <c r="Z274" s="233"/>
      <c r="AA274" s="53"/>
      <c r="AB274" s="183">
        <f t="shared" si="42"/>
        <v>53</v>
      </c>
      <c r="AD274">
        <v>10</v>
      </c>
      <c r="AF274">
        <v>11</v>
      </c>
      <c r="AG274">
        <v>8</v>
      </c>
      <c r="AH274">
        <v>2</v>
      </c>
      <c r="AJ274">
        <v>2</v>
      </c>
      <c r="AL274">
        <v>15</v>
      </c>
      <c r="AR274" s="149">
        <f t="shared" si="37"/>
        <v>31000</v>
      </c>
      <c r="AS274" s="150">
        <f t="shared" si="35"/>
        <v>6</v>
      </c>
      <c r="AT274" s="150">
        <f t="shared" si="39"/>
        <v>5166.666666666667</v>
      </c>
      <c r="AU274" s="183">
        <f t="shared" si="34"/>
        <v>53</v>
      </c>
      <c r="AV274" s="237">
        <v>6</v>
      </c>
      <c r="AW274" s="135">
        <f t="shared" si="40"/>
        <v>0.11320754716981132</v>
      </c>
      <c r="AX274" s="237">
        <v>39</v>
      </c>
      <c r="AY274" s="136">
        <f t="shared" si="36"/>
        <v>0.13333333333333333</v>
      </c>
      <c r="AZ274" s="153">
        <v>1</v>
      </c>
      <c r="BA274" s="153">
        <v>1</v>
      </c>
      <c r="BB274" s="134">
        <v>48000</v>
      </c>
    </row>
    <row r="275" spans="1:54" ht="21">
      <c r="A275">
        <v>12</v>
      </c>
      <c r="B275" s="121" t="s">
        <v>139</v>
      </c>
      <c r="C275" s="155" t="s">
        <v>60</v>
      </c>
      <c r="D275">
        <v>2</v>
      </c>
      <c r="E275">
        <v>1</v>
      </c>
      <c r="F275">
        <v>1</v>
      </c>
      <c r="H275">
        <v>1</v>
      </c>
      <c r="L275">
        <f t="shared" si="41"/>
        <v>5</v>
      </c>
      <c r="M275" s="232">
        <v>31</v>
      </c>
      <c r="N275" s="232">
        <v>49</v>
      </c>
      <c r="O275" s="52">
        <v>21</v>
      </c>
      <c r="P275" s="53">
        <v>16</v>
      </c>
      <c r="Q275" s="53">
        <v>37</v>
      </c>
      <c r="R275" s="53"/>
      <c r="S275" s="53">
        <v>10</v>
      </c>
      <c r="T275" s="53"/>
      <c r="U275" s="53"/>
      <c r="V275" s="53">
        <v>6</v>
      </c>
      <c r="W275" s="53"/>
      <c r="X275" s="53">
        <v>3</v>
      </c>
      <c r="Y275" s="53"/>
      <c r="Z275" s="234"/>
      <c r="AA275" s="53">
        <v>17</v>
      </c>
      <c r="AB275" s="183">
        <f t="shared" si="42"/>
        <v>159</v>
      </c>
      <c r="AD275">
        <v>39</v>
      </c>
      <c r="AE275">
        <v>4</v>
      </c>
      <c r="AF275">
        <v>15</v>
      </c>
      <c r="AG275">
        <v>15</v>
      </c>
      <c r="AI275">
        <v>9</v>
      </c>
      <c r="AJ275">
        <v>1</v>
      </c>
      <c r="AL275">
        <v>13</v>
      </c>
      <c r="AN275">
        <v>10</v>
      </c>
      <c r="AR275" s="149">
        <f t="shared" si="37"/>
        <v>82000</v>
      </c>
      <c r="AS275" s="150">
        <f t="shared" si="35"/>
        <v>8</v>
      </c>
      <c r="AT275" s="150">
        <f t="shared" si="39"/>
        <v>5125</v>
      </c>
      <c r="AU275" s="183">
        <f t="shared" si="34"/>
        <v>159</v>
      </c>
      <c r="AV275" s="237">
        <v>16</v>
      </c>
      <c r="AW275" s="135">
        <f t="shared" si="40"/>
        <v>0.10062893081761007</v>
      </c>
      <c r="AX275" s="237">
        <v>190</v>
      </c>
      <c r="AY275" s="136">
        <f t="shared" si="36"/>
        <v>7.7669902912621352E-2</v>
      </c>
      <c r="AZ275" s="153">
        <v>0.99</v>
      </c>
      <c r="BA275" s="153">
        <v>0.75</v>
      </c>
      <c r="BB275" s="134">
        <v>106000</v>
      </c>
    </row>
    <row r="276" spans="1:54" ht="21">
      <c r="A276">
        <v>12</v>
      </c>
      <c r="B276" s="121" t="s">
        <v>139</v>
      </c>
      <c r="C276" s="155" t="s">
        <v>57</v>
      </c>
      <c r="D276">
        <v>1</v>
      </c>
      <c r="G276">
        <v>2</v>
      </c>
      <c r="K276">
        <v>1</v>
      </c>
      <c r="L276">
        <f t="shared" si="41"/>
        <v>4</v>
      </c>
      <c r="M276" s="53">
        <v>43</v>
      </c>
      <c r="N276" s="52">
        <v>92</v>
      </c>
      <c r="O276" s="87"/>
      <c r="P276" s="53">
        <v>44</v>
      </c>
      <c r="Q276" s="53">
        <v>17</v>
      </c>
      <c r="R276" s="53"/>
      <c r="S276" s="53"/>
      <c r="T276" s="53"/>
      <c r="U276" s="53"/>
      <c r="V276" s="53"/>
      <c r="W276" s="53"/>
      <c r="X276" s="53"/>
      <c r="Y276" s="53"/>
      <c r="Z276" s="53"/>
      <c r="AA276" s="53"/>
      <c r="AB276" s="183">
        <f t="shared" si="42"/>
        <v>153</v>
      </c>
      <c r="AD276">
        <v>54</v>
      </c>
      <c r="AF276">
        <v>33</v>
      </c>
      <c r="AG276">
        <v>11</v>
      </c>
      <c r="AR276" s="149">
        <f t="shared" si="37"/>
        <v>98000</v>
      </c>
      <c r="AS276" s="150">
        <f t="shared" si="35"/>
        <v>3</v>
      </c>
      <c r="AT276" s="150">
        <f t="shared" si="39"/>
        <v>9800</v>
      </c>
      <c r="AU276" s="183">
        <f t="shared" si="34"/>
        <v>153</v>
      </c>
      <c r="AV276" s="237">
        <v>10</v>
      </c>
      <c r="AW276" s="135">
        <f t="shared" si="40"/>
        <v>6.535947712418301E-2</v>
      </c>
      <c r="AX276" s="238">
        <v>68</v>
      </c>
      <c r="AY276" s="136">
        <f t="shared" si="36"/>
        <v>0.12820512820512819</v>
      </c>
      <c r="AZ276" s="153">
        <v>0.95</v>
      </c>
      <c r="BA276" s="153">
        <v>0.75</v>
      </c>
      <c r="BB276" s="134">
        <v>98000</v>
      </c>
    </row>
    <row r="277" spans="1:54" ht="21">
      <c r="A277">
        <v>12</v>
      </c>
      <c r="B277" s="121" t="s">
        <v>139</v>
      </c>
      <c r="C277" s="155" t="s">
        <v>66</v>
      </c>
      <c r="E277">
        <v>1</v>
      </c>
      <c r="F277">
        <v>4</v>
      </c>
      <c r="I277">
        <v>1</v>
      </c>
      <c r="K277">
        <v>1</v>
      </c>
      <c r="L277">
        <f t="shared" si="41"/>
        <v>7</v>
      </c>
      <c r="M277" s="231">
        <v>14</v>
      </c>
      <c r="N277" s="52">
        <v>19</v>
      </c>
      <c r="O277" s="52">
        <v>0</v>
      </c>
      <c r="P277" s="53">
        <v>25</v>
      </c>
      <c r="Q277" s="53">
        <v>21</v>
      </c>
      <c r="R277" s="53"/>
      <c r="S277" s="53">
        <v>2</v>
      </c>
      <c r="T277" s="53">
        <v>0</v>
      </c>
      <c r="U277" s="53"/>
      <c r="V277" s="53">
        <v>0</v>
      </c>
      <c r="W277" s="53"/>
      <c r="X277" s="53"/>
      <c r="Y277" s="53"/>
      <c r="Z277" s="53"/>
      <c r="AA277" s="53"/>
      <c r="AB277" s="183">
        <f t="shared" si="42"/>
        <v>67</v>
      </c>
      <c r="AE277">
        <v>17</v>
      </c>
      <c r="AF277">
        <v>25</v>
      </c>
      <c r="AG277">
        <v>13</v>
      </c>
      <c r="AJ277">
        <v>1</v>
      </c>
      <c r="AL277">
        <v>3.6</v>
      </c>
      <c r="AR277" s="149">
        <f t="shared" si="37"/>
        <v>55000</v>
      </c>
      <c r="AS277" s="150">
        <f t="shared" si="35"/>
        <v>5</v>
      </c>
      <c r="AT277" s="150">
        <f t="shared" si="39"/>
        <v>6111.1111111111113</v>
      </c>
      <c r="AU277" s="183">
        <f t="shared" si="34"/>
        <v>67</v>
      </c>
      <c r="AV277" s="238">
        <v>9</v>
      </c>
      <c r="AW277" s="135">
        <f t="shared" si="40"/>
        <v>0.13432835820895522</v>
      </c>
      <c r="AX277" s="239">
        <v>35</v>
      </c>
      <c r="AY277" s="136">
        <f t="shared" si="36"/>
        <v>0.20454545454545456</v>
      </c>
      <c r="AZ277" s="153">
        <v>1.07</v>
      </c>
      <c r="BA277" s="153">
        <v>1</v>
      </c>
      <c r="BB277" s="134">
        <v>59600</v>
      </c>
    </row>
    <row r="278" spans="1:54" ht="21">
      <c r="A278">
        <v>12</v>
      </c>
      <c r="B278" s="121" t="s">
        <v>70</v>
      </c>
      <c r="C278" s="155" t="s">
        <v>82</v>
      </c>
      <c r="D278">
        <v>1</v>
      </c>
      <c r="G278">
        <v>1</v>
      </c>
      <c r="H278">
        <v>1</v>
      </c>
      <c r="I278">
        <v>1</v>
      </c>
      <c r="K278">
        <v>1</v>
      </c>
      <c r="L278">
        <f t="shared" si="41"/>
        <v>5</v>
      </c>
      <c r="M278" s="231">
        <v>21</v>
      </c>
      <c r="N278" s="52">
        <v>31</v>
      </c>
      <c r="O278" s="52">
        <v>2</v>
      </c>
      <c r="P278" s="53">
        <v>6</v>
      </c>
      <c r="Q278" s="53">
        <v>8</v>
      </c>
      <c r="R278" s="53"/>
      <c r="S278" s="53">
        <v>2</v>
      </c>
      <c r="T278" s="53"/>
      <c r="U278" s="53"/>
      <c r="V278" s="53"/>
      <c r="W278" s="53"/>
      <c r="X278" s="53"/>
      <c r="Y278" s="53"/>
      <c r="Z278" s="53"/>
      <c r="AA278" s="53">
        <v>13</v>
      </c>
      <c r="AB278" s="183">
        <f t="shared" si="42"/>
        <v>62</v>
      </c>
      <c r="AD278">
        <v>68</v>
      </c>
      <c r="AE278">
        <v>5</v>
      </c>
      <c r="AF278">
        <v>4</v>
      </c>
      <c r="AG278">
        <v>12</v>
      </c>
      <c r="AI278">
        <v>4</v>
      </c>
      <c r="AJ278">
        <v>2</v>
      </c>
      <c r="AL278">
        <v>9</v>
      </c>
      <c r="AR278" s="149">
        <f t="shared" si="37"/>
        <v>93000</v>
      </c>
      <c r="AS278" s="150">
        <f t="shared" si="35"/>
        <v>7</v>
      </c>
      <c r="AT278" s="150">
        <f t="shared" si="39"/>
        <v>15500</v>
      </c>
      <c r="AU278" s="183">
        <f t="shared" si="34"/>
        <v>62</v>
      </c>
      <c r="AV278" s="240">
        <v>6</v>
      </c>
      <c r="AW278" s="135">
        <f t="shared" si="40"/>
        <v>9.6774193548387094E-2</v>
      </c>
      <c r="AX278" s="240">
        <v>35</v>
      </c>
      <c r="AY278" s="136">
        <f t="shared" si="36"/>
        <v>0.14634146341463414</v>
      </c>
      <c r="AZ278" s="153">
        <v>1.06</v>
      </c>
      <c r="BA278" s="153">
        <v>1</v>
      </c>
      <c r="BB278" s="134">
        <v>104000</v>
      </c>
    </row>
    <row r="279" spans="1:54" ht="21">
      <c r="A279">
        <v>12</v>
      </c>
      <c r="B279" s="121" t="s">
        <v>21</v>
      </c>
      <c r="C279" s="155" t="s">
        <v>48</v>
      </c>
      <c r="D279">
        <v>1</v>
      </c>
      <c r="E279">
        <v>1</v>
      </c>
      <c r="F279">
        <v>1</v>
      </c>
      <c r="L279">
        <f t="shared" si="41"/>
        <v>3</v>
      </c>
      <c r="M279" s="231">
        <v>72</v>
      </c>
      <c r="N279" s="52">
        <v>35</v>
      </c>
      <c r="O279" s="52">
        <v>15</v>
      </c>
      <c r="P279" s="53">
        <v>15</v>
      </c>
      <c r="Q279" s="53">
        <v>95</v>
      </c>
      <c r="R279" s="53"/>
      <c r="S279" s="53"/>
      <c r="T279" s="53"/>
      <c r="U279" s="53"/>
      <c r="V279" s="53"/>
      <c r="W279" s="53"/>
      <c r="X279" s="53"/>
      <c r="Y279" s="53"/>
      <c r="Z279" s="53"/>
      <c r="AA279" s="53"/>
      <c r="AB279" s="183">
        <f t="shared" si="42"/>
        <v>160</v>
      </c>
      <c r="AD279">
        <v>24</v>
      </c>
      <c r="AE279">
        <v>10</v>
      </c>
      <c r="AF279">
        <v>12</v>
      </c>
      <c r="AG279">
        <v>25</v>
      </c>
      <c r="AR279" s="149">
        <f t="shared" si="37"/>
        <v>71000</v>
      </c>
      <c r="AS279" s="150">
        <f t="shared" si="35"/>
        <v>4</v>
      </c>
      <c r="AT279" s="150">
        <f t="shared" si="39"/>
        <v>6454.545454545455</v>
      </c>
      <c r="AU279" s="183">
        <f t="shared" si="34"/>
        <v>160</v>
      </c>
      <c r="AV279" s="240">
        <v>11</v>
      </c>
      <c r="AW279" s="135">
        <f t="shared" si="40"/>
        <v>6.8750000000000006E-2</v>
      </c>
      <c r="AX279" s="240">
        <v>55</v>
      </c>
      <c r="AY279" s="136">
        <f t="shared" si="36"/>
        <v>0.16666666666666666</v>
      </c>
      <c r="AZ279" s="153">
        <v>0.8</v>
      </c>
      <c r="BA279" s="153">
        <v>0.5</v>
      </c>
      <c r="BB279" s="134">
        <v>71000</v>
      </c>
    </row>
    <row r="280" spans="1:54" ht="21">
      <c r="A280">
        <v>12</v>
      </c>
      <c r="B280" s="121" t="s">
        <v>70</v>
      </c>
      <c r="C280" s="155" t="s">
        <v>76</v>
      </c>
      <c r="D280">
        <v>1</v>
      </c>
      <c r="E280">
        <v>1</v>
      </c>
      <c r="G280">
        <v>2</v>
      </c>
      <c r="H280">
        <v>1</v>
      </c>
      <c r="I280">
        <v>1</v>
      </c>
      <c r="K280">
        <v>1</v>
      </c>
      <c r="L280">
        <f t="shared" si="41"/>
        <v>7</v>
      </c>
      <c r="M280" s="231">
        <v>28</v>
      </c>
      <c r="N280" s="52">
        <v>47</v>
      </c>
      <c r="O280" s="52"/>
      <c r="P280" s="53">
        <v>48</v>
      </c>
      <c r="Q280" s="53">
        <v>45</v>
      </c>
      <c r="R280" s="53"/>
      <c r="S280" s="53"/>
      <c r="T280" s="53"/>
      <c r="U280" s="53"/>
      <c r="V280" s="53"/>
      <c r="W280" s="53"/>
      <c r="X280" s="53"/>
      <c r="Y280" s="53"/>
      <c r="Z280" s="53"/>
      <c r="AA280" s="53"/>
      <c r="AB280" s="183">
        <f t="shared" si="42"/>
        <v>140</v>
      </c>
      <c r="AD280">
        <v>30</v>
      </c>
      <c r="AF280">
        <v>18</v>
      </c>
      <c r="AG280">
        <v>14</v>
      </c>
      <c r="AL280">
        <v>6</v>
      </c>
      <c r="AR280" s="149">
        <f t="shared" si="37"/>
        <v>62000</v>
      </c>
      <c r="AS280" s="150">
        <f t="shared" si="35"/>
        <v>4</v>
      </c>
      <c r="AT280" s="150">
        <f t="shared" si="39"/>
        <v>7750</v>
      </c>
      <c r="AU280" s="183">
        <f t="shared" si="34"/>
        <v>140</v>
      </c>
      <c r="AV280" s="240">
        <v>8</v>
      </c>
      <c r="AW280" s="135">
        <f t="shared" si="40"/>
        <v>5.7142857142857141E-2</v>
      </c>
      <c r="AX280" s="240">
        <v>38</v>
      </c>
      <c r="AY280" s="136">
        <f t="shared" si="36"/>
        <v>0.17391304347826086</v>
      </c>
      <c r="AZ280" s="153">
        <v>1.1599999999999999</v>
      </c>
      <c r="BA280" s="153">
        <v>1</v>
      </c>
      <c r="BB280" s="134">
        <v>68000</v>
      </c>
    </row>
    <row r="281" spans="1:54" ht="21">
      <c r="A281">
        <v>12</v>
      </c>
      <c r="B281" s="121" t="s">
        <v>21</v>
      </c>
      <c r="C281" s="155" t="s">
        <v>27</v>
      </c>
      <c r="E281">
        <v>1</v>
      </c>
      <c r="F281">
        <v>3</v>
      </c>
      <c r="G281">
        <v>2</v>
      </c>
      <c r="L281">
        <f t="shared" si="41"/>
        <v>6</v>
      </c>
      <c r="M281" s="231">
        <v>98</v>
      </c>
      <c r="N281" s="52">
        <v>29</v>
      </c>
      <c r="O281" s="52"/>
      <c r="P281" s="53">
        <v>39</v>
      </c>
      <c r="Q281" s="53">
        <v>40</v>
      </c>
      <c r="R281" s="53"/>
      <c r="S281" s="53"/>
      <c r="T281" s="53"/>
      <c r="U281" s="53"/>
      <c r="V281" s="53"/>
      <c r="W281" s="53"/>
      <c r="X281" s="53"/>
      <c r="Y281" s="53"/>
      <c r="Z281" s="53"/>
      <c r="AA281" s="53">
        <v>1</v>
      </c>
      <c r="AB281" s="183">
        <f t="shared" si="42"/>
        <v>109</v>
      </c>
      <c r="AD281">
        <v>35</v>
      </c>
      <c r="AF281">
        <v>29</v>
      </c>
      <c r="AG281">
        <v>12</v>
      </c>
      <c r="AJ281">
        <v>2</v>
      </c>
      <c r="AL281">
        <v>5</v>
      </c>
      <c r="AR281" s="149">
        <f t="shared" si="37"/>
        <v>76000</v>
      </c>
      <c r="AS281" s="150">
        <f t="shared" si="35"/>
        <v>5</v>
      </c>
      <c r="AT281" s="150">
        <f t="shared" si="39"/>
        <v>7600</v>
      </c>
      <c r="AU281" s="183">
        <f t="shared" si="34"/>
        <v>109</v>
      </c>
      <c r="AV281" s="240">
        <v>10</v>
      </c>
      <c r="AW281" s="135">
        <f t="shared" si="40"/>
        <v>9.1743119266055051E-2</v>
      </c>
      <c r="AX281" s="240">
        <v>106</v>
      </c>
      <c r="AY281" s="136">
        <f t="shared" si="36"/>
        <v>8.6206896551724144E-2</v>
      </c>
      <c r="AZ281" s="153">
        <v>0.7</v>
      </c>
      <c r="BA281" s="153">
        <v>0.25</v>
      </c>
      <c r="BB281" s="134">
        <v>83000</v>
      </c>
    </row>
    <row r="282" spans="1:54" ht="21">
      <c r="A282">
        <v>12</v>
      </c>
      <c r="B282" s="121" t="s">
        <v>70</v>
      </c>
      <c r="C282" s="155" t="s">
        <v>73</v>
      </c>
      <c r="D282">
        <v>1</v>
      </c>
      <c r="G282">
        <v>2</v>
      </c>
      <c r="H282">
        <v>2</v>
      </c>
      <c r="I282">
        <v>1</v>
      </c>
      <c r="K282">
        <v>1</v>
      </c>
      <c r="L282">
        <f t="shared" si="41"/>
        <v>7</v>
      </c>
      <c r="M282" s="231">
        <v>14</v>
      </c>
      <c r="N282" s="52">
        <v>73</v>
      </c>
      <c r="O282" s="52"/>
      <c r="P282" s="53">
        <v>13</v>
      </c>
      <c r="Q282" s="53">
        <v>45</v>
      </c>
      <c r="R282" s="53"/>
      <c r="S282" s="53"/>
      <c r="T282" s="53"/>
      <c r="U282" s="53"/>
      <c r="V282" s="53"/>
      <c r="W282" s="53"/>
      <c r="X282" s="53"/>
      <c r="Y282" s="53"/>
      <c r="Z282" s="53"/>
      <c r="AA282" s="53">
        <v>7</v>
      </c>
      <c r="AB282" s="183">
        <f t="shared" si="42"/>
        <v>138</v>
      </c>
      <c r="AD282">
        <v>43</v>
      </c>
      <c r="AE282">
        <v>3.5</v>
      </c>
      <c r="AF282">
        <v>7</v>
      </c>
      <c r="AG282">
        <v>34</v>
      </c>
      <c r="AH282">
        <v>3</v>
      </c>
      <c r="AI282">
        <v>3</v>
      </c>
      <c r="AJ282">
        <v>1</v>
      </c>
      <c r="AL282">
        <v>1</v>
      </c>
      <c r="AR282" s="149">
        <f t="shared" si="37"/>
        <v>93500</v>
      </c>
      <c r="AS282" s="150">
        <f t="shared" si="35"/>
        <v>8</v>
      </c>
      <c r="AT282" s="150">
        <f t="shared" si="39"/>
        <v>23375</v>
      </c>
      <c r="AU282" s="183">
        <f t="shared" si="34"/>
        <v>138</v>
      </c>
      <c r="AV282" s="240">
        <v>4</v>
      </c>
      <c r="AW282" s="135">
        <f t="shared" si="40"/>
        <v>2.8985507246376812E-2</v>
      </c>
      <c r="AX282" s="240">
        <v>24</v>
      </c>
      <c r="AY282" s="136">
        <f t="shared" si="36"/>
        <v>0.14285714285714285</v>
      </c>
      <c r="AZ282" s="153">
        <v>1.22</v>
      </c>
      <c r="BA282" s="153">
        <v>1</v>
      </c>
      <c r="BB282" s="134">
        <v>95500</v>
      </c>
    </row>
    <row r="283" spans="1:54" ht="21">
      <c r="A283">
        <v>12</v>
      </c>
      <c r="B283" s="121" t="s">
        <v>21</v>
      </c>
      <c r="C283" s="155" t="s">
        <v>30</v>
      </c>
      <c r="D283">
        <v>1</v>
      </c>
      <c r="E283">
        <v>1</v>
      </c>
      <c r="F283">
        <v>2</v>
      </c>
      <c r="G283">
        <v>1</v>
      </c>
      <c r="L283">
        <f t="shared" si="41"/>
        <v>5</v>
      </c>
      <c r="M283" s="231">
        <v>104</v>
      </c>
      <c r="N283" s="52">
        <v>21</v>
      </c>
      <c r="O283" s="52">
        <v>17</v>
      </c>
      <c r="P283" s="53">
        <v>24</v>
      </c>
      <c r="Q283" s="53">
        <v>30</v>
      </c>
      <c r="R283" s="53"/>
      <c r="S283" s="53">
        <v>15</v>
      </c>
      <c r="T283" s="53"/>
      <c r="U283" s="53"/>
      <c r="V283" s="53"/>
      <c r="W283" s="53"/>
      <c r="X283" s="53"/>
      <c r="Y283" s="53"/>
      <c r="Z283" s="53"/>
      <c r="AA283" s="53"/>
      <c r="AB283" s="183">
        <v>125</v>
      </c>
      <c r="AD283">
        <v>40</v>
      </c>
      <c r="AE283">
        <v>20</v>
      </c>
      <c r="AF283">
        <v>19</v>
      </c>
      <c r="AG283">
        <v>23</v>
      </c>
      <c r="AI283">
        <v>8</v>
      </c>
      <c r="AJ283">
        <v>1</v>
      </c>
      <c r="AR283" s="149">
        <f t="shared" si="37"/>
        <v>110000</v>
      </c>
      <c r="AS283" s="150">
        <f t="shared" si="35"/>
        <v>6</v>
      </c>
      <c r="AT283" s="150">
        <f t="shared" si="39"/>
        <v>11000</v>
      </c>
      <c r="AU283" s="183">
        <f t="shared" si="34"/>
        <v>125</v>
      </c>
      <c r="AV283" s="240">
        <v>10</v>
      </c>
      <c r="AW283" s="135">
        <f t="shared" si="40"/>
        <v>0.08</v>
      </c>
      <c r="AX283" s="240">
        <v>73</v>
      </c>
      <c r="AY283" s="136">
        <f t="shared" si="36"/>
        <v>0.12048192771084337</v>
      </c>
      <c r="AZ283" s="153">
        <v>0.8</v>
      </c>
      <c r="BA283" s="153">
        <v>0.5</v>
      </c>
      <c r="BB283" s="134">
        <v>111000</v>
      </c>
    </row>
    <row r="284" spans="1:54" ht="21">
      <c r="A284">
        <v>12</v>
      </c>
      <c r="B284" s="121" t="s">
        <v>70</v>
      </c>
      <c r="C284" s="155" t="s">
        <v>85</v>
      </c>
      <c r="E284">
        <v>1</v>
      </c>
      <c r="F284">
        <v>1</v>
      </c>
      <c r="H284">
        <v>1</v>
      </c>
      <c r="I284">
        <v>1</v>
      </c>
      <c r="K284">
        <v>1</v>
      </c>
      <c r="L284">
        <f t="shared" si="41"/>
        <v>5</v>
      </c>
      <c r="M284" s="235">
        <v>24</v>
      </c>
      <c r="N284" s="235">
        <v>22</v>
      </c>
      <c r="O284" s="235"/>
      <c r="P284" s="235">
        <v>30</v>
      </c>
      <c r="Q284" s="235">
        <v>82</v>
      </c>
      <c r="R284" s="235"/>
      <c r="S284" s="235"/>
      <c r="T284" s="235"/>
      <c r="U284" s="235"/>
      <c r="V284" s="235"/>
      <c r="W284" s="235"/>
      <c r="X284" s="235"/>
      <c r="Y284" s="235"/>
      <c r="Z284" s="235"/>
      <c r="AA284" s="235"/>
      <c r="AB284" s="183">
        <f t="shared" si="42"/>
        <v>134</v>
      </c>
      <c r="AC284">
        <v>7</v>
      </c>
      <c r="AD284">
        <v>7</v>
      </c>
      <c r="AF284">
        <v>9</v>
      </c>
      <c r="AG284">
        <v>25</v>
      </c>
      <c r="AR284" s="149">
        <f t="shared" si="37"/>
        <v>41000</v>
      </c>
      <c r="AS284" s="150">
        <f t="shared" si="35"/>
        <v>3</v>
      </c>
      <c r="AT284" s="150">
        <f t="shared" si="39"/>
        <v>5857.1428571428569</v>
      </c>
      <c r="AU284" s="183">
        <f t="shared" si="34"/>
        <v>134</v>
      </c>
      <c r="AV284" s="241">
        <v>7</v>
      </c>
      <c r="AW284" s="135">
        <f t="shared" si="40"/>
        <v>5.2238805970149252E-2</v>
      </c>
      <c r="AX284" s="241">
        <v>69</v>
      </c>
      <c r="AY284" s="136">
        <f t="shared" si="36"/>
        <v>9.2105263157894732E-2</v>
      </c>
      <c r="AZ284" s="153">
        <v>1.1599999999999999</v>
      </c>
      <c r="BA284" s="153">
        <v>1</v>
      </c>
      <c r="BB284" s="134">
        <v>48000</v>
      </c>
    </row>
    <row r="285" spans="1:54" ht="21">
      <c r="A285">
        <v>12</v>
      </c>
      <c r="B285" s="121" t="s">
        <v>21</v>
      </c>
      <c r="C285" s="155" t="s">
        <v>45</v>
      </c>
      <c r="L285">
        <f t="shared" si="41"/>
        <v>0</v>
      </c>
      <c r="M285" s="235">
        <v>128</v>
      </c>
      <c r="N285" s="235">
        <v>25</v>
      </c>
      <c r="O285" s="235">
        <v>0</v>
      </c>
      <c r="P285" s="235">
        <v>24</v>
      </c>
      <c r="Q285" s="235">
        <v>44</v>
      </c>
      <c r="R285" s="235">
        <v>0</v>
      </c>
      <c r="S285" s="235">
        <v>0</v>
      </c>
      <c r="T285" s="235">
        <v>0</v>
      </c>
      <c r="U285" s="235"/>
      <c r="V285" s="235">
        <v>0</v>
      </c>
      <c r="W285" s="235"/>
      <c r="X285" s="235"/>
      <c r="Y285" s="235"/>
      <c r="Z285" s="235"/>
      <c r="AA285" s="235"/>
      <c r="AB285" s="183">
        <f t="shared" si="42"/>
        <v>93</v>
      </c>
      <c r="AD285">
        <v>25</v>
      </c>
      <c r="AF285">
        <v>20</v>
      </c>
      <c r="AG285">
        <v>50</v>
      </c>
      <c r="AH285">
        <v>5</v>
      </c>
      <c r="AI285">
        <v>2</v>
      </c>
      <c r="AJ285">
        <v>3</v>
      </c>
      <c r="AL285">
        <v>15</v>
      </c>
      <c r="AR285" s="149">
        <f t="shared" si="37"/>
        <v>102000</v>
      </c>
      <c r="AS285" s="150">
        <f t="shared" si="35"/>
        <v>7</v>
      </c>
      <c r="AT285" s="150">
        <f t="shared" si="39"/>
        <v>9272.7272727272721</v>
      </c>
      <c r="AU285" s="183">
        <f t="shared" si="34"/>
        <v>93</v>
      </c>
      <c r="AV285" s="241">
        <v>11</v>
      </c>
      <c r="AW285" s="135">
        <f t="shared" si="40"/>
        <v>0.11827956989247312</v>
      </c>
      <c r="AX285" s="241">
        <v>164</v>
      </c>
      <c r="AY285" s="136">
        <f t="shared" si="36"/>
        <v>6.2857142857142861E-2</v>
      </c>
      <c r="AZ285" s="153">
        <v>1</v>
      </c>
      <c r="BA285" s="153">
        <v>1</v>
      </c>
      <c r="BB285" s="134">
        <v>120000</v>
      </c>
    </row>
    <row r="286" spans="1:54" ht="21">
      <c r="A286">
        <v>12</v>
      </c>
      <c r="B286" s="121" t="s">
        <v>21</v>
      </c>
      <c r="C286" s="155" t="s">
        <v>20</v>
      </c>
      <c r="D286">
        <v>1</v>
      </c>
      <c r="E286">
        <v>1</v>
      </c>
      <c r="F286">
        <v>1</v>
      </c>
      <c r="H286">
        <v>1</v>
      </c>
      <c r="I286">
        <v>1</v>
      </c>
      <c r="L286">
        <f t="shared" si="41"/>
        <v>5</v>
      </c>
      <c r="M286" s="235">
        <v>118</v>
      </c>
      <c r="N286" s="235">
        <v>51</v>
      </c>
      <c r="O286" s="87">
        <v>4</v>
      </c>
      <c r="P286" s="53">
        <v>74</v>
      </c>
      <c r="Q286" s="53">
        <v>28</v>
      </c>
      <c r="R286" s="53"/>
      <c r="S286" s="53">
        <v>22</v>
      </c>
      <c r="T286" s="87">
        <v>2</v>
      </c>
      <c r="U286" s="235"/>
      <c r="V286" s="87"/>
      <c r="W286" s="235"/>
      <c r="X286" s="87"/>
      <c r="Y286" s="87"/>
      <c r="Z286" s="235"/>
      <c r="AA286" s="87">
        <v>43</v>
      </c>
      <c r="AB286" s="183">
        <f t="shared" si="42"/>
        <v>224</v>
      </c>
      <c r="AD286">
        <v>114</v>
      </c>
      <c r="AE286">
        <v>18</v>
      </c>
      <c r="AF286">
        <v>50</v>
      </c>
      <c r="AG286">
        <v>32</v>
      </c>
      <c r="AH286">
        <v>20</v>
      </c>
      <c r="AI286">
        <v>0</v>
      </c>
      <c r="AJ286">
        <v>1.38</v>
      </c>
      <c r="AN286">
        <v>15</v>
      </c>
      <c r="AO286">
        <v>9.5</v>
      </c>
      <c r="AR286" s="149">
        <f t="shared" si="37"/>
        <v>234000</v>
      </c>
      <c r="AS286" s="150">
        <f t="shared" si="35"/>
        <v>8</v>
      </c>
      <c r="AT286" s="150">
        <f t="shared" si="39"/>
        <v>9000</v>
      </c>
      <c r="AU286" s="183">
        <f t="shared" ref="AU286:AU293" si="43">AB286</f>
        <v>224</v>
      </c>
      <c r="AV286" s="241">
        <v>26</v>
      </c>
      <c r="AW286" s="135">
        <f t="shared" si="40"/>
        <v>0.11607142857142858</v>
      </c>
      <c r="AX286" s="241">
        <v>143</v>
      </c>
      <c r="AY286" s="136">
        <f t="shared" si="36"/>
        <v>0.15384615384615385</v>
      </c>
      <c r="AZ286" s="153">
        <v>1.22</v>
      </c>
      <c r="BA286" s="153">
        <v>1</v>
      </c>
      <c r="BB286" s="134">
        <v>259880</v>
      </c>
    </row>
    <row r="287" spans="1:54" ht="21">
      <c r="A287">
        <v>12</v>
      </c>
      <c r="B287" s="121" t="s">
        <v>139</v>
      </c>
      <c r="C287" s="155" t="s">
        <v>54</v>
      </c>
      <c r="D287">
        <v>1</v>
      </c>
      <c r="E287">
        <v>1</v>
      </c>
      <c r="G287">
        <v>1</v>
      </c>
      <c r="K287">
        <v>1</v>
      </c>
      <c r="L287">
        <f t="shared" si="41"/>
        <v>4</v>
      </c>
      <c r="M287" s="231">
        <v>41</v>
      </c>
      <c r="N287" s="52">
        <v>99</v>
      </c>
      <c r="O287" s="53">
        <v>9</v>
      </c>
      <c r="P287" s="53"/>
      <c r="Q287" s="53">
        <v>82</v>
      </c>
      <c r="R287" s="53"/>
      <c r="S287" s="53">
        <v>8</v>
      </c>
      <c r="T287" s="53">
        <v>0</v>
      </c>
      <c r="U287" s="53"/>
      <c r="V287" s="53">
        <v>4</v>
      </c>
      <c r="W287" s="53"/>
      <c r="X287" s="53"/>
      <c r="Y287" s="53"/>
      <c r="Z287" s="53"/>
      <c r="AA287" s="53"/>
      <c r="AB287" s="183">
        <f t="shared" si="42"/>
        <v>202</v>
      </c>
      <c r="AC287">
        <v>20</v>
      </c>
      <c r="AD287">
        <v>90</v>
      </c>
      <c r="AE287">
        <v>9</v>
      </c>
      <c r="AG287">
        <v>27</v>
      </c>
      <c r="AI287">
        <v>10</v>
      </c>
      <c r="AJ287">
        <v>2</v>
      </c>
      <c r="AL287">
        <v>8</v>
      </c>
      <c r="AR287" s="149">
        <f t="shared" si="37"/>
        <v>136000</v>
      </c>
      <c r="AS287" s="150">
        <f t="shared" si="35"/>
        <v>6</v>
      </c>
      <c r="AT287" s="150">
        <f t="shared" si="39"/>
        <v>9714.2857142857138</v>
      </c>
      <c r="AU287" s="183">
        <f t="shared" si="43"/>
        <v>202</v>
      </c>
      <c r="AV287" s="228">
        <v>14</v>
      </c>
      <c r="AW287" s="135">
        <f t="shared" si="40"/>
        <v>6.9306930693069313E-2</v>
      </c>
      <c r="AX287" s="228">
        <v>171</v>
      </c>
      <c r="AY287" s="136">
        <f t="shared" si="36"/>
        <v>7.567567567567568E-2</v>
      </c>
      <c r="AZ287" s="153">
        <v>1.05</v>
      </c>
      <c r="BA287" s="153">
        <v>1</v>
      </c>
      <c r="BB287" s="134">
        <v>166000</v>
      </c>
    </row>
    <row r="288" spans="1:54" ht="21">
      <c r="A288">
        <v>12</v>
      </c>
      <c r="B288" s="121" t="s">
        <v>70</v>
      </c>
      <c r="C288" s="155" t="s">
        <v>86</v>
      </c>
      <c r="D288">
        <v>1</v>
      </c>
      <c r="E288">
        <v>2</v>
      </c>
      <c r="G288">
        <v>4</v>
      </c>
      <c r="H288">
        <v>1</v>
      </c>
      <c r="I288">
        <v>1</v>
      </c>
      <c r="K288">
        <v>1</v>
      </c>
      <c r="L288">
        <f t="shared" si="41"/>
        <v>10</v>
      </c>
      <c r="M288" s="235">
        <v>10</v>
      </c>
      <c r="N288" s="235">
        <v>45</v>
      </c>
      <c r="O288" s="235"/>
      <c r="P288" s="235">
        <v>31</v>
      </c>
      <c r="Q288" s="235">
        <v>63</v>
      </c>
      <c r="R288" s="235"/>
      <c r="S288" s="235">
        <v>10</v>
      </c>
      <c r="T288" s="235"/>
      <c r="U288" s="235"/>
      <c r="V288" s="235"/>
      <c r="W288" s="235"/>
      <c r="X288" s="235"/>
      <c r="Y288" s="235"/>
      <c r="Z288" s="235"/>
      <c r="AA288" s="235">
        <v>23</v>
      </c>
      <c r="AB288" s="183">
        <f t="shared" si="42"/>
        <v>172</v>
      </c>
      <c r="AD288">
        <v>49</v>
      </c>
      <c r="AE288">
        <v>1</v>
      </c>
      <c r="AF288">
        <v>14</v>
      </c>
      <c r="AG288">
        <v>18</v>
      </c>
      <c r="AI288">
        <v>2</v>
      </c>
      <c r="AJ288">
        <v>2</v>
      </c>
      <c r="AL288">
        <v>31</v>
      </c>
      <c r="AR288" s="149">
        <f t="shared" si="37"/>
        <v>84000</v>
      </c>
      <c r="AS288" s="150">
        <f t="shared" si="35"/>
        <v>7</v>
      </c>
      <c r="AT288" s="150">
        <f t="shared" si="39"/>
        <v>10500</v>
      </c>
      <c r="AU288" s="183">
        <f t="shared" si="43"/>
        <v>172</v>
      </c>
      <c r="AV288" s="241">
        <v>8</v>
      </c>
      <c r="AW288" s="135">
        <f t="shared" si="40"/>
        <v>4.6511627906976744E-2</v>
      </c>
      <c r="AX288" s="241">
        <v>70</v>
      </c>
      <c r="AY288" s="136">
        <f t="shared" si="36"/>
        <v>0.10256410256410256</v>
      </c>
      <c r="AZ288" s="153">
        <v>1.2</v>
      </c>
      <c r="BA288" s="153">
        <v>1</v>
      </c>
      <c r="BB288" s="134">
        <v>117000</v>
      </c>
    </row>
    <row r="289" spans="1:54" ht="21">
      <c r="A289">
        <v>12</v>
      </c>
      <c r="B289" s="121" t="s">
        <v>139</v>
      </c>
      <c r="C289" s="155" t="s">
        <v>50</v>
      </c>
      <c r="D289">
        <v>1</v>
      </c>
      <c r="E289">
        <v>1</v>
      </c>
      <c r="F289">
        <v>1</v>
      </c>
      <c r="H289">
        <v>1</v>
      </c>
      <c r="I289">
        <v>1</v>
      </c>
      <c r="L289">
        <f t="shared" si="41"/>
        <v>5</v>
      </c>
      <c r="M289" s="231">
        <v>28</v>
      </c>
      <c r="N289" s="52">
        <v>15</v>
      </c>
      <c r="O289" s="231"/>
      <c r="P289" s="53">
        <v>32</v>
      </c>
      <c r="Q289" s="53">
        <v>14</v>
      </c>
      <c r="R289" s="53"/>
      <c r="S289" s="53"/>
      <c r="T289" s="53"/>
      <c r="U289" s="53"/>
      <c r="V289" s="53"/>
      <c r="W289" s="53"/>
      <c r="X289" s="53"/>
      <c r="Y289" s="53"/>
      <c r="Z289" s="53"/>
      <c r="AA289" s="53">
        <v>28</v>
      </c>
      <c r="AB289" s="183">
        <f t="shared" si="42"/>
        <v>89</v>
      </c>
      <c r="AD289">
        <v>41.4</v>
      </c>
      <c r="AE289">
        <v>6</v>
      </c>
      <c r="AF289">
        <v>12</v>
      </c>
      <c r="AG289">
        <v>8</v>
      </c>
      <c r="AN289">
        <v>6</v>
      </c>
      <c r="AO289">
        <v>40</v>
      </c>
      <c r="AQ289">
        <v>39</v>
      </c>
      <c r="AR289" s="149">
        <f t="shared" si="37"/>
        <v>106400</v>
      </c>
      <c r="AS289" s="150">
        <f t="shared" si="35"/>
        <v>7</v>
      </c>
      <c r="AT289" s="150">
        <f t="shared" si="39"/>
        <v>17733.333333333332</v>
      </c>
      <c r="AU289" s="183">
        <f t="shared" si="43"/>
        <v>89</v>
      </c>
      <c r="AV289" s="240">
        <v>6</v>
      </c>
      <c r="AW289" s="135">
        <f t="shared" si="40"/>
        <v>6.741573033707865E-2</v>
      </c>
      <c r="AX289" s="240">
        <v>67</v>
      </c>
      <c r="AY289" s="136">
        <f t="shared" si="36"/>
        <v>8.2191780821917804E-2</v>
      </c>
      <c r="AZ289" s="153">
        <v>0.9</v>
      </c>
      <c r="BA289" s="153">
        <v>0.75</v>
      </c>
      <c r="BB289" s="134">
        <v>152400</v>
      </c>
    </row>
    <row r="290" spans="1:54" ht="21">
      <c r="A290">
        <v>12</v>
      </c>
      <c r="B290" s="121" t="s">
        <v>70</v>
      </c>
      <c r="C290" s="155" t="s">
        <v>88</v>
      </c>
      <c r="F290">
        <v>2</v>
      </c>
      <c r="I290">
        <v>1</v>
      </c>
      <c r="K290">
        <v>1</v>
      </c>
      <c r="L290">
        <f t="shared" si="41"/>
        <v>4</v>
      </c>
      <c r="M290" s="235">
        <v>26</v>
      </c>
      <c r="N290" s="235">
        <v>64</v>
      </c>
      <c r="O290" s="235">
        <v>5</v>
      </c>
      <c r="P290" s="235">
        <v>42</v>
      </c>
      <c r="Q290" s="235">
        <v>55</v>
      </c>
      <c r="R290" s="235">
        <v>15</v>
      </c>
      <c r="S290" s="235">
        <v>0</v>
      </c>
      <c r="T290" s="235">
        <v>0</v>
      </c>
      <c r="U290" s="235"/>
      <c r="V290" s="235">
        <v>2</v>
      </c>
      <c r="W290" s="235"/>
      <c r="X290" s="235"/>
      <c r="Y290" s="235">
        <v>0</v>
      </c>
      <c r="Z290" s="235"/>
      <c r="AA290" s="235"/>
      <c r="AB290" s="183">
        <f t="shared" si="42"/>
        <v>183</v>
      </c>
      <c r="AD290">
        <v>30</v>
      </c>
      <c r="AE290">
        <v>15</v>
      </c>
      <c r="AF290">
        <v>30</v>
      </c>
      <c r="AG290">
        <v>36</v>
      </c>
      <c r="AH290">
        <v>12</v>
      </c>
      <c r="AI290">
        <v>3</v>
      </c>
      <c r="AJ290">
        <v>1</v>
      </c>
      <c r="AL290">
        <v>2</v>
      </c>
      <c r="AO290">
        <v>8</v>
      </c>
      <c r="AR290" s="149">
        <f t="shared" si="37"/>
        <v>126000</v>
      </c>
      <c r="AS290" s="150">
        <f t="shared" si="35"/>
        <v>9</v>
      </c>
      <c r="AT290" s="150">
        <f t="shared" si="39"/>
        <v>18000</v>
      </c>
      <c r="AU290" s="183">
        <f t="shared" si="43"/>
        <v>183</v>
      </c>
      <c r="AV290" s="241">
        <v>7</v>
      </c>
      <c r="AW290" s="135">
        <f t="shared" si="40"/>
        <v>3.825136612021858E-2</v>
      </c>
      <c r="AX290" s="241">
        <v>41</v>
      </c>
      <c r="AY290" s="136">
        <f t="shared" si="36"/>
        <v>0.14583333333333334</v>
      </c>
      <c r="AZ290" s="153">
        <v>1.1399999999999999</v>
      </c>
      <c r="BA290" s="153">
        <v>1</v>
      </c>
      <c r="BB290" s="134">
        <v>137000</v>
      </c>
    </row>
    <row r="291" spans="1:54" ht="21">
      <c r="A291">
        <v>12</v>
      </c>
      <c r="B291" s="121" t="s">
        <v>21</v>
      </c>
      <c r="C291" s="155" t="s">
        <v>33</v>
      </c>
      <c r="L291">
        <f t="shared" si="41"/>
        <v>0</v>
      </c>
      <c r="M291" s="231">
        <v>137</v>
      </c>
      <c r="N291" s="52">
        <v>48</v>
      </c>
      <c r="O291" s="231">
        <v>0</v>
      </c>
      <c r="P291" s="53">
        <v>27</v>
      </c>
      <c r="Q291" s="53">
        <v>52</v>
      </c>
      <c r="R291" s="53"/>
      <c r="S291" s="53"/>
      <c r="T291" s="53"/>
      <c r="U291" s="53"/>
      <c r="V291" s="53">
        <v>0</v>
      </c>
      <c r="W291" s="53"/>
      <c r="X291" s="53"/>
      <c r="Y291" s="53"/>
      <c r="Z291" s="53"/>
      <c r="AA291" s="53"/>
      <c r="AB291" s="183">
        <f t="shared" si="42"/>
        <v>127</v>
      </c>
      <c r="AD291">
        <v>40</v>
      </c>
      <c r="AF291">
        <v>30</v>
      </c>
      <c r="AG291">
        <v>35</v>
      </c>
      <c r="AL291">
        <v>25</v>
      </c>
      <c r="AN291">
        <v>8</v>
      </c>
      <c r="AR291" s="149">
        <f t="shared" si="37"/>
        <v>105000</v>
      </c>
      <c r="AS291" s="150">
        <f t="shared" si="35"/>
        <v>5</v>
      </c>
      <c r="AT291" s="150">
        <f t="shared" si="39"/>
        <v>7500</v>
      </c>
      <c r="AU291" s="183">
        <f t="shared" si="43"/>
        <v>127</v>
      </c>
      <c r="AV291" s="237">
        <v>14</v>
      </c>
      <c r="AW291" s="135">
        <f t="shared" si="40"/>
        <v>0.11023622047244094</v>
      </c>
      <c r="AX291" s="237">
        <v>161</v>
      </c>
      <c r="AY291" s="136">
        <f t="shared" si="36"/>
        <v>0.08</v>
      </c>
      <c r="AZ291" s="153">
        <v>1.05</v>
      </c>
      <c r="BA291" s="153">
        <v>1</v>
      </c>
      <c r="BB291" s="134">
        <v>138000</v>
      </c>
    </row>
    <row r="292" spans="1:54" ht="21">
      <c r="A292">
        <v>12</v>
      </c>
      <c r="B292" s="121" t="s">
        <v>21</v>
      </c>
      <c r="C292" s="155" t="s">
        <v>24</v>
      </c>
      <c r="D292">
        <v>2</v>
      </c>
      <c r="F292">
        <v>1</v>
      </c>
      <c r="G292">
        <v>1</v>
      </c>
      <c r="L292">
        <f t="shared" si="41"/>
        <v>4</v>
      </c>
      <c r="M292" s="235">
        <v>26</v>
      </c>
      <c r="N292" s="235">
        <v>30</v>
      </c>
      <c r="O292" s="235"/>
      <c r="P292" s="235">
        <v>2</v>
      </c>
      <c r="Q292" s="235">
        <v>80</v>
      </c>
      <c r="R292" s="235"/>
      <c r="S292" s="235">
        <v>3</v>
      </c>
      <c r="T292" s="235"/>
      <c r="U292" s="235"/>
      <c r="V292" s="235"/>
      <c r="W292" s="235"/>
      <c r="X292" s="235"/>
      <c r="Y292" s="235"/>
      <c r="Z292" s="235"/>
      <c r="AA292" s="235">
        <v>8</v>
      </c>
      <c r="AB292" s="183">
        <f t="shared" si="42"/>
        <v>123</v>
      </c>
      <c r="AD292">
        <v>19</v>
      </c>
      <c r="AE292">
        <v>2</v>
      </c>
      <c r="AG292">
        <v>30</v>
      </c>
      <c r="AI292">
        <v>5</v>
      </c>
      <c r="AJ292">
        <v>1</v>
      </c>
      <c r="AN292">
        <v>3</v>
      </c>
      <c r="AO292">
        <v>22</v>
      </c>
      <c r="AQ292">
        <v>8</v>
      </c>
      <c r="AR292" s="149">
        <f t="shared" si="37"/>
        <v>64000</v>
      </c>
      <c r="AS292" s="150">
        <f t="shared" si="35"/>
        <v>8</v>
      </c>
      <c r="AT292" s="150">
        <f t="shared" si="39"/>
        <v>10666.666666666666</v>
      </c>
      <c r="AU292" s="183">
        <f t="shared" si="43"/>
        <v>123</v>
      </c>
      <c r="AV292" s="241">
        <v>6</v>
      </c>
      <c r="AW292" s="135">
        <f t="shared" si="40"/>
        <v>4.878048780487805E-2</v>
      </c>
      <c r="AX292" s="241">
        <v>47</v>
      </c>
      <c r="AY292" s="136">
        <f t="shared" si="36"/>
        <v>0.11320754716981132</v>
      </c>
      <c r="AZ292" s="153">
        <v>1.03</v>
      </c>
      <c r="BA292" s="153">
        <v>1</v>
      </c>
      <c r="BB292" s="134">
        <v>90000</v>
      </c>
    </row>
    <row r="293" spans="1:54" ht="21.6" thickBot="1">
      <c r="A293">
        <v>12</v>
      </c>
      <c r="B293" s="122" t="s">
        <v>70</v>
      </c>
      <c r="C293" s="155" t="s">
        <v>92</v>
      </c>
      <c r="D293">
        <v>1</v>
      </c>
      <c r="E293">
        <v>1</v>
      </c>
      <c r="F293">
        <v>1</v>
      </c>
      <c r="G293">
        <v>1</v>
      </c>
      <c r="H293">
        <v>2</v>
      </c>
      <c r="I293">
        <v>1</v>
      </c>
      <c r="K293">
        <v>1</v>
      </c>
      <c r="L293">
        <f t="shared" si="41"/>
        <v>8</v>
      </c>
      <c r="M293" s="235">
        <v>12</v>
      </c>
      <c r="N293" s="235">
        <v>43</v>
      </c>
      <c r="O293" s="235"/>
      <c r="P293" s="235">
        <v>19</v>
      </c>
      <c r="Q293" s="235">
        <v>17</v>
      </c>
      <c r="R293" s="235"/>
      <c r="S293" s="235"/>
      <c r="T293" s="235"/>
      <c r="U293" s="235"/>
      <c r="V293" s="235"/>
      <c r="W293" s="235"/>
      <c r="X293" s="235"/>
      <c r="Y293" s="235"/>
      <c r="Z293" s="235"/>
      <c r="AA293" s="235"/>
      <c r="AB293" s="183">
        <f t="shared" si="42"/>
        <v>79</v>
      </c>
      <c r="AD293">
        <v>36</v>
      </c>
      <c r="AF293">
        <v>4</v>
      </c>
      <c r="AG293">
        <v>6</v>
      </c>
      <c r="AI293">
        <v>2</v>
      </c>
      <c r="AR293" s="149">
        <f t="shared" si="37"/>
        <v>48000</v>
      </c>
      <c r="AS293" s="150">
        <f t="shared" si="35"/>
        <v>4</v>
      </c>
      <c r="AT293" s="150">
        <f t="shared" si="39"/>
        <v>6857.1428571428569</v>
      </c>
      <c r="AU293" s="183">
        <f t="shared" si="43"/>
        <v>79</v>
      </c>
      <c r="AV293" s="241">
        <v>7</v>
      </c>
      <c r="AW293" s="135">
        <f t="shared" si="40"/>
        <v>8.8607594936708861E-2</v>
      </c>
      <c r="AX293" s="241">
        <v>30</v>
      </c>
      <c r="AY293" s="136">
        <f t="shared" si="36"/>
        <v>0.1891891891891892</v>
      </c>
      <c r="AZ293" s="153">
        <v>1</v>
      </c>
      <c r="BA293" s="153">
        <v>1</v>
      </c>
      <c r="BB293" s="134">
        <v>48000</v>
      </c>
    </row>
  </sheetData>
  <autoFilter ref="A1:BC293" xr:uid="{9B9B8124-6CB7-4382-9D56-222C44DBDC5D}"/>
  <phoneticPr fontId="25"/>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CE5D-53CF-41A8-AD91-108100FB8E4B}">
  <dimension ref="A2:BP80"/>
  <sheetViews>
    <sheetView workbookViewId="0">
      <selection activeCell="D82" sqref="D82"/>
    </sheetView>
  </sheetViews>
  <sheetFormatPr defaultRowHeight="14.4"/>
  <cols>
    <col min="1" max="1" width="13.77734375" bestFit="1" customWidth="1"/>
    <col min="2" max="2" width="22.77734375" bestFit="1" customWidth="1"/>
    <col min="3" max="3" width="19.77734375" bestFit="1" customWidth="1"/>
    <col min="4" max="4" width="14.6640625" bestFit="1" customWidth="1"/>
    <col min="5" max="5" width="18.44140625" customWidth="1"/>
    <col min="6" max="6" width="13.109375" customWidth="1"/>
    <col min="7" max="9" width="7.33203125" bestFit="1" customWidth="1"/>
    <col min="10" max="10" width="8.33203125" bestFit="1" customWidth="1"/>
    <col min="11" max="11" width="20.6640625" bestFit="1" customWidth="1"/>
    <col min="12" max="12" width="17.77734375" bestFit="1" customWidth="1"/>
    <col min="13" max="14" width="7.33203125" bestFit="1" customWidth="1"/>
    <col min="15" max="16" width="8.33203125" bestFit="1" customWidth="1"/>
    <col min="17" max="17" width="5" bestFit="1" customWidth="1"/>
    <col min="18" max="18" width="4" bestFit="1" customWidth="1"/>
    <col min="19" max="24" width="5" bestFit="1" customWidth="1"/>
    <col min="25" max="25" width="2" bestFit="1" customWidth="1"/>
    <col min="26" max="33" width="5" bestFit="1" customWidth="1"/>
    <col min="34" max="34" width="4" bestFit="1" customWidth="1"/>
    <col min="35" max="43" width="5" bestFit="1" customWidth="1"/>
    <col min="44" max="44" width="4" bestFit="1" customWidth="1"/>
    <col min="45" max="50" width="5" bestFit="1" customWidth="1"/>
    <col min="51" max="51" width="4" bestFit="1" customWidth="1"/>
    <col min="52" max="59" width="5" bestFit="1" customWidth="1"/>
    <col min="60" max="60" width="6" bestFit="1" customWidth="1"/>
    <col min="61" max="66" width="5" bestFit="1" customWidth="1"/>
    <col min="67" max="67" width="7" bestFit="1" customWidth="1"/>
    <col min="68" max="68" width="10.77734375" bestFit="1" customWidth="1"/>
  </cols>
  <sheetData>
    <row r="2" spans="1:68" ht="15" thickBot="1"/>
    <row r="3" spans="1:68">
      <c r="A3" s="123" t="s">
        <v>144</v>
      </c>
      <c r="B3" t="s">
        <v>178</v>
      </c>
      <c r="C3" t="s">
        <v>225</v>
      </c>
      <c r="D3" t="s">
        <v>257</v>
      </c>
      <c r="G3" s="123"/>
      <c r="H3" s="123"/>
      <c r="I3" s="123"/>
      <c r="J3" s="123" t="s">
        <v>243</v>
      </c>
      <c r="K3" s="154" t="s">
        <v>178</v>
      </c>
      <c r="L3" s="154" t="s">
        <v>225</v>
      </c>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row>
    <row r="4" spans="1:68">
      <c r="A4" s="124">
        <v>1</v>
      </c>
      <c r="B4" s="127">
        <v>0.93076923076923057</v>
      </c>
      <c r="C4">
        <v>1556000</v>
      </c>
      <c r="D4">
        <v>26</v>
      </c>
      <c r="J4" t="s">
        <v>245</v>
      </c>
      <c r="K4" s="127">
        <v>0.93076923076923057</v>
      </c>
      <c r="L4" s="134">
        <v>1556</v>
      </c>
    </row>
    <row r="5" spans="1:68">
      <c r="A5" s="124">
        <v>2</v>
      </c>
      <c r="B5" s="127">
        <v>1.1014999999999999</v>
      </c>
      <c r="C5">
        <v>1274000</v>
      </c>
      <c r="D5">
        <v>26</v>
      </c>
      <c r="J5" t="s">
        <v>246</v>
      </c>
      <c r="K5" s="127">
        <v>1.1014999999999999</v>
      </c>
      <c r="L5" s="134">
        <v>1274</v>
      </c>
    </row>
    <row r="6" spans="1:68">
      <c r="A6" s="124">
        <v>3</v>
      </c>
      <c r="B6" s="127">
        <v>1.000416666666667</v>
      </c>
      <c r="C6">
        <v>1683900</v>
      </c>
      <c r="D6">
        <v>24</v>
      </c>
      <c r="J6" t="s">
        <v>247</v>
      </c>
      <c r="K6" s="127">
        <v>1.000416666666667</v>
      </c>
      <c r="L6" s="134">
        <v>1683.9</v>
      </c>
    </row>
    <row r="7" spans="1:68">
      <c r="A7" s="124">
        <v>4</v>
      </c>
      <c r="B7" s="127">
        <v>0.97583333333333322</v>
      </c>
      <c r="C7">
        <v>1588266</v>
      </c>
      <c r="D7">
        <v>24</v>
      </c>
      <c r="J7" t="s">
        <v>248</v>
      </c>
      <c r="K7" s="127">
        <v>0.97583333333333322</v>
      </c>
      <c r="L7" s="134">
        <v>1588.2660000000001</v>
      </c>
    </row>
    <row r="8" spans="1:68">
      <c r="A8" s="124">
        <v>5</v>
      </c>
      <c r="B8" s="127">
        <v>1.0087499999999998</v>
      </c>
      <c r="C8">
        <v>1631888</v>
      </c>
      <c r="D8">
        <v>24</v>
      </c>
      <c r="J8" t="s">
        <v>249</v>
      </c>
      <c r="K8" s="127">
        <v>1.0087499999999998</v>
      </c>
      <c r="L8" s="134">
        <v>1631.8879999999999</v>
      </c>
    </row>
    <row r="9" spans="1:68">
      <c r="A9" s="124">
        <v>6</v>
      </c>
      <c r="B9" s="127">
        <v>0.92125000000000001</v>
      </c>
      <c r="C9">
        <v>2037797</v>
      </c>
      <c r="D9">
        <v>24</v>
      </c>
      <c r="J9" t="s">
        <v>250</v>
      </c>
      <c r="K9" s="127">
        <v>0.92125000000000001</v>
      </c>
      <c r="L9" s="134">
        <v>2037.797</v>
      </c>
    </row>
    <row r="10" spans="1:68">
      <c r="A10" s="124">
        <v>7</v>
      </c>
      <c r="B10" s="127">
        <v>1.0991666666666668</v>
      </c>
      <c r="C10">
        <v>1447800</v>
      </c>
      <c r="D10">
        <v>24</v>
      </c>
      <c r="J10" t="s">
        <v>251</v>
      </c>
      <c r="K10" s="127">
        <v>1.0991666666666668</v>
      </c>
      <c r="L10" s="134">
        <v>1447.8</v>
      </c>
    </row>
    <row r="11" spans="1:68">
      <c r="A11" s="124">
        <v>8</v>
      </c>
      <c r="B11" s="127">
        <v>1.01</v>
      </c>
      <c r="C11">
        <v>1720000</v>
      </c>
      <c r="D11">
        <v>24</v>
      </c>
      <c r="J11" t="s">
        <v>252</v>
      </c>
      <c r="K11" s="127">
        <v>1.01</v>
      </c>
      <c r="L11" s="134">
        <v>1720</v>
      </c>
    </row>
    <row r="12" spans="1:68">
      <c r="A12" s="124">
        <v>9</v>
      </c>
      <c r="B12" s="127">
        <v>0.98749999999999993</v>
      </c>
      <c r="C12">
        <v>1720000</v>
      </c>
      <c r="D12">
        <v>24</v>
      </c>
      <c r="J12" t="s">
        <v>253</v>
      </c>
      <c r="K12" s="127">
        <v>0.93416666666666659</v>
      </c>
      <c r="L12" s="134">
        <v>1720</v>
      </c>
    </row>
    <row r="13" spans="1:68">
      <c r="A13" s="124">
        <v>10</v>
      </c>
      <c r="B13" s="127">
        <v>1.1087499999999997</v>
      </c>
      <c r="C13">
        <v>1751000</v>
      </c>
      <c r="D13">
        <v>24</v>
      </c>
      <c r="J13" t="s">
        <v>254</v>
      </c>
      <c r="K13" s="127">
        <v>0.98208333333333331</v>
      </c>
      <c r="L13" s="134">
        <v>1743</v>
      </c>
    </row>
    <row r="14" spans="1:68">
      <c r="A14" s="124">
        <v>11</v>
      </c>
      <c r="B14" s="127">
        <v>1.0829166666666667</v>
      </c>
      <c r="C14">
        <v>2305000</v>
      </c>
      <c r="D14">
        <v>24</v>
      </c>
      <c r="J14" t="s">
        <v>255</v>
      </c>
      <c r="K14" s="127">
        <v>0.99608695652173929</v>
      </c>
      <c r="L14" s="134">
        <v>2305</v>
      </c>
    </row>
    <row r="15" spans="1:68">
      <c r="A15" s="124" t="s">
        <v>244</v>
      </c>
      <c r="B15" s="127"/>
    </row>
    <row r="16" spans="1:68">
      <c r="A16" s="124">
        <v>12</v>
      </c>
      <c r="B16" s="127">
        <v>1.03</v>
      </c>
      <c r="C16">
        <v>2460880</v>
      </c>
      <c r="D16">
        <v>24</v>
      </c>
    </row>
    <row r="17" spans="1:12">
      <c r="A17" s="124" t="s">
        <v>143</v>
      </c>
      <c r="B17" s="127">
        <v>1.021332191780822</v>
      </c>
      <c r="C17">
        <v>21176531</v>
      </c>
      <c r="D17">
        <v>292</v>
      </c>
    </row>
    <row r="19" spans="1:12">
      <c r="A19" s="204" t="s">
        <v>243</v>
      </c>
      <c r="B19" s="204" t="s">
        <v>245</v>
      </c>
      <c r="C19" s="204" t="s">
        <v>246</v>
      </c>
      <c r="D19" s="204" t="s">
        <v>247</v>
      </c>
      <c r="E19" s="204" t="s">
        <v>248</v>
      </c>
      <c r="F19" s="204" t="s">
        <v>249</v>
      </c>
      <c r="G19" s="204" t="s">
        <v>250</v>
      </c>
      <c r="H19" s="204" t="s">
        <v>251</v>
      </c>
      <c r="I19" s="204" t="s">
        <v>252</v>
      </c>
      <c r="J19" s="204" t="s">
        <v>253</v>
      </c>
      <c r="K19" s="204" t="s">
        <v>254</v>
      </c>
      <c r="L19" s="204" t="s">
        <v>255</v>
      </c>
    </row>
    <row r="20" spans="1:12">
      <c r="A20" s="221" t="s">
        <v>256</v>
      </c>
      <c r="B20" s="224">
        <v>0.93076923076923057</v>
      </c>
      <c r="C20" s="224">
        <v>1.1014999999999999</v>
      </c>
      <c r="D20" s="224">
        <v>1.000416666666667</v>
      </c>
      <c r="E20" s="224">
        <v>0.97583333333333322</v>
      </c>
      <c r="F20" s="224">
        <v>1.0087499999999998</v>
      </c>
      <c r="G20" s="224">
        <v>0.92125000000000001</v>
      </c>
      <c r="H20" s="224">
        <v>1.0991666666666668</v>
      </c>
      <c r="I20" s="224">
        <v>1.01</v>
      </c>
      <c r="J20" s="224">
        <v>0.93416666666666659</v>
      </c>
      <c r="K20" s="224">
        <v>0.98208333333333331</v>
      </c>
      <c r="L20" s="224">
        <v>0.99608695652173929</v>
      </c>
    </row>
    <row r="21" spans="1:12">
      <c r="A21" s="221" t="s">
        <v>259</v>
      </c>
      <c r="B21" s="225">
        <v>1</v>
      </c>
      <c r="C21" s="225">
        <v>2</v>
      </c>
      <c r="D21" s="225">
        <v>1</v>
      </c>
      <c r="E21" s="225">
        <v>1</v>
      </c>
      <c r="F21" s="225">
        <v>1</v>
      </c>
      <c r="G21" s="225">
        <v>1</v>
      </c>
      <c r="H21" s="225"/>
      <c r="I21" s="225">
        <v>1</v>
      </c>
      <c r="J21" s="225"/>
      <c r="K21" s="225"/>
      <c r="L21" s="225"/>
    </row>
    <row r="22" spans="1:12">
      <c r="A22" s="204" t="s">
        <v>260</v>
      </c>
      <c r="B22" s="226">
        <v>26</v>
      </c>
      <c r="C22" s="226">
        <v>26</v>
      </c>
      <c r="D22" s="226">
        <v>24</v>
      </c>
      <c r="E22" s="226">
        <v>24</v>
      </c>
      <c r="F22" s="226">
        <v>24</v>
      </c>
      <c r="G22" s="226">
        <v>24</v>
      </c>
      <c r="H22" s="226">
        <v>24</v>
      </c>
      <c r="I22" s="226">
        <v>24</v>
      </c>
      <c r="J22" s="226">
        <v>24</v>
      </c>
      <c r="K22" s="226">
        <v>24</v>
      </c>
      <c r="L22" s="226">
        <v>24</v>
      </c>
    </row>
    <row r="23" spans="1:12">
      <c r="A23" s="204" t="s">
        <v>261</v>
      </c>
      <c r="B23" s="226">
        <f>B22-1</f>
        <v>25</v>
      </c>
      <c r="C23" s="226">
        <f t="shared" ref="C23:L23" si="0">C22-1</f>
        <v>25</v>
      </c>
      <c r="D23" s="226">
        <f t="shared" si="0"/>
        <v>23</v>
      </c>
      <c r="E23" s="226">
        <f t="shared" si="0"/>
        <v>23</v>
      </c>
      <c r="F23" s="226">
        <f t="shared" si="0"/>
        <v>23</v>
      </c>
      <c r="G23" s="226">
        <f t="shared" si="0"/>
        <v>23</v>
      </c>
      <c r="H23" s="226">
        <f t="shared" si="0"/>
        <v>23</v>
      </c>
      <c r="I23" s="226">
        <f t="shared" si="0"/>
        <v>23</v>
      </c>
      <c r="J23" s="226">
        <f t="shared" si="0"/>
        <v>23</v>
      </c>
      <c r="K23" s="226">
        <f t="shared" si="0"/>
        <v>23</v>
      </c>
      <c r="L23" s="226">
        <f t="shared" si="0"/>
        <v>23</v>
      </c>
    </row>
    <row r="24" spans="1:12">
      <c r="A24" s="204" t="s">
        <v>262</v>
      </c>
      <c r="B24" s="227">
        <f>B23-B21</f>
        <v>24</v>
      </c>
      <c r="C24" s="227">
        <f t="shared" ref="C24:L24" si="1">C23-C21</f>
        <v>23</v>
      </c>
      <c r="D24" s="227">
        <f t="shared" si="1"/>
        <v>22</v>
      </c>
      <c r="E24" s="227">
        <f t="shared" si="1"/>
        <v>22</v>
      </c>
      <c r="F24" s="227">
        <f t="shared" si="1"/>
        <v>22</v>
      </c>
      <c r="G24" s="227">
        <f t="shared" si="1"/>
        <v>22</v>
      </c>
      <c r="H24" s="227">
        <f t="shared" si="1"/>
        <v>23</v>
      </c>
      <c r="I24" s="227">
        <f t="shared" si="1"/>
        <v>22</v>
      </c>
      <c r="J24" s="227">
        <f t="shared" si="1"/>
        <v>23</v>
      </c>
      <c r="K24" s="227">
        <f t="shared" si="1"/>
        <v>23</v>
      </c>
      <c r="L24" s="227">
        <f t="shared" si="1"/>
        <v>23</v>
      </c>
    </row>
    <row r="25" spans="1:12">
      <c r="A25" s="204" t="s">
        <v>258</v>
      </c>
      <c r="B25" s="226" t="str">
        <f>B24&amp;"/"&amp;B22</f>
        <v>24/26</v>
      </c>
      <c r="C25" s="226" t="str">
        <f t="shared" ref="C25:L25" si="2">C24&amp;"/"&amp;C22</f>
        <v>23/26</v>
      </c>
      <c r="D25" s="226" t="str">
        <f t="shared" si="2"/>
        <v>22/24</v>
      </c>
      <c r="E25" s="226" t="str">
        <f t="shared" si="2"/>
        <v>22/24</v>
      </c>
      <c r="F25" s="226" t="str">
        <f t="shared" si="2"/>
        <v>22/24</v>
      </c>
      <c r="G25" s="226" t="str">
        <f t="shared" si="2"/>
        <v>22/24</v>
      </c>
      <c r="H25" s="226" t="str">
        <f t="shared" si="2"/>
        <v>23/24</v>
      </c>
      <c r="I25" s="226" t="str">
        <f t="shared" si="2"/>
        <v>22/24</v>
      </c>
      <c r="J25" s="226" t="str">
        <f t="shared" si="2"/>
        <v>23/24</v>
      </c>
      <c r="K25" s="226" t="str">
        <f t="shared" si="2"/>
        <v>23/24</v>
      </c>
      <c r="L25" s="226" t="str">
        <f t="shared" si="2"/>
        <v>23/24</v>
      </c>
    </row>
    <row r="27" spans="1:12">
      <c r="A27" s="204"/>
      <c r="B27" s="204" t="s">
        <v>263</v>
      </c>
      <c r="C27" s="204" t="s">
        <v>264</v>
      </c>
      <c r="D27" s="204" t="s">
        <v>265</v>
      </c>
      <c r="E27" s="204" t="s">
        <v>110</v>
      </c>
    </row>
    <row r="28" spans="1:12">
      <c r="A28" s="204" t="s">
        <v>266</v>
      </c>
      <c r="B28" s="204">
        <v>1867</v>
      </c>
      <c r="C28" s="204">
        <v>454</v>
      </c>
      <c r="D28" s="204">
        <v>427</v>
      </c>
      <c r="E28" s="204">
        <f>SUM(B28:D28)</f>
        <v>2748</v>
      </c>
    </row>
    <row r="31" spans="1:12">
      <c r="A31" s="204" t="s">
        <v>267</v>
      </c>
      <c r="B31" s="204"/>
      <c r="E31">
        <f>15800/10</f>
        <v>1580</v>
      </c>
    </row>
    <row r="32" spans="1:12">
      <c r="A32" s="204" t="s">
        <v>268</v>
      </c>
      <c r="B32" s="222">
        <v>495700910.90909088</v>
      </c>
    </row>
    <row r="33" spans="1:4">
      <c r="A33" s="204" t="s">
        <v>274</v>
      </c>
      <c r="B33" s="222">
        <v>21000000</v>
      </c>
    </row>
    <row r="34" spans="1:4">
      <c r="A34" s="204" t="s">
        <v>270</v>
      </c>
      <c r="B34" s="222">
        <v>41220000</v>
      </c>
    </row>
    <row r="35" spans="1:4">
      <c r="A35" s="204" t="s">
        <v>269</v>
      </c>
      <c r="B35" s="222">
        <v>9000000</v>
      </c>
    </row>
    <row r="36" spans="1:4">
      <c r="A36" s="204" t="s">
        <v>271</v>
      </c>
      <c r="B36" s="222">
        <v>250000000</v>
      </c>
    </row>
    <row r="37" spans="1:4">
      <c r="A37" s="204" t="s">
        <v>272</v>
      </c>
      <c r="B37" s="222">
        <v>1500000000</v>
      </c>
      <c r="C37" t="s">
        <v>273</v>
      </c>
    </row>
    <row r="38" spans="1:4">
      <c r="A38" s="204" t="s">
        <v>275</v>
      </c>
      <c r="B38" s="222">
        <v>50000000</v>
      </c>
    </row>
    <row r="39" spans="1:4">
      <c r="A39" s="204" t="s">
        <v>276</v>
      </c>
      <c r="B39" s="222">
        <f>21160000*24</f>
        <v>507840000</v>
      </c>
    </row>
    <row r="40" spans="1:4">
      <c r="A40" s="204"/>
      <c r="B40" s="222"/>
    </row>
    <row r="41" spans="1:4">
      <c r="A41" s="204"/>
      <c r="B41" s="204"/>
      <c r="D41" s="153">
        <f>72/183</f>
        <v>0.39344262295081966</v>
      </c>
    </row>
    <row r="42" spans="1:4">
      <c r="A42" s="204"/>
      <c r="B42" s="204"/>
    </row>
    <row r="43" spans="1:4">
      <c r="A43" s="204" t="s">
        <v>110</v>
      </c>
      <c r="B43" s="223">
        <f>SUM(B32:B42)</f>
        <v>2874760910.909091</v>
      </c>
    </row>
    <row r="47" spans="1:4">
      <c r="B47" s="153">
        <f>23/24</f>
        <v>0.95833333333333337</v>
      </c>
    </row>
    <row r="49" spans="1:19" s="242" customFormat="1" ht="16.2">
      <c r="A49" s="243"/>
      <c r="B49" s="244"/>
      <c r="C49" s="244"/>
      <c r="D49" s="244"/>
      <c r="E49" s="244"/>
      <c r="F49" s="245"/>
      <c r="I49" s="246" t="s">
        <v>277</v>
      </c>
      <c r="K49" s="244"/>
      <c r="L49" s="244"/>
      <c r="M49" s="244"/>
      <c r="N49" s="247"/>
      <c r="O49" s="247"/>
      <c r="P49" s="248"/>
      <c r="S49" s="248"/>
    </row>
    <row r="50" spans="1:19" s="242" customFormat="1" ht="22.2" customHeight="1">
      <c r="A50" s="249" t="s">
        <v>278</v>
      </c>
      <c r="B50" s="250"/>
      <c r="C50" s="250"/>
      <c r="D50" s="250"/>
      <c r="E50" s="250"/>
      <c r="F50" s="251">
        <f>SUM(F52:F62)</f>
        <v>7736</v>
      </c>
      <c r="G50" s="244"/>
      <c r="H50" s="244"/>
      <c r="I50" s="252" t="s">
        <v>144</v>
      </c>
      <c r="J50" s="252" t="s">
        <v>279</v>
      </c>
      <c r="K50" s="252" t="s">
        <v>280</v>
      </c>
      <c r="L50" s="252" t="s">
        <v>281</v>
      </c>
      <c r="M50" s="252" t="s">
        <v>282</v>
      </c>
      <c r="N50" s="252" t="s">
        <v>283</v>
      </c>
      <c r="O50" s="252" t="s">
        <v>284</v>
      </c>
      <c r="P50" s="252" t="s">
        <v>285</v>
      </c>
      <c r="S50" s="248"/>
    </row>
    <row r="51" spans="1:19" s="242" customFormat="1" ht="22.2" customHeight="1">
      <c r="A51" s="253"/>
      <c r="B51" s="254" t="s">
        <v>286</v>
      </c>
      <c r="C51" s="254" t="s">
        <v>287</v>
      </c>
      <c r="D51" s="254" t="s">
        <v>288</v>
      </c>
      <c r="E51" s="254" t="s">
        <v>289</v>
      </c>
      <c r="F51" s="253"/>
      <c r="G51" s="244"/>
      <c r="H51" s="244"/>
      <c r="I51" s="255" t="s">
        <v>69</v>
      </c>
      <c r="J51" s="256"/>
      <c r="K51" s="256"/>
      <c r="L51" s="256"/>
      <c r="M51" s="256">
        <v>1</v>
      </c>
      <c r="N51" s="256"/>
      <c r="O51" s="256"/>
      <c r="P51" s="256"/>
      <c r="S51" s="248"/>
    </row>
    <row r="52" spans="1:19" s="242" customFormat="1" ht="22.2" customHeight="1">
      <c r="A52" s="257" t="s">
        <v>290</v>
      </c>
      <c r="B52" s="258">
        <v>22</v>
      </c>
      <c r="C52" s="258">
        <v>24</v>
      </c>
      <c r="D52" s="258"/>
      <c r="E52" s="259">
        <v>484000</v>
      </c>
      <c r="F52" s="260">
        <f>E52*D52*10%/1000</f>
        <v>0</v>
      </c>
      <c r="G52" s="244"/>
      <c r="H52" s="244"/>
      <c r="I52" s="255" t="s">
        <v>36</v>
      </c>
      <c r="J52" s="256"/>
      <c r="K52" s="256"/>
      <c r="L52" s="256">
        <v>1</v>
      </c>
      <c r="M52" s="256">
        <v>1</v>
      </c>
      <c r="N52" s="256">
        <v>1</v>
      </c>
      <c r="O52" s="256"/>
      <c r="P52" s="256">
        <v>1</v>
      </c>
      <c r="S52" s="248"/>
    </row>
    <row r="53" spans="1:19" s="242" customFormat="1" ht="22.2" customHeight="1">
      <c r="A53" s="257" t="s">
        <v>291</v>
      </c>
      <c r="B53" s="258">
        <v>22</v>
      </c>
      <c r="C53" s="258">
        <v>24</v>
      </c>
      <c r="D53" s="258">
        <f t="shared" ref="D53:D58" si="3">C53-B53</f>
        <v>2</v>
      </c>
      <c r="E53" s="259">
        <v>636000</v>
      </c>
      <c r="F53" s="260">
        <f t="shared" ref="F53:F62" si="4">E53*D53*10%/1000</f>
        <v>127.2</v>
      </c>
      <c r="G53" s="244"/>
      <c r="H53" s="244"/>
      <c r="I53" s="255" t="s">
        <v>90</v>
      </c>
      <c r="J53" s="256"/>
      <c r="K53" s="256"/>
      <c r="L53" s="256">
        <v>1</v>
      </c>
      <c r="M53" s="256">
        <v>1</v>
      </c>
      <c r="N53" s="256"/>
      <c r="O53" s="256">
        <v>1</v>
      </c>
      <c r="P53" s="256">
        <v>1</v>
      </c>
      <c r="S53" s="248"/>
    </row>
    <row r="54" spans="1:19" s="242" customFormat="1" ht="22.2" customHeight="1">
      <c r="A54" s="257" t="s">
        <v>292</v>
      </c>
      <c r="B54" s="258">
        <v>10</v>
      </c>
      <c r="C54" s="258">
        <v>24</v>
      </c>
      <c r="D54" s="258">
        <f t="shared" si="3"/>
        <v>14</v>
      </c>
      <c r="E54" s="259">
        <v>638000</v>
      </c>
      <c r="F54" s="260">
        <f t="shared" si="4"/>
        <v>893.2</v>
      </c>
      <c r="G54" s="244"/>
      <c r="H54" s="244"/>
      <c r="I54" s="255" t="s">
        <v>79</v>
      </c>
      <c r="J54" s="256"/>
      <c r="K54" s="256"/>
      <c r="L54" s="256">
        <v>1</v>
      </c>
      <c r="M54" s="256">
        <v>1</v>
      </c>
      <c r="N54" s="256"/>
      <c r="O54" s="256"/>
      <c r="P54" s="256">
        <v>1</v>
      </c>
      <c r="S54" s="248"/>
    </row>
    <row r="55" spans="1:19" s="242" customFormat="1" ht="22.2" customHeight="1">
      <c r="A55" s="257" t="s">
        <v>293</v>
      </c>
      <c r="B55" s="258">
        <v>9</v>
      </c>
      <c r="C55" s="258">
        <v>24</v>
      </c>
      <c r="D55" s="258"/>
      <c r="E55" s="259">
        <v>398000</v>
      </c>
      <c r="F55" s="260">
        <f t="shared" si="4"/>
        <v>0</v>
      </c>
      <c r="G55" s="244"/>
      <c r="H55" s="244"/>
      <c r="I55" s="255" t="s">
        <v>82</v>
      </c>
      <c r="J55" s="256"/>
      <c r="K55" s="256"/>
      <c r="L55" s="256">
        <v>1</v>
      </c>
      <c r="M55" s="256">
        <v>1</v>
      </c>
      <c r="N55" s="256"/>
      <c r="O55" s="256"/>
      <c r="P55" s="256">
        <v>1</v>
      </c>
      <c r="S55" s="248"/>
    </row>
    <row r="56" spans="1:19" s="242" customFormat="1" ht="22.2" customHeight="1">
      <c r="A56" s="257" t="s">
        <v>294</v>
      </c>
      <c r="B56" s="258">
        <v>22</v>
      </c>
      <c r="C56" s="258">
        <v>24</v>
      </c>
      <c r="D56" s="258">
        <f t="shared" si="3"/>
        <v>2</v>
      </c>
      <c r="E56" s="259">
        <v>1196000</v>
      </c>
      <c r="F56" s="260">
        <f t="shared" si="4"/>
        <v>239.2</v>
      </c>
      <c r="G56" s="244"/>
      <c r="H56" s="244"/>
      <c r="I56" s="255" t="s">
        <v>48</v>
      </c>
      <c r="J56" s="256"/>
      <c r="K56" s="256"/>
      <c r="L56" s="256">
        <v>1</v>
      </c>
      <c r="M56" s="256">
        <v>1</v>
      </c>
      <c r="N56" s="256"/>
      <c r="O56" s="256"/>
      <c r="P56" s="256"/>
      <c r="S56" s="248"/>
    </row>
    <row r="57" spans="1:19" s="242" customFormat="1" ht="22.2" customHeight="1">
      <c r="A57" s="257" t="s">
        <v>284</v>
      </c>
      <c r="B57" s="258">
        <v>22</v>
      </c>
      <c r="C57" s="258">
        <v>24</v>
      </c>
      <c r="D57" s="258">
        <f t="shared" si="3"/>
        <v>2</v>
      </c>
      <c r="E57" s="259">
        <v>599000</v>
      </c>
      <c r="F57" s="260">
        <f t="shared" si="4"/>
        <v>119.8</v>
      </c>
      <c r="G57" s="250"/>
      <c r="H57" s="250"/>
      <c r="I57" s="255" t="s">
        <v>76</v>
      </c>
      <c r="J57" s="256"/>
      <c r="K57" s="256"/>
      <c r="L57" s="256">
        <v>1</v>
      </c>
      <c r="M57" s="256">
        <v>1</v>
      </c>
      <c r="N57" s="256"/>
      <c r="O57" s="256"/>
      <c r="P57" s="256">
        <v>1</v>
      </c>
      <c r="S57" s="248"/>
    </row>
    <row r="58" spans="1:19" s="242" customFormat="1" ht="22.2" customHeight="1">
      <c r="A58" s="257" t="s">
        <v>295</v>
      </c>
      <c r="B58" s="258">
        <v>12</v>
      </c>
      <c r="C58" s="258">
        <v>24</v>
      </c>
      <c r="D58" s="258">
        <f t="shared" si="3"/>
        <v>12</v>
      </c>
      <c r="E58" s="259">
        <v>918000</v>
      </c>
      <c r="F58" s="260">
        <f t="shared" si="4"/>
        <v>1101.5999999999999</v>
      </c>
      <c r="G58" s="250"/>
      <c r="H58" s="250"/>
      <c r="I58" s="255" t="s">
        <v>27</v>
      </c>
      <c r="J58" s="256"/>
      <c r="K58" s="256"/>
      <c r="L58" s="256"/>
      <c r="M58" s="256">
        <v>1</v>
      </c>
      <c r="N58" s="256"/>
      <c r="O58" s="256"/>
      <c r="P58" s="256"/>
      <c r="S58" s="248"/>
    </row>
    <row r="59" spans="1:19" s="242" customFormat="1" ht="22.2" customHeight="1">
      <c r="A59" s="257" t="s">
        <v>296</v>
      </c>
      <c r="B59" s="258"/>
      <c r="C59" s="258"/>
      <c r="D59" s="258">
        <v>9</v>
      </c>
      <c r="E59" s="259">
        <v>1200000</v>
      </c>
      <c r="F59" s="260">
        <f t="shared" si="4"/>
        <v>1080</v>
      </c>
      <c r="G59" s="250"/>
      <c r="H59" s="250"/>
      <c r="I59" s="255" t="s">
        <v>297</v>
      </c>
      <c r="J59" s="256"/>
      <c r="K59" s="256"/>
      <c r="L59" s="256"/>
      <c r="M59" s="256">
        <v>1</v>
      </c>
      <c r="N59" s="256"/>
      <c r="O59" s="256"/>
      <c r="P59" s="256">
        <v>1</v>
      </c>
      <c r="S59" s="248"/>
    </row>
    <row r="60" spans="1:19" s="242" customFormat="1" ht="22.2" customHeight="1">
      <c r="A60" s="204" t="s">
        <v>298</v>
      </c>
      <c r="B60" s="258"/>
      <c r="C60" s="258"/>
      <c r="D60" s="258">
        <v>14</v>
      </c>
      <c r="E60" s="259">
        <v>1600000</v>
      </c>
      <c r="F60" s="260">
        <f t="shared" si="4"/>
        <v>2240</v>
      </c>
      <c r="G60" s="250"/>
      <c r="H60" s="250"/>
      <c r="I60" s="255" t="s">
        <v>299</v>
      </c>
      <c r="J60" s="256"/>
      <c r="K60" s="256"/>
      <c r="L60" s="256">
        <v>1</v>
      </c>
      <c r="M60" s="256">
        <v>1</v>
      </c>
      <c r="N60" s="256"/>
      <c r="O60" s="256"/>
      <c r="P60" s="256"/>
      <c r="S60" s="248"/>
    </row>
    <row r="61" spans="1:19" s="242" customFormat="1" ht="22.2" customHeight="1">
      <c r="A61" s="204" t="s">
        <v>300</v>
      </c>
      <c r="B61" s="258"/>
      <c r="C61" s="258"/>
      <c r="D61" s="258">
        <v>19</v>
      </c>
      <c r="E61" s="259">
        <v>950000</v>
      </c>
      <c r="F61" s="260">
        <f t="shared" si="4"/>
        <v>1805</v>
      </c>
      <c r="G61" s="250"/>
      <c r="H61" s="250"/>
      <c r="I61" s="255" t="s">
        <v>301</v>
      </c>
      <c r="J61" s="256"/>
      <c r="K61" s="256"/>
      <c r="L61" s="256">
        <v>1</v>
      </c>
      <c r="M61" s="256">
        <v>1</v>
      </c>
      <c r="N61" s="256"/>
      <c r="O61" s="256"/>
      <c r="P61" s="256"/>
      <c r="S61" s="248"/>
    </row>
    <row r="62" spans="1:19" s="242" customFormat="1" ht="22.2" customHeight="1">
      <c r="A62" s="204" t="s">
        <v>302</v>
      </c>
      <c r="B62" s="258"/>
      <c r="C62" s="258"/>
      <c r="D62" s="258">
        <v>1</v>
      </c>
      <c r="E62" s="259">
        <v>1300000</v>
      </c>
      <c r="F62" s="260">
        <f t="shared" si="4"/>
        <v>130</v>
      </c>
      <c r="G62" s="250"/>
      <c r="H62" s="250"/>
      <c r="I62" s="255" t="s">
        <v>303</v>
      </c>
      <c r="J62" s="256"/>
      <c r="K62" s="256"/>
      <c r="L62" s="256">
        <v>1</v>
      </c>
      <c r="M62" s="256">
        <v>1</v>
      </c>
      <c r="N62" s="256"/>
      <c r="O62" s="256"/>
      <c r="P62" s="256">
        <v>1</v>
      </c>
      <c r="S62" s="248"/>
    </row>
    <row r="63" spans="1:19" s="242" customFormat="1" ht="22.2" customHeight="1">
      <c r="B63" s="244"/>
      <c r="C63" s="244"/>
      <c r="D63" s="244"/>
      <c r="E63" s="244"/>
      <c r="F63" s="244"/>
      <c r="G63" s="250"/>
      <c r="H63" s="250"/>
      <c r="I63" s="255" t="s">
        <v>304</v>
      </c>
      <c r="J63" s="256">
        <v>1</v>
      </c>
      <c r="K63" s="256">
        <v>1</v>
      </c>
      <c r="L63" s="256"/>
      <c r="M63" s="256"/>
      <c r="N63" s="256"/>
      <c r="O63" s="256">
        <v>1</v>
      </c>
      <c r="P63" s="256"/>
      <c r="S63" s="248"/>
    </row>
    <row r="64" spans="1:19" s="242" customFormat="1" ht="22.2" customHeight="1">
      <c r="B64" s="244"/>
      <c r="C64" s="244"/>
      <c r="D64" s="244"/>
      <c r="E64" s="244"/>
      <c r="F64" s="244"/>
      <c r="G64" s="250"/>
      <c r="H64" s="250"/>
      <c r="I64" s="255" t="s">
        <v>305</v>
      </c>
      <c r="J64" s="256"/>
      <c r="K64" s="256"/>
      <c r="L64" s="256">
        <v>1</v>
      </c>
      <c r="M64" s="256"/>
      <c r="N64" s="256"/>
      <c r="O64" s="256"/>
      <c r="P64" s="256"/>
      <c r="S64" s="248"/>
    </row>
    <row r="65" spans="2:19" s="242" customFormat="1" ht="22.2" customHeight="1">
      <c r="B65" s="244"/>
      <c r="C65" s="244"/>
      <c r="D65" s="244"/>
      <c r="E65" s="244"/>
      <c r="F65" s="244"/>
      <c r="G65" s="250"/>
      <c r="H65" s="250"/>
      <c r="I65" s="255" t="s">
        <v>306</v>
      </c>
      <c r="J65" s="256"/>
      <c r="K65" s="256"/>
      <c r="L65" s="256"/>
      <c r="M65" s="256">
        <v>1</v>
      </c>
      <c r="N65" s="256">
        <v>1</v>
      </c>
      <c r="O65" s="256"/>
      <c r="P65" s="256">
        <v>1</v>
      </c>
      <c r="S65" s="248"/>
    </row>
    <row r="66" spans="2:19" s="242" customFormat="1" ht="22.2" customHeight="1">
      <c r="B66" s="244"/>
      <c r="C66" s="244"/>
      <c r="D66" s="244"/>
      <c r="E66" s="244"/>
      <c r="F66" s="244"/>
      <c r="G66" s="244"/>
      <c r="H66" s="244"/>
      <c r="I66" s="255" t="s">
        <v>307</v>
      </c>
      <c r="J66" s="256"/>
      <c r="K66" s="256"/>
      <c r="L66" s="256">
        <v>1</v>
      </c>
      <c r="M66" s="256">
        <v>1</v>
      </c>
      <c r="N66" s="256"/>
      <c r="O66" s="256"/>
      <c r="P66" s="256">
        <v>1</v>
      </c>
      <c r="S66" s="248"/>
    </row>
    <row r="67" spans="2:19" s="242" customFormat="1" ht="22.2" customHeight="1">
      <c r="B67" s="244"/>
      <c r="C67" s="244"/>
      <c r="D67" s="244"/>
      <c r="E67" s="244"/>
      <c r="F67" s="244"/>
      <c r="G67" s="244"/>
      <c r="H67" s="244"/>
      <c r="I67" s="255" t="s">
        <v>73</v>
      </c>
      <c r="J67" s="256"/>
      <c r="K67" s="256"/>
      <c r="L67" s="256"/>
      <c r="M67" s="256"/>
      <c r="N67" s="256"/>
      <c r="O67" s="256"/>
      <c r="P67" s="256">
        <v>1</v>
      </c>
      <c r="S67" s="248"/>
    </row>
    <row r="68" spans="2:19" s="242" customFormat="1" ht="22.2" customHeight="1">
      <c r="B68" s="244"/>
      <c r="C68" s="244"/>
      <c r="D68" s="244"/>
      <c r="E68" s="244"/>
      <c r="F68" s="244"/>
      <c r="G68" s="244"/>
      <c r="H68" s="244"/>
      <c r="I68" s="255" t="s">
        <v>30</v>
      </c>
      <c r="J68" s="256"/>
      <c r="K68" s="256">
        <v>1</v>
      </c>
      <c r="L68" s="256"/>
      <c r="M68" s="256"/>
      <c r="N68" s="256"/>
      <c r="O68" s="256"/>
      <c r="P68" s="256"/>
      <c r="S68" s="248"/>
    </row>
    <row r="69" spans="2:19" s="242" customFormat="1" ht="22.2" customHeight="1">
      <c r="B69" s="244"/>
      <c r="C69" s="244"/>
      <c r="D69" s="244"/>
      <c r="E69" s="244"/>
      <c r="F69" s="244"/>
      <c r="G69" s="244"/>
      <c r="H69" s="244"/>
      <c r="I69" s="255" t="s">
        <v>45</v>
      </c>
      <c r="J69" s="256"/>
      <c r="K69" s="256"/>
      <c r="L69" s="256"/>
      <c r="M69" s="256"/>
      <c r="N69" s="256"/>
      <c r="O69" s="256"/>
      <c r="P69" s="256"/>
      <c r="S69" s="248"/>
    </row>
    <row r="70" spans="2:19" s="242" customFormat="1" ht="22.2" customHeight="1">
      <c r="B70" s="244"/>
      <c r="C70" s="244"/>
      <c r="D70" s="244"/>
      <c r="E70" s="244"/>
      <c r="F70" s="244"/>
      <c r="G70" s="244"/>
      <c r="H70" s="244"/>
      <c r="I70" s="255" t="s">
        <v>20</v>
      </c>
      <c r="J70" s="256">
        <v>1</v>
      </c>
      <c r="K70" s="256"/>
      <c r="L70" s="256"/>
      <c r="M70" s="256"/>
      <c r="N70" s="256"/>
      <c r="O70" s="256"/>
      <c r="P70" s="256"/>
      <c r="S70" s="248"/>
    </row>
    <row r="71" spans="2:19" s="242" customFormat="1" ht="22.2" customHeight="1">
      <c r="B71" s="244"/>
      <c r="C71" s="244"/>
      <c r="D71" s="244"/>
      <c r="E71" s="244"/>
      <c r="F71" s="244"/>
      <c r="G71" s="244"/>
      <c r="H71" s="244"/>
      <c r="I71" s="255" t="s">
        <v>86</v>
      </c>
      <c r="J71" s="256"/>
      <c r="K71" s="256"/>
      <c r="L71" s="256">
        <v>1</v>
      </c>
      <c r="M71" s="256"/>
      <c r="N71" s="256"/>
      <c r="O71" s="256"/>
      <c r="P71" s="256">
        <v>1</v>
      </c>
      <c r="S71" s="248"/>
    </row>
    <row r="72" spans="2:19" s="242" customFormat="1" ht="22.2" customHeight="1">
      <c r="B72" s="244"/>
      <c r="C72" s="244"/>
      <c r="D72" s="244"/>
      <c r="E72" s="244"/>
      <c r="F72" s="244"/>
      <c r="G72" s="244"/>
      <c r="H72" s="244"/>
      <c r="I72" s="255" t="s">
        <v>33</v>
      </c>
      <c r="J72" s="256"/>
      <c r="K72" s="256"/>
      <c r="L72" s="256"/>
      <c r="M72" s="256">
        <v>1</v>
      </c>
      <c r="N72" s="256"/>
      <c r="O72" s="256"/>
      <c r="P72" s="256"/>
      <c r="S72" s="248"/>
    </row>
    <row r="73" spans="2:19" s="242" customFormat="1" ht="22.2" customHeight="1">
      <c r="B73" s="244"/>
      <c r="C73" s="244"/>
      <c r="D73" s="244"/>
      <c r="E73" s="244"/>
      <c r="F73" s="244"/>
      <c r="G73" s="244"/>
      <c r="H73" s="244"/>
      <c r="I73" s="255" t="s">
        <v>24</v>
      </c>
      <c r="J73" s="256"/>
      <c r="K73" s="256"/>
      <c r="L73" s="256">
        <v>1</v>
      </c>
      <c r="M73" s="256"/>
      <c r="N73" s="256"/>
      <c r="O73" s="256"/>
      <c r="P73" s="256"/>
      <c r="S73" s="248"/>
    </row>
    <row r="74" spans="2:19" s="242" customFormat="1" ht="22.2" customHeight="1">
      <c r="B74" s="244"/>
      <c r="C74" s="244"/>
      <c r="D74" s="244"/>
      <c r="E74" s="244"/>
      <c r="F74" s="244"/>
      <c r="G74" s="244"/>
      <c r="H74" s="244"/>
      <c r="I74" s="255" t="s">
        <v>92</v>
      </c>
      <c r="J74" s="256"/>
      <c r="K74" s="256"/>
      <c r="L74" s="256">
        <v>1</v>
      </c>
      <c r="M74" s="256"/>
      <c r="N74" s="256"/>
      <c r="O74" s="256"/>
      <c r="P74" s="256">
        <v>1</v>
      </c>
      <c r="S74" s="248"/>
    </row>
    <row r="75" spans="2:19" s="242" customFormat="1" ht="16.2">
      <c r="D75" s="244"/>
      <c r="E75" s="244"/>
      <c r="F75" s="244"/>
      <c r="G75" s="244"/>
      <c r="H75" s="244"/>
      <c r="I75" s="244"/>
      <c r="J75" s="244"/>
      <c r="K75" s="244"/>
      <c r="L75" s="244"/>
      <c r="M75" s="244"/>
      <c r="N75" s="244"/>
      <c r="O75" s="244"/>
      <c r="P75" s="247"/>
      <c r="Q75" s="247"/>
      <c r="R75" s="248"/>
      <c r="S75" s="248"/>
    </row>
    <row r="76" spans="2:19" s="242" customFormat="1" ht="16.2">
      <c r="D76" s="244"/>
      <c r="E76" s="244"/>
      <c r="F76" s="244"/>
      <c r="G76" s="244"/>
      <c r="H76" s="244"/>
      <c r="I76" s="244"/>
      <c r="J76" s="244"/>
      <c r="K76" s="244"/>
      <c r="L76" s="244"/>
      <c r="M76" s="244"/>
      <c r="N76" s="244"/>
      <c r="O76" s="244"/>
      <c r="P76" s="247"/>
      <c r="Q76" s="247"/>
      <c r="R76" s="248"/>
      <c r="S76" s="248"/>
    </row>
    <row r="77" spans="2:19" s="242" customFormat="1" ht="16.2">
      <c r="D77" s="244"/>
      <c r="E77" s="244"/>
      <c r="F77" s="244"/>
      <c r="G77" s="244"/>
      <c r="H77" s="244"/>
      <c r="I77" s="244"/>
      <c r="J77" s="244"/>
      <c r="K77" s="244"/>
      <c r="L77" s="244"/>
      <c r="M77" s="244"/>
      <c r="N77" s="244"/>
      <c r="O77" s="244"/>
      <c r="P77" s="247"/>
      <c r="Q77" s="247"/>
      <c r="R77" s="248"/>
      <c r="S77" s="248"/>
    </row>
    <row r="79" spans="2:19">
      <c r="C79" t="s">
        <v>308</v>
      </c>
      <c r="D79" t="s">
        <v>234</v>
      </c>
      <c r="E79" t="s">
        <v>309</v>
      </c>
      <c r="F79" t="s">
        <v>310</v>
      </c>
      <c r="G79" t="s">
        <v>311</v>
      </c>
    </row>
    <row r="80" spans="2:19">
      <c r="B80" t="s">
        <v>232</v>
      </c>
    </row>
  </sheetData>
  <phoneticPr fontId="25"/>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8290-FAA8-496F-8A1D-911A16BFE0B7}">
  <dimension ref="A2:V72"/>
  <sheetViews>
    <sheetView workbookViewId="0">
      <pane ySplit="3" topLeftCell="A46" activePane="bottomLeft" state="frozen"/>
      <selection pane="bottomLeft" activeCell="A46" sqref="A46"/>
    </sheetView>
  </sheetViews>
  <sheetFormatPr defaultRowHeight="14.4"/>
  <cols>
    <col min="1" max="1" width="5.6640625" style="5" customWidth="1"/>
    <col min="2" max="2" width="22.88671875" customWidth="1"/>
    <col min="4" max="6" width="11.6640625" customWidth="1"/>
    <col min="7" max="7" width="15.109375" customWidth="1"/>
    <col min="8" max="18" width="12.6640625" customWidth="1"/>
    <col min="19" max="19" width="11.6640625" customWidth="1"/>
    <col min="20" max="20" width="20.6640625" customWidth="1"/>
  </cols>
  <sheetData>
    <row r="2" spans="1:22"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2"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row>
    <row r="4" spans="1:22" s="1" customFormat="1" ht="28.5" customHeight="1">
      <c r="A4" s="275">
        <v>1</v>
      </c>
      <c r="B4" s="277" t="s">
        <v>20</v>
      </c>
      <c r="C4" s="275" t="s">
        <v>21</v>
      </c>
      <c r="D4" s="269">
        <v>19</v>
      </c>
      <c r="E4" s="288">
        <v>0</v>
      </c>
      <c r="F4" s="31" t="s">
        <v>112</v>
      </c>
      <c r="G4" s="38">
        <v>0</v>
      </c>
      <c r="H4" s="39">
        <v>8</v>
      </c>
      <c r="I4" s="39">
        <v>33</v>
      </c>
      <c r="J4" s="39">
        <v>88</v>
      </c>
      <c r="K4" s="39">
        <v>0</v>
      </c>
      <c r="L4" s="39">
        <v>0</v>
      </c>
      <c r="M4" s="39">
        <v>0</v>
      </c>
      <c r="N4" s="39">
        <v>0</v>
      </c>
      <c r="O4" s="39">
        <v>0</v>
      </c>
      <c r="P4" s="39">
        <v>0</v>
      </c>
      <c r="Q4" s="39">
        <v>0</v>
      </c>
      <c r="R4" s="39">
        <v>23</v>
      </c>
      <c r="S4" s="27">
        <f t="shared" ref="S4:S11" si="0">SUM(G4:R4)</f>
        <v>152</v>
      </c>
      <c r="T4" s="273">
        <f>S5/S4</f>
        <v>0.65789473684210531</v>
      </c>
      <c r="V4" s="47">
        <f>AVERAGE(S4,S6,S8,S10,S12,S14,S16,S18,S20,S22)</f>
        <v>108.5</v>
      </c>
    </row>
    <row r="5" spans="1:22" s="24" customFormat="1" ht="28.5" customHeight="1">
      <c r="A5" s="276"/>
      <c r="B5" s="278"/>
      <c r="C5" s="276"/>
      <c r="D5" s="270"/>
      <c r="E5" s="270"/>
      <c r="F5" s="23" t="s">
        <v>18</v>
      </c>
      <c r="G5" s="33">
        <v>0</v>
      </c>
      <c r="H5" s="34">
        <v>12</v>
      </c>
      <c r="I5" s="34">
        <v>35</v>
      </c>
      <c r="J5" s="34">
        <v>26</v>
      </c>
      <c r="K5" s="34">
        <v>8</v>
      </c>
      <c r="L5" s="34">
        <v>0</v>
      </c>
      <c r="M5" s="34">
        <v>1</v>
      </c>
      <c r="N5" s="34">
        <v>0</v>
      </c>
      <c r="O5" s="34">
        <v>0</v>
      </c>
      <c r="P5" s="34">
        <v>0</v>
      </c>
      <c r="Q5" s="34">
        <v>18</v>
      </c>
      <c r="R5" s="34">
        <v>0</v>
      </c>
      <c r="S5" s="27">
        <f t="shared" si="0"/>
        <v>100</v>
      </c>
      <c r="T5" s="274"/>
      <c r="V5" s="24">
        <f>AVERAGE(S5,S7,S9,S11,S13,S15,S17,S19,S21,S23)</f>
        <v>51.21</v>
      </c>
    </row>
    <row r="6" spans="1:22" s="1" customFormat="1" ht="28.5" customHeight="1">
      <c r="A6" s="275">
        <v>2</v>
      </c>
      <c r="B6" s="277" t="s">
        <v>24</v>
      </c>
      <c r="C6" s="275" t="s">
        <v>21</v>
      </c>
      <c r="D6" s="269">
        <v>9</v>
      </c>
      <c r="E6" s="269">
        <v>1</v>
      </c>
      <c r="F6" s="20" t="s">
        <v>112</v>
      </c>
      <c r="G6" s="38">
        <v>0</v>
      </c>
      <c r="H6" s="39">
        <v>4</v>
      </c>
      <c r="I6" s="39">
        <v>5</v>
      </c>
      <c r="J6" s="39">
        <v>130</v>
      </c>
      <c r="K6" s="39">
        <v>0</v>
      </c>
      <c r="L6" s="39">
        <v>0</v>
      </c>
      <c r="M6" s="39">
        <v>0</v>
      </c>
      <c r="N6" s="39">
        <v>0</v>
      </c>
      <c r="O6" s="39">
        <v>0</v>
      </c>
      <c r="P6" s="39">
        <v>0</v>
      </c>
      <c r="Q6" s="39">
        <v>0</v>
      </c>
      <c r="R6" s="39">
        <v>2</v>
      </c>
      <c r="S6" s="27">
        <f t="shared" si="0"/>
        <v>141</v>
      </c>
      <c r="T6" s="273">
        <f>S7/S6</f>
        <v>0.57801418439716312</v>
      </c>
      <c r="V6" s="24">
        <f>V5/V4</f>
        <v>0.47198156682027653</v>
      </c>
    </row>
    <row r="7" spans="1:22" s="24" customFormat="1" ht="28.5" customHeight="1">
      <c r="A7" s="276"/>
      <c r="B7" s="278"/>
      <c r="C7" s="276"/>
      <c r="D7" s="270"/>
      <c r="E7" s="270"/>
      <c r="F7" s="23" t="s">
        <v>18</v>
      </c>
      <c r="G7" s="33">
        <v>0</v>
      </c>
      <c r="H7" s="34">
        <v>12</v>
      </c>
      <c r="I7" s="34">
        <v>40</v>
      </c>
      <c r="J7" s="34">
        <v>28.5</v>
      </c>
      <c r="K7" s="34">
        <v>0</v>
      </c>
      <c r="L7" s="34">
        <v>0</v>
      </c>
      <c r="M7" s="34">
        <v>1</v>
      </c>
      <c r="N7" s="34">
        <v>0</v>
      </c>
      <c r="O7" s="34">
        <v>0</v>
      </c>
      <c r="P7" s="34">
        <v>0</v>
      </c>
      <c r="Q7" s="34">
        <v>0</v>
      </c>
      <c r="R7" s="34">
        <v>0</v>
      </c>
      <c r="S7" s="27">
        <f t="shared" si="0"/>
        <v>81.5</v>
      </c>
      <c r="T7" s="274"/>
    </row>
    <row r="8" spans="1:22" s="1" customFormat="1" ht="28.5" customHeight="1">
      <c r="A8" s="275">
        <v>3</v>
      </c>
      <c r="B8" s="277" t="s">
        <v>27</v>
      </c>
      <c r="C8" s="275" t="s">
        <v>21</v>
      </c>
      <c r="D8" s="269">
        <v>10</v>
      </c>
      <c r="E8" s="269">
        <v>0</v>
      </c>
      <c r="F8" s="20" t="s">
        <v>112</v>
      </c>
      <c r="G8" s="38">
        <v>0</v>
      </c>
      <c r="H8" s="39">
        <v>0</v>
      </c>
      <c r="I8" s="39">
        <v>26</v>
      </c>
      <c r="J8" s="39">
        <v>169</v>
      </c>
      <c r="K8" s="39">
        <v>0</v>
      </c>
      <c r="L8" s="39">
        <v>0</v>
      </c>
      <c r="M8" s="39">
        <v>0</v>
      </c>
      <c r="N8" s="39">
        <v>0</v>
      </c>
      <c r="O8" s="39">
        <v>0</v>
      </c>
      <c r="P8" s="39">
        <v>0</v>
      </c>
      <c r="Q8" s="39">
        <v>0</v>
      </c>
      <c r="R8" s="39">
        <v>3</v>
      </c>
      <c r="S8" s="27">
        <f t="shared" si="0"/>
        <v>198</v>
      </c>
      <c r="T8" s="273">
        <f>S9/S8</f>
        <v>0.24747474747474749</v>
      </c>
    </row>
    <row r="9" spans="1:22" s="1" customFormat="1" ht="28.5" customHeight="1">
      <c r="A9" s="276"/>
      <c r="B9" s="278"/>
      <c r="C9" s="276"/>
      <c r="D9" s="270"/>
      <c r="E9" s="270"/>
      <c r="F9" s="20" t="s">
        <v>18</v>
      </c>
      <c r="G9" s="26">
        <v>0</v>
      </c>
      <c r="H9" s="27">
        <v>0</v>
      </c>
      <c r="I9" s="27">
        <v>30</v>
      </c>
      <c r="J9" s="27">
        <v>19</v>
      </c>
      <c r="K9" s="27">
        <v>0</v>
      </c>
      <c r="L9" s="27">
        <v>0</v>
      </c>
      <c r="M9" s="26">
        <v>0</v>
      </c>
      <c r="N9" s="27">
        <v>0</v>
      </c>
      <c r="O9" s="27">
        <v>0</v>
      </c>
      <c r="P9" s="27">
        <v>0</v>
      </c>
      <c r="Q9" s="27">
        <v>0</v>
      </c>
      <c r="R9" s="27">
        <v>0</v>
      </c>
      <c r="S9" s="27">
        <f t="shared" si="0"/>
        <v>49</v>
      </c>
      <c r="T9" s="274"/>
    </row>
    <row r="10" spans="1:22" s="1" customFormat="1" ht="28.5" customHeight="1">
      <c r="A10" s="275">
        <v>4</v>
      </c>
      <c r="B10" s="277" t="s">
        <v>30</v>
      </c>
      <c r="C10" s="275" t="s">
        <v>21</v>
      </c>
      <c r="D10" s="269">
        <v>6</v>
      </c>
      <c r="E10" s="269">
        <v>0</v>
      </c>
      <c r="F10" s="20" t="s">
        <v>112</v>
      </c>
      <c r="G10" s="45">
        <v>0</v>
      </c>
      <c r="H10" s="46">
        <v>3</v>
      </c>
      <c r="I10" s="46">
        <v>11</v>
      </c>
      <c r="J10" s="46">
        <v>35</v>
      </c>
      <c r="K10" s="46">
        <v>0</v>
      </c>
      <c r="L10" s="46">
        <v>0</v>
      </c>
      <c r="M10" s="45">
        <v>2</v>
      </c>
      <c r="N10" s="46">
        <v>0</v>
      </c>
      <c r="O10" s="46">
        <v>0</v>
      </c>
      <c r="P10" s="46">
        <v>0</v>
      </c>
      <c r="Q10" s="46">
        <v>0</v>
      </c>
      <c r="R10" s="46">
        <v>0</v>
      </c>
      <c r="S10" s="27">
        <f t="shared" si="0"/>
        <v>51</v>
      </c>
      <c r="T10" s="273">
        <f>S11/S10</f>
        <v>1.1176470588235294</v>
      </c>
    </row>
    <row r="11" spans="1:22" s="24" customFormat="1" ht="28.5" customHeight="1">
      <c r="A11" s="276"/>
      <c r="B11" s="278"/>
      <c r="C11" s="276"/>
      <c r="D11" s="270"/>
      <c r="E11" s="270"/>
      <c r="F11" s="23" t="s">
        <v>18</v>
      </c>
      <c r="G11" s="26">
        <v>0</v>
      </c>
      <c r="H11" s="27">
        <v>12</v>
      </c>
      <c r="I11" s="27">
        <v>15</v>
      </c>
      <c r="J11" s="27">
        <v>20</v>
      </c>
      <c r="K11" s="27">
        <v>5</v>
      </c>
      <c r="L11" s="27">
        <v>0</v>
      </c>
      <c r="M11" s="26">
        <v>5</v>
      </c>
      <c r="N11" s="27">
        <v>0</v>
      </c>
      <c r="O11" s="27">
        <v>0</v>
      </c>
      <c r="P11" s="27">
        <v>0</v>
      </c>
      <c r="Q11" s="27">
        <v>0</v>
      </c>
      <c r="R11" s="27">
        <v>0</v>
      </c>
      <c r="S11" s="27">
        <f t="shared" si="0"/>
        <v>57</v>
      </c>
      <c r="T11" s="274"/>
    </row>
    <row r="12" spans="1:22" s="1" customFormat="1" ht="28.5" customHeight="1">
      <c r="A12" s="275">
        <v>5</v>
      </c>
      <c r="B12" s="277" t="s">
        <v>33</v>
      </c>
      <c r="C12" s="275" t="s">
        <v>21</v>
      </c>
      <c r="D12" s="269">
        <v>11</v>
      </c>
      <c r="E12" s="269">
        <v>20</v>
      </c>
      <c r="F12" s="20" t="s">
        <v>112</v>
      </c>
      <c r="G12" s="45">
        <v>0</v>
      </c>
      <c r="H12" s="46">
        <v>0</v>
      </c>
      <c r="I12" s="46">
        <v>0</v>
      </c>
      <c r="J12" s="46">
        <v>114</v>
      </c>
      <c r="K12" s="46">
        <v>0</v>
      </c>
      <c r="L12" s="46">
        <v>0</v>
      </c>
      <c r="M12" s="45">
        <v>0</v>
      </c>
      <c r="N12" s="46">
        <v>0</v>
      </c>
      <c r="O12" s="46">
        <v>0</v>
      </c>
      <c r="P12" s="46">
        <v>0</v>
      </c>
      <c r="Q12" s="46">
        <v>0</v>
      </c>
      <c r="R12" s="46">
        <v>0</v>
      </c>
      <c r="S12" s="27">
        <f t="shared" ref="S12:S55" si="1">SUM(G12:R12)</f>
        <v>114</v>
      </c>
      <c r="T12" s="273">
        <f>S13/S12</f>
        <v>0.37719298245614036</v>
      </c>
    </row>
    <row r="13" spans="1:22" s="24" customFormat="1" ht="28.5" customHeight="1">
      <c r="A13" s="276"/>
      <c r="B13" s="278"/>
      <c r="C13" s="276"/>
      <c r="D13" s="270"/>
      <c r="E13" s="270"/>
      <c r="F13" s="23" t="s">
        <v>18</v>
      </c>
      <c r="G13" s="26">
        <v>0</v>
      </c>
      <c r="H13" s="27">
        <v>0</v>
      </c>
      <c r="I13" s="27">
        <v>19</v>
      </c>
      <c r="J13" s="27">
        <v>24</v>
      </c>
      <c r="K13" s="27">
        <v>0</v>
      </c>
      <c r="L13" s="27">
        <v>0</v>
      </c>
      <c r="M13" s="27">
        <v>0</v>
      </c>
      <c r="N13" s="27">
        <v>0</v>
      </c>
      <c r="O13" s="27">
        <v>0</v>
      </c>
      <c r="P13" s="27">
        <v>0</v>
      </c>
      <c r="Q13" s="27">
        <v>0</v>
      </c>
      <c r="R13" s="27">
        <v>0</v>
      </c>
      <c r="S13" s="27">
        <f t="shared" si="1"/>
        <v>43</v>
      </c>
      <c r="T13" s="274"/>
    </row>
    <row r="14" spans="1:22" s="1" customFormat="1" ht="28.5" customHeight="1">
      <c r="A14" s="275">
        <v>6</v>
      </c>
      <c r="B14" s="277" t="s">
        <v>36</v>
      </c>
      <c r="C14" s="275" t="s">
        <v>21</v>
      </c>
      <c r="D14" s="269">
        <v>6</v>
      </c>
      <c r="E14" s="269">
        <v>0</v>
      </c>
      <c r="F14" s="20" t="s">
        <v>112</v>
      </c>
      <c r="G14" s="45">
        <v>0</v>
      </c>
      <c r="H14" s="46">
        <v>0</v>
      </c>
      <c r="I14" s="46">
        <v>53</v>
      </c>
      <c r="J14" s="46">
        <v>0</v>
      </c>
      <c r="K14" s="46">
        <v>0</v>
      </c>
      <c r="L14" s="46">
        <v>0</v>
      </c>
      <c r="M14" s="45">
        <v>0</v>
      </c>
      <c r="N14" s="46">
        <v>0</v>
      </c>
      <c r="O14" s="46">
        <v>0</v>
      </c>
      <c r="P14" s="46">
        <v>0</v>
      </c>
      <c r="Q14" s="46">
        <v>0</v>
      </c>
      <c r="R14" s="46">
        <v>0</v>
      </c>
      <c r="S14" s="27">
        <f t="shared" si="1"/>
        <v>53</v>
      </c>
      <c r="T14" s="273">
        <f>S15/S14</f>
        <v>0.44339622641509435</v>
      </c>
    </row>
    <row r="15" spans="1:22" s="24" customFormat="1" ht="28.5" customHeight="1">
      <c r="A15" s="276"/>
      <c r="B15" s="278"/>
      <c r="C15" s="276"/>
      <c r="D15" s="270"/>
      <c r="E15" s="270"/>
      <c r="F15" s="23" t="s">
        <v>18</v>
      </c>
      <c r="G15" s="26">
        <v>0</v>
      </c>
      <c r="H15" s="27">
        <v>0</v>
      </c>
      <c r="I15" s="27">
        <v>23.5</v>
      </c>
      <c r="J15" s="27">
        <v>0</v>
      </c>
      <c r="K15" s="27">
        <v>0</v>
      </c>
      <c r="L15" s="27">
        <v>0</v>
      </c>
      <c r="M15" s="27">
        <v>0</v>
      </c>
      <c r="N15" s="27">
        <v>0</v>
      </c>
      <c r="O15" s="27">
        <v>0</v>
      </c>
      <c r="P15" s="27">
        <v>0</v>
      </c>
      <c r="Q15" s="27">
        <v>0</v>
      </c>
      <c r="R15" s="27">
        <v>0</v>
      </c>
      <c r="S15" s="27">
        <f t="shared" si="1"/>
        <v>23.5</v>
      </c>
      <c r="T15" s="274"/>
    </row>
    <row r="16" spans="1:22" s="1" customFormat="1" ht="28.5" customHeight="1">
      <c r="A16" s="275">
        <v>7</v>
      </c>
      <c r="B16" s="277" t="s">
        <v>39</v>
      </c>
      <c r="C16" s="275" t="s">
        <v>21</v>
      </c>
      <c r="D16" s="269">
        <v>7</v>
      </c>
      <c r="E16" s="269">
        <v>1</v>
      </c>
      <c r="F16" s="20" t="s">
        <v>112</v>
      </c>
      <c r="G16" s="45">
        <v>0</v>
      </c>
      <c r="H16" s="46">
        <v>9</v>
      </c>
      <c r="I16" s="46">
        <v>8</v>
      </c>
      <c r="J16" s="46">
        <v>65</v>
      </c>
      <c r="K16" s="46">
        <v>0</v>
      </c>
      <c r="L16" s="46">
        <v>0</v>
      </c>
      <c r="M16" s="45">
        <v>0</v>
      </c>
      <c r="N16" s="46">
        <v>0</v>
      </c>
      <c r="O16" s="46">
        <v>0</v>
      </c>
      <c r="P16" s="46">
        <v>0</v>
      </c>
      <c r="Q16" s="46">
        <v>0</v>
      </c>
      <c r="R16" s="46">
        <v>0</v>
      </c>
      <c r="S16" s="27">
        <f t="shared" si="1"/>
        <v>82</v>
      </c>
      <c r="T16" s="273">
        <f>S17/S16</f>
        <v>0.1548780487804878</v>
      </c>
    </row>
    <row r="17" spans="1:21" s="24" customFormat="1" ht="28.5" customHeight="1">
      <c r="A17" s="276"/>
      <c r="B17" s="278"/>
      <c r="C17" s="276"/>
      <c r="D17" s="270"/>
      <c r="E17" s="270"/>
      <c r="F17" s="23" t="s">
        <v>18</v>
      </c>
      <c r="G17" s="26">
        <v>0</v>
      </c>
      <c r="H17" s="27">
        <v>2</v>
      </c>
      <c r="I17" s="27">
        <v>4</v>
      </c>
      <c r="J17" s="27">
        <v>6.7</v>
      </c>
      <c r="K17" s="27">
        <v>0</v>
      </c>
      <c r="L17" s="27">
        <v>0</v>
      </c>
      <c r="M17" s="27">
        <v>0</v>
      </c>
      <c r="N17" s="27">
        <v>0</v>
      </c>
      <c r="O17" s="27">
        <v>0</v>
      </c>
      <c r="P17" s="27">
        <v>0</v>
      </c>
      <c r="Q17" s="27">
        <v>0</v>
      </c>
      <c r="R17" s="27">
        <v>0</v>
      </c>
      <c r="S17" s="27">
        <f t="shared" si="1"/>
        <v>12.7</v>
      </c>
      <c r="T17" s="274"/>
    </row>
    <row r="18" spans="1:21" s="1" customFormat="1" ht="28.5" customHeight="1">
      <c r="A18" s="275">
        <v>8</v>
      </c>
      <c r="B18" s="277" t="s">
        <v>42</v>
      </c>
      <c r="C18" s="275" t="s">
        <v>21</v>
      </c>
      <c r="D18" s="269">
        <v>8</v>
      </c>
      <c r="E18" s="269">
        <v>0</v>
      </c>
      <c r="F18" s="20" t="s">
        <v>112</v>
      </c>
      <c r="G18" s="38">
        <v>0</v>
      </c>
      <c r="H18" s="39">
        <v>0</v>
      </c>
      <c r="I18" s="39">
        <v>13</v>
      </c>
      <c r="J18" s="39">
        <v>43</v>
      </c>
      <c r="K18" s="39">
        <v>0</v>
      </c>
      <c r="L18" s="39">
        <v>1</v>
      </c>
      <c r="M18" s="39">
        <v>0</v>
      </c>
      <c r="N18" s="39">
        <v>0</v>
      </c>
      <c r="O18" s="39">
        <v>0</v>
      </c>
      <c r="P18" s="39">
        <v>0</v>
      </c>
      <c r="Q18" s="39">
        <v>0</v>
      </c>
      <c r="R18" s="39">
        <v>1</v>
      </c>
      <c r="S18" s="27">
        <f t="shared" si="1"/>
        <v>58</v>
      </c>
      <c r="T18" s="273">
        <f>S19/S18</f>
        <v>0.62758620689655187</v>
      </c>
    </row>
    <row r="19" spans="1:21" s="24" customFormat="1" ht="28.5" customHeight="1">
      <c r="A19" s="276"/>
      <c r="B19" s="278"/>
      <c r="C19" s="276"/>
      <c r="D19" s="270"/>
      <c r="E19" s="270"/>
      <c r="F19" s="23" t="s">
        <v>18</v>
      </c>
      <c r="G19" s="33">
        <v>0</v>
      </c>
      <c r="H19" s="40">
        <v>11.1</v>
      </c>
      <c r="I19" s="40">
        <v>10.5</v>
      </c>
      <c r="J19" s="40">
        <v>13.3</v>
      </c>
      <c r="K19" s="34">
        <v>0</v>
      </c>
      <c r="L19" s="34">
        <v>0</v>
      </c>
      <c r="M19" s="34">
        <v>0</v>
      </c>
      <c r="N19" s="34">
        <v>0</v>
      </c>
      <c r="O19" s="34">
        <v>0</v>
      </c>
      <c r="P19" s="34">
        <v>0</v>
      </c>
      <c r="Q19" s="34">
        <v>0</v>
      </c>
      <c r="R19" s="40">
        <v>1.5</v>
      </c>
      <c r="S19" s="27">
        <f t="shared" si="1"/>
        <v>36.400000000000006</v>
      </c>
      <c r="T19" s="274"/>
    </row>
    <row r="20" spans="1:21" s="1" customFormat="1" ht="28.5" customHeight="1">
      <c r="A20" s="275">
        <v>9</v>
      </c>
      <c r="B20" s="277" t="s">
        <v>45</v>
      </c>
      <c r="C20" s="275" t="s">
        <v>21</v>
      </c>
      <c r="D20" s="269">
        <v>22</v>
      </c>
      <c r="E20" s="269">
        <v>1</v>
      </c>
      <c r="F20" s="20" t="s">
        <v>112</v>
      </c>
      <c r="G20" s="38">
        <v>0</v>
      </c>
      <c r="H20" s="39">
        <v>0</v>
      </c>
      <c r="I20" s="39">
        <v>12</v>
      </c>
      <c r="J20" s="39">
        <v>113</v>
      </c>
      <c r="K20" s="39">
        <v>0</v>
      </c>
      <c r="L20" s="39">
        <v>0</v>
      </c>
      <c r="M20" s="39">
        <v>0</v>
      </c>
      <c r="N20" s="39">
        <v>0</v>
      </c>
      <c r="O20" s="39">
        <v>0</v>
      </c>
      <c r="P20" s="39">
        <v>0</v>
      </c>
      <c r="Q20" s="39">
        <v>0</v>
      </c>
      <c r="R20" s="39">
        <v>0</v>
      </c>
      <c r="S20" s="27">
        <f t="shared" si="1"/>
        <v>125</v>
      </c>
      <c r="T20" s="273">
        <f>S21/S20</f>
        <v>0.73599999999999999</v>
      </c>
    </row>
    <row r="21" spans="1:21" s="24" customFormat="1" ht="28.5" customHeight="1">
      <c r="A21" s="276"/>
      <c r="B21" s="278"/>
      <c r="C21" s="276"/>
      <c r="D21" s="270"/>
      <c r="E21" s="270"/>
      <c r="F21" s="23" t="s">
        <v>18</v>
      </c>
      <c r="G21" s="33">
        <v>0</v>
      </c>
      <c r="H21" s="40">
        <v>12</v>
      </c>
      <c r="I21" s="40">
        <v>45</v>
      </c>
      <c r="J21" s="40">
        <v>35</v>
      </c>
      <c r="K21" s="34">
        <v>0</v>
      </c>
      <c r="L21" s="34">
        <v>0</v>
      </c>
      <c r="M21" s="34">
        <v>0</v>
      </c>
      <c r="N21" s="34">
        <v>0</v>
      </c>
      <c r="O21" s="34">
        <v>0</v>
      </c>
      <c r="P21" s="34">
        <v>0</v>
      </c>
      <c r="Q21" s="34">
        <v>0</v>
      </c>
      <c r="R21" s="34">
        <v>0</v>
      </c>
      <c r="S21" s="27">
        <f t="shared" si="1"/>
        <v>92</v>
      </c>
      <c r="T21" s="274"/>
    </row>
    <row r="22" spans="1:21" s="1" customFormat="1" ht="28.5" customHeight="1">
      <c r="A22" s="275">
        <v>10</v>
      </c>
      <c r="B22" s="277" t="s">
        <v>48</v>
      </c>
      <c r="C22" s="275" t="s">
        <v>21</v>
      </c>
      <c r="D22" s="269">
        <v>4</v>
      </c>
      <c r="E22" s="269">
        <v>0</v>
      </c>
      <c r="F22" s="20" t="s">
        <v>112</v>
      </c>
      <c r="G22" s="26">
        <v>0</v>
      </c>
      <c r="H22" s="27">
        <v>0</v>
      </c>
      <c r="I22" s="27">
        <v>0</v>
      </c>
      <c r="J22" s="27">
        <v>93</v>
      </c>
      <c r="K22" s="27">
        <v>0</v>
      </c>
      <c r="L22" s="27">
        <v>1</v>
      </c>
      <c r="M22" s="26">
        <v>0</v>
      </c>
      <c r="N22" s="26">
        <v>0</v>
      </c>
      <c r="O22" s="26">
        <v>0</v>
      </c>
      <c r="P22" s="26">
        <v>0</v>
      </c>
      <c r="Q22" s="26">
        <v>0</v>
      </c>
      <c r="R22" s="27">
        <v>17</v>
      </c>
      <c r="S22" s="27">
        <f t="shared" si="1"/>
        <v>111</v>
      </c>
      <c r="T22" s="273">
        <f>S23/S22</f>
        <v>0.15315315315315314</v>
      </c>
    </row>
    <row r="23" spans="1:21" s="24" customFormat="1" ht="28.5" customHeight="1">
      <c r="A23" s="276"/>
      <c r="B23" s="278"/>
      <c r="C23" s="276"/>
      <c r="D23" s="270"/>
      <c r="E23" s="270"/>
      <c r="F23" s="23" t="s">
        <v>18</v>
      </c>
      <c r="G23" s="26">
        <v>0</v>
      </c>
      <c r="H23" s="27">
        <v>0</v>
      </c>
      <c r="I23" s="27">
        <v>0</v>
      </c>
      <c r="J23" s="27">
        <v>17</v>
      </c>
      <c r="K23" s="26">
        <v>0</v>
      </c>
      <c r="L23" s="27">
        <v>0</v>
      </c>
      <c r="M23" s="27">
        <v>0</v>
      </c>
      <c r="N23" s="26">
        <v>0</v>
      </c>
      <c r="O23" s="27">
        <v>0</v>
      </c>
      <c r="P23" s="27">
        <v>0</v>
      </c>
      <c r="Q23" s="27">
        <v>0</v>
      </c>
      <c r="R23" s="27">
        <v>0</v>
      </c>
      <c r="S23" s="27">
        <f t="shared" si="1"/>
        <v>17</v>
      </c>
      <c r="T23" s="274"/>
    </row>
    <row r="24" spans="1:21" s="1" customFormat="1" ht="28.5" customHeight="1">
      <c r="A24" s="275">
        <v>11</v>
      </c>
      <c r="B24" s="277" t="s">
        <v>50</v>
      </c>
      <c r="C24" s="275" t="s">
        <v>51</v>
      </c>
      <c r="D24" s="271">
        <v>15</v>
      </c>
      <c r="E24" s="271">
        <v>0</v>
      </c>
      <c r="F24" s="20" t="s">
        <v>112</v>
      </c>
      <c r="G24" s="45">
        <v>0</v>
      </c>
      <c r="H24" s="46">
        <v>0</v>
      </c>
      <c r="I24" s="46">
        <v>1</v>
      </c>
      <c r="J24" s="46">
        <v>3</v>
      </c>
      <c r="K24" s="46">
        <v>0</v>
      </c>
      <c r="L24" s="46">
        <v>0</v>
      </c>
      <c r="M24" s="45">
        <v>0</v>
      </c>
      <c r="N24" s="46">
        <v>0</v>
      </c>
      <c r="O24" s="46">
        <v>0</v>
      </c>
      <c r="P24" s="46">
        <v>0</v>
      </c>
      <c r="Q24" s="46">
        <v>0</v>
      </c>
      <c r="R24" s="46">
        <v>15</v>
      </c>
      <c r="S24" s="27">
        <f t="shared" si="1"/>
        <v>19</v>
      </c>
      <c r="T24" s="273">
        <f>S25/S24</f>
        <v>2.6888947368421054</v>
      </c>
      <c r="U24" s="47">
        <f>AVERAGE(S24,S26,S28,S30,S32,S34)</f>
        <v>76.666666666666671</v>
      </c>
    </row>
    <row r="25" spans="1:21" s="24" customFormat="1" ht="28.5" customHeight="1">
      <c r="A25" s="276"/>
      <c r="B25" s="278"/>
      <c r="C25" s="276"/>
      <c r="D25" s="272"/>
      <c r="E25" s="272"/>
      <c r="F25" s="23" t="s">
        <v>18</v>
      </c>
      <c r="G25" s="35">
        <v>3.72</v>
      </c>
      <c r="H25" s="27">
        <v>5</v>
      </c>
      <c r="I25" s="36">
        <v>9.4689999999999994</v>
      </c>
      <c r="J25" s="27">
        <v>12</v>
      </c>
      <c r="K25" s="27">
        <v>0</v>
      </c>
      <c r="L25" s="27">
        <v>0</v>
      </c>
      <c r="M25" s="37">
        <v>5.7</v>
      </c>
      <c r="N25" s="27">
        <v>0</v>
      </c>
      <c r="O25" s="32">
        <v>3.2</v>
      </c>
      <c r="P25" s="27">
        <v>12</v>
      </c>
      <c r="Q25" s="27">
        <v>0</v>
      </c>
      <c r="R25" s="27">
        <v>0</v>
      </c>
      <c r="S25" s="32">
        <f t="shared" si="1"/>
        <v>51.089000000000006</v>
      </c>
      <c r="T25" s="274"/>
      <c r="U25" s="24">
        <f>AVERAGE(S25,S27,S29,S31,S33,S35)</f>
        <v>71.731499999999997</v>
      </c>
    </row>
    <row r="26" spans="1:21" s="1" customFormat="1" ht="28.5" customHeight="1">
      <c r="A26" s="275">
        <v>12</v>
      </c>
      <c r="B26" s="277" t="s">
        <v>54</v>
      </c>
      <c r="C26" s="275" t="s">
        <v>51</v>
      </c>
      <c r="D26" s="269">
        <v>30</v>
      </c>
      <c r="E26" s="269">
        <v>1</v>
      </c>
      <c r="F26" s="20" t="s">
        <v>112</v>
      </c>
      <c r="G26" s="45">
        <v>0</v>
      </c>
      <c r="H26" s="46">
        <v>0</v>
      </c>
      <c r="I26" s="46">
        <v>0</v>
      </c>
      <c r="J26" s="46">
        <v>44</v>
      </c>
      <c r="K26" s="46">
        <v>0</v>
      </c>
      <c r="L26" s="46">
        <v>6</v>
      </c>
      <c r="M26" s="45">
        <v>0</v>
      </c>
      <c r="N26" s="46">
        <v>0</v>
      </c>
      <c r="O26" s="46">
        <v>0</v>
      </c>
      <c r="P26" s="46">
        <v>0</v>
      </c>
      <c r="Q26" s="46">
        <v>0</v>
      </c>
      <c r="R26" s="46">
        <v>0</v>
      </c>
      <c r="S26" s="27">
        <f t="shared" si="1"/>
        <v>50</v>
      </c>
      <c r="T26" s="273">
        <f>S27/S26</f>
        <v>0.36599999999999999</v>
      </c>
      <c r="U26" s="24">
        <f>U25/U24</f>
        <v>0.93562826086956508</v>
      </c>
    </row>
    <row r="27" spans="1:21" s="24" customFormat="1" ht="28.5" customHeight="1">
      <c r="A27" s="276"/>
      <c r="B27" s="281"/>
      <c r="C27" s="276"/>
      <c r="D27" s="270"/>
      <c r="E27" s="270"/>
      <c r="F27" s="23" t="s">
        <v>18</v>
      </c>
      <c r="G27" s="26">
        <v>0</v>
      </c>
      <c r="H27" s="26">
        <v>0</v>
      </c>
      <c r="I27" s="26">
        <v>0</v>
      </c>
      <c r="J27" s="32">
        <v>18.3</v>
      </c>
      <c r="K27" s="27">
        <v>0</v>
      </c>
      <c r="L27" s="27">
        <v>0</v>
      </c>
      <c r="M27" s="27">
        <v>0</v>
      </c>
      <c r="N27" s="27">
        <v>0</v>
      </c>
      <c r="O27" s="27">
        <v>0</v>
      </c>
      <c r="P27" s="27">
        <v>0</v>
      </c>
      <c r="Q27" s="27">
        <v>0</v>
      </c>
      <c r="R27" s="27">
        <v>0</v>
      </c>
      <c r="S27" s="32">
        <f t="shared" si="1"/>
        <v>18.3</v>
      </c>
      <c r="T27" s="274"/>
    </row>
    <row r="28" spans="1:21" s="1" customFormat="1" ht="28.5" customHeight="1">
      <c r="A28" s="269">
        <v>13</v>
      </c>
      <c r="B28" s="282" t="s">
        <v>57</v>
      </c>
      <c r="C28" s="275" t="s">
        <v>51</v>
      </c>
      <c r="D28" s="269">
        <v>52</v>
      </c>
      <c r="E28" s="269">
        <v>1</v>
      </c>
      <c r="F28" s="20" t="s">
        <v>112</v>
      </c>
      <c r="G28" s="38">
        <v>8</v>
      </c>
      <c r="H28" s="39">
        <v>3</v>
      </c>
      <c r="I28" s="39">
        <v>12</v>
      </c>
      <c r="J28" s="39">
        <v>11</v>
      </c>
      <c r="K28" s="39">
        <v>0</v>
      </c>
      <c r="L28" s="39">
        <v>0</v>
      </c>
      <c r="M28" s="39">
        <v>0</v>
      </c>
      <c r="N28" s="39">
        <v>0</v>
      </c>
      <c r="O28" s="39">
        <v>0</v>
      </c>
      <c r="P28" s="39">
        <v>0</v>
      </c>
      <c r="Q28" s="39">
        <v>0</v>
      </c>
      <c r="R28" s="39">
        <v>0</v>
      </c>
      <c r="S28" s="27">
        <f t="shared" si="1"/>
        <v>34</v>
      </c>
      <c r="T28" s="273">
        <f>S29/S28</f>
        <v>1.3823529411764706</v>
      </c>
    </row>
    <row r="29" spans="1:21" s="24" customFormat="1" ht="28.5" customHeight="1">
      <c r="A29" s="270"/>
      <c r="B29" s="282"/>
      <c r="C29" s="276"/>
      <c r="D29" s="270"/>
      <c r="E29" s="270"/>
      <c r="F29" s="23" t="s">
        <v>18</v>
      </c>
      <c r="G29" s="33">
        <v>0</v>
      </c>
      <c r="H29" s="34">
        <v>12</v>
      </c>
      <c r="I29" s="34">
        <v>16</v>
      </c>
      <c r="J29" s="34">
        <v>19</v>
      </c>
      <c r="K29" s="34">
        <v>0</v>
      </c>
      <c r="L29" s="34">
        <v>0</v>
      </c>
      <c r="M29" s="34">
        <v>0</v>
      </c>
      <c r="N29" s="34">
        <v>0</v>
      </c>
      <c r="O29" s="34" t="s">
        <v>113</v>
      </c>
      <c r="P29" s="34">
        <v>0</v>
      </c>
      <c r="Q29" s="34">
        <v>0</v>
      </c>
      <c r="R29" s="34">
        <v>0</v>
      </c>
      <c r="S29" s="27">
        <f t="shared" si="1"/>
        <v>47</v>
      </c>
      <c r="T29" s="274"/>
    </row>
    <row r="30" spans="1:21" s="1" customFormat="1" ht="28.5" customHeight="1">
      <c r="A30" s="275">
        <v>14</v>
      </c>
      <c r="B30" s="281" t="s">
        <v>60</v>
      </c>
      <c r="C30" s="275" t="s">
        <v>51</v>
      </c>
      <c r="D30" s="269">
        <v>15</v>
      </c>
      <c r="E30" s="269">
        <v>6</v>
      </c>
      <c r="F30" s="20" t="s">
        <v>112</v>
      </c>
      <c r="G30" s="41">
        <v>0</v>
      </c>
      <c r="H30" s="42">
        <v>0</v>
      </c>
      <c r="I30" s="42">
        <v>1</v>
      </c>
      <c r="J30" s="42">
        <v>52</v>
      </c>
      <c r="K30" s="42">
        <v>0</v>
      </c>
      <c r="L30" s="42">
        <v>0</v>
      </c>
      <c r="M30" s="42">
        <v>0</v>
      </c>
      <c r="N30" s="42">
        <v>0</v>
      </c>
      <c r="O30" s="42">
        <v>0</v>
      </c>
      <c r="P30" s="42">
        <v>0</v>
      </c>
      <c r="Q30" s="42">
        <v>0</v>
      </c>
      <c r="R30" s="42">
        <v>0</v>
      </c>
      <c r="S30" s="27">
        <f t="shared" si="1"/>
        <v>53</v>
      </c>
      <c r="T30" s="273">
        <f>S31/S30</f>
        <v>1.4150943396226414</v>
      </c>
    </row>
    <row r="31" spans="1:21" s="25" customFormat="1" ht="28.5" customHeight="1">
      <c r="A31" s="276"/>
      <c r="B31" s="278"/>
      <c r="C31" s="276"/>
      <c r="D31" s="270"/>
      <c r="E31" s="270"/>
      <c r="F31" s="30" t="s">
        <v>18</v>
      </c>
      <c r="G31" s="43">
        <v>0</v>
      </c>
      <c r="H31" s="44">
        <v>0</v>
      </c>
      <c r="I31" s="44">
        <v>10</v>
      </c>
      <c r="J31" s="44">
        <v>65</v>
      </c>
      <c r="K31" s="44">
        <v>0</v>
      </c>
      <c r="L31" s="44">
        <v>0</v>
      </c>
      <c r="M31" s="44">
        <v>0</v>
      </c>
      <c r="N31" s="44">
        <v>0</v>
      </c>
      <c r="O31" s="44">
        <v>0</v>
      </c>
      <c r="P31" s="44">
        <v>0</v>
      </c>
      <c r="Q31" s="44">
        <v>0</v>
      </c>
      <c r="R31" s="44">
        <v>0</v>
      </c>
      <c r="S31" s="26">
        <f t="shared" si="1"/>
        <v>75</v>
      </c>
      <c r="T31" s="274"/>
    </row>
    <row r="32" spans="1:21" ht="28.5" customHeight="1">
      <c r="A32" s="275">
        <v>15</v>
      </c>
      <c r="B32" s="277" t="s">
        <v>63</v>
      </c>
      <c r="C32" s="275" t="s">
        <v>51</v>
      </c>
      <c r="D32" s="269">
        <v>9</v>
      </c>
      <c r="E32" s="269">
        <v>3</v>
      </c>
      <c r="F32" s="20" t="s">
        <v>112</v>
      </c>
      <c r="G32" s="26">
        <v>0</v>
      </c>
      <c r="H32" s="27">
        <v>0</v>
      </c>
      <c r="I32" s="27">
        <v>57</v>
      </c>
      <c r="J32" s="27">
        <v>17</v>
      </c>
      <c r="K32" s="27">
        <v>0</v>
      </c>
      <c r="L32" s="27">
        <v>88</v>
      </c>
      <c r="M32" s="26">
        <v>0</v>
      </c>
      <c r="N32" s="27">
        <v>0</v>
      </c>
      <c r="O32" s="27">
        <v>0</v>
      </c>
      <c r="P32" s="27">
        <v>0</v>
      </c>
      <c r="Q32" s="27">
        <v>0</v>
      </c>
      <c r="R32" s="27">
        <v>0</v>
      </c>
      <c r="S32" s="26">
        <f t="shared" si="1"/>
        <v>162</v>
      </c>
      <c r="T32" s="273">
        <f>S33/S32</f>
        <v>0.9135802469135802</v>
      </c>
    </row>
    <row r="33" spans="1:22" s="25" customFormat="1" ht="28.5" customHeight="1">
      <c r="A33" s="276"/>
      <c r="B33" s="278"/>
      <c r="C33" s="276"/>
      <c r="D33" s="270"/>
      <c r="E33" s="270"/>
      <c r="F33" s="23" t="s">
        <v>18</v>
      </c>
      <c r="G33" s="26">
        <v>20</v>
      </c>
      <c r="H33" s="27">
        <v>18</v>
      </c>
      <c r="I33" s="27">
        <v>40</v>
      </c>
      <c r="J33" s="27">
        <v>9</v>
      </c>
      <c r="K33" s="27"/>
      <c r="L33" s="27">
        <v>20</v>
      </c>
      <c r="M33" s="26">
        <v>1</v>
      </c>
      <c r="N33" s="27"/>
      <c r="O33" s="27">
        <v>20</v>
      </c>
      <c r="P33" s="27"/>
      <c r="Q33" s="27">
        <v>20</v>
      </c>
      <c r="R33" s="27"/>
      <c r="S33" s="26">
        <f t="shared" si="1"/>
        <v>148</v>
      </c>
      <c r="T33" s="274"/>
    </row>
    <row r="34" spans="1:22" ht="28.5" customHeight="1">
      <c r="A34" s="275">
        <v>16</v>
      </c>
      <c r="B34" s="277" t="s">
        <v>66</v>
      </c>
      <c r="C34" s="275" t="s">
        <v>51</v>
      </c>
      <c r="D34" s="269">
        <v>8</v>
      </c>
      <c r="E34" s="269">
        <v>4</v>
      </c>
      <c r="F34" s="20" t="s">
        <v>112</v>
      </c>
      <c r="G34" s="26">
        <v>0</v>
      </c>
      <c r="H34" s="27">
        <v>0</v>
      </c>
      <c r="I34" s="27">
        <v>27</v>
      </c>
      <c r="J34" s="27">
        <v>18</v>
      </c>
      <c r="K34" s="27">
        <v>0</v>
      </c>
      <c r="L34" s="27">
        <v>97</v>
      </c>
      <c r="M34" s="26">
        <v>0</v>
      </c>
      <c r="N34" s="27">
        <v>0</v>
      </c>
      <c r="O34" s="27">
        <v>0</v>
      </c>
      <c r="P34" s="27">
        <v>0</v>
      </c>
      <c r="Q34" s="27">
        <v>0</v>
      </c>
      <c r="R34" s="27">
        <v>0</v>
      </c>
      <c r="S34" s="26">
        <f t="shared" si="1"/>
        <v>142</v>
      </c>
      <c r="T34" s="273">
        <f>S35/S34</f>
        <v>0.64084507042253525</v>
      </c>
    </row>
    <row r="35" spans="1:22" s="25" customFormat="1" ht="28.5" customHeight="1">
      <c r="A35" s="276"/>
      <c r="B35" s="278"/>
      <c r="C35" s="276"/>
      <c r="D35" s="270"/>
      <c r="E35" s="270"/>
      <c r="F35" s="23" t="s">
        <v>18</v>
      </c>
      <c r="G35" s="26"/>
      <c r="H35" s="27">
        <v>23</v>
      </c>
      <c r="I35" s="27">
        <v>40</v>
      </c>
      <c r="J35" s="27">
        <v>15</v>
      </c>
      <c r="K35" s="27">
        <v>1</v>
      </c>
      <c r="L35" s="27">
        <v>12</v>
      </c>
      <c r="M35" s="26"/>
      <c r="N35" s="27"/>
      <c r="O35" s="27"/>
      <c r="P35" s="27"/>
      <c r="Q35" s="27"/>
      <c r="R35" s="27"/>
      <c r="S35" s="26">
        <f t="shared" si="1"/>
        <v>91</v>
      </c>
      <c r="T35" s="274"/>
    </row>
    <row r="36" spans="1:22" ht="28.5" customHeight="1">
      <c r="A36" s="275">
        <v>17</v>
      </c>
      <c r="B36" s="277" t="s">
        <v>69</v>
      </c>
      <c r="C36" s="275" t="s">
        <v>70</v>
      </c>
      <c r="D36" s="269">
        <v>4</v>
      </c>
      <c r="E36" s="269">
        <v>0</v>
      </c>
      <c r="F36" s="20" t="s">
        <v>112</v>
      </c>
      <c r="G36" s="26">
        <v>0</v>
      </c>
      <c r="H36" s="27">
        <v>0</v>
      </c>
      <c r="I36" s="27">
        <v>14</v>
      </c>
      <c r="J36" s="27">
        <v>25</v>
      </c>
      <c r="K36" s="27">
        <v>0</v>
      </c>
      <c r="L36" s="27">
        <v>0</v>
      </c>
      <c r="M36" s="26">
        <v>0</v>
      </c>
      <c r="N36" s="27">
        <v>0</v>
      </c>
      <c r="O36" s="27">
        <v>0</v>
      </c>
      <c r="P36" s="27">
        <v>0</v>
      </c>
      <c r="Q36" s="27">
        <v>0</v>
      </c>
      <c r="R36" s="27">
        <v>18</v>
      </c>
      <c r="S36" s="26">
        <f t="shared" si="1"/>
        <v>57</v>
      </c>
      <c r="T36" s="273">
        <f>S37/S36</f>
        <v>0.27192982456140352</v>
      </c>
      <c r="U36" s="51">
        <f>AVERAGE(S36,S38,S40,S42,S44,S46,S48,S50,S52,S54)</f>
        <v>77</v>
      </c>
      <c r="V36" s="25">
        <f>U37/U36</f>
        <v>0.23467532467532468</v>
      </c>
    </row>
    <row r="37" spans="1:22" s="25" customFormat="1" ht="28.5" customHeight="1">
      <c r="A37" s="276"/>
      <c r="B37" s="278"/>
      <c r="C37" s="276"/>
      <c r="D37" s="270"/>
      <c r="E37" s="270"/>
      <c r="F37" s="23" t="s">
        <v>18</v>
      </c>
      <c r="G37" s="26"/>
      <c r="H37" s="27"/>
      <c r="I37" s="32">
        <v>7.5</v>
      </c>
      <c r="J37" s="27">
        <v>6</v>
      </c>
      <c r="K37" s="27"/>
      <c r="L37" s="27"/>
      <c r="M37" s="26"/>
      <c r="N37" s="27"/>
      <c r="O37" s="27"/>
      <c r="P37" s="27"/>
      <c r="Q37" s="27"/>
      <c r="R37" s="27">
        <v>2</v>
      </c>
      <c r="S37" s="26">
        <f t="shared" si="1"/>
        <v>15.5</v>
      </c>
      <c r="T37" s="274"/>
      <c r="U37" s="25">
        <f>AVERAGE(S37,S39,S41,S43,S45,S47,S49,S51,S53,S55)</f>
        <v>18.07</v>
      </c>
    </row>
    <row r="38" spans="1:22" ht="28.5" customHeight="1">
      <c r="A38" s="275">
        <v>18</v>
      </c>
      <c r="B38" s="277" t="s">
        <v>73</v>
      </c>
      <c r="C38" s="275" t="s">
        <v>70</v>
      </c>
      <c r="D38" s="269">
        <v>3</v>
      </c>
      <c r="E38" s="269">
        <v>1</v>
      </c>
      <c r="F38" s="20" t="s">
        <v>112</v>
      </c>
      <c r="G38" s="45">
        <v>0</v>
      </c>
      <c r="H38" s="46">
        <v>0</v>
      </c>
      <c r="I38" s="46">
        <v>6</v>
      </c>
      <c r="J38" s="46">
        <v>11</v>
      </c>
      <c r="K38" s="46">
        <v>0</v>
      </c>
      <c r="L38" s="46">
        <v>0</v>
      </c>
      <c r="M38" s="45">
        <v>0</v>
      </c>
      <c r="N38" s="46">
        <v>0</v>
      </c>
      <c r="O38" s="46">
        <v>0</v>
      </c>
      <c r="P38" s="46">
        <v>0</v>
      </c>
      <c r="Q38" s="46">
        <v>0</v>
      </c>
      <c r="R38" s="46">
        <v>1</v>
      </c>
      <c r="S38" s="26">
        <f t="shared" si="1"/>
        <v>18</v>
      </c>
      <c r="T38" s="273">
        <f>S39/S38</f>
        <v>1</v>
      </c>
    </row>
    <row r="39" spans="1:22" s="25" customFormat="1" ht="28.5" customHeight="1">
      <c r="A39" s="276"/>
      <c r="B39" s="278"/>
      <c r="C39" s="276"/>
      <c r="D39" s="270"/>
      <c r="E39" s="270"/>
      <c r="F39" s="23" t="s">
        <v>18</v>
      </c>
      <c r="G39" s="26"/>
      <c r="H39" s="27"/>
      <c r="I39" s="27">
        <v>10</v>
      </c>
      <c r="J39" s="27">
        <v>8</v>
      </c>
      <c r="K39" s="27"/>
      <c r="L39" s="27"/>
      <c r="M39" s="26"/>
      <c r="N39" s="27"/>
      <c r="O39" s="27"/>
      <c r="P39" s="27"/>
      <c r="Q39" s="27"/>
      <c r="R39" s="27"/>
      <c r="S39" s="26">
        <f t="shared" si="1"/>
        <v>18</v>
      </c>
      <c r="T39" s="274"/>
    </row>
    <row r="40" spans="1:22" ht="28.5" customHeight="1">
      <c r="A40" s="275">
        <v>19</v>
      </c>
      <c r="B40" s="277" t="s">
        <v>76</v>
      </c>
      <c r="C40" s="275" t="s">
        <v>70</v>
      </c>
      <c r="D40" s="271">
        <v>0</v>
      </c>
      <c r="E40" s="271">
        <v>0</v>
      </c>
      <c r="F40" s="20" t="s">
        <v>112</v>
      </c>
      <c r="G40" s="45">
        <v>0</v>
      </c>
      <c r="H40" s="46">
        <v>0</v>
      </c>
      <c r="I40" s="46">
        <v>10</v>
      </c>
      <c r="J40" s="46">
        <v>150</v>
      </c>
      <c r="K40" s="46">
        <v>0</v>
      </c>
      <c r="L40" s="46">
        <v>0</v>
      </c>
      <c r="M40" s="45">
        <v>0</v>
      </c>
      <c r="N40" s="46">
        <v>0</v>
      </c>
      <c r="O40" s="46">
        <v>0</v>
      </c>
      <c r="P40" s="46">
        <v>0</v>
      </c>
      <c r="Q40" s="46">
        <v>0</v>
      </c>
      <c r="R40" s="46">
        <v>0</v>
      </c>
      <c r="S40" s="26">
        <f t="shared" si="1"/>
        <v>160</v>
      </c>
      <c r="T40" s="273">
        <f>S41/S40</f>
        <v>0.1</v>
      </c>
    </row>
    <row r="41" spans="1:22" s="25" customFormat="1" ht="28.5" customHeight="1">
      <c r="A41" s="276"/>
      <c r="B41" s="278"/>
      <c r="C41" s="276"/>
      <c r="D41" s="272"/>
      <c r="E41" s="272"/>
      <c r="F41" s="23" t="s">
        <v>18</v>
      </c>
      <c r="G41" s="26"/>
      <c r="H41" s="27"/>
      <c r="I41" s="27">
        <v>6</v>
      </c>
      <c r="J41" s="27">
        <v>10</v>
      </c>
      <c r="K41" s="27"/>
      <c r="L41" s="27"/>
      <c r="M41" s="26"/>
      <c r="N41" s="27"/>
      <c r="O41" s="27"/>
      <c r="P41" s="27"/>
      <c r="Q41" s="27"/>
      <c r="R41" s="27"/>
      <c r="S41" s="26">
        <f t="shared" si="1"/>
        <v>16</v>
      </c>
      <c r="T41" s="274"/>
    </row>
    <row r="42" spans="1:22" ht="28.5" customHeight="1">
      <c r="A42" s="275">
        <v>20</v>
      </c>
      <c r="B42" s="277" t="s">
        <v>79</v>
      </c>
      <c r="C42" s="275" t="s">
        <v>70</v>
      </c>
      <c r="D42" s="269">
        <v>15</v>
      </c>
      <c r="E42" s="269">
        <v>2</v>
      </c>
      <c r="F42" s="20" t="s">
        <v>112</v>
      </c>
      <c r="G42" s="26">
        <v>0</v>
      </c>
      <c r="H42" s="27">
        <v>0</v>
      </c>
      <c r="I42" s="27">
        <v>2</v>
      </c>
      <c r="J42" s="27">
        <v>33</v>
      </c>
      <c r="K42" s="27">
        <v>0</v>
      </c>
      <c r="L42" s="27">
        <v>0</v>
      </c>
      <c r="M42" s="26">
        <v>0</v>
      </c>
      <c r="N42" s="27">
        <v>0</v>
      </c>
      <c r="O42" s="27">
        <v>0</v>
      </c>
      <c r="P42" s="27">
        <v>0</v>
      </c>
      <c r="Q42" s="27">
        <v>0</v>
      </c>
      <c r="R42" s="27">
        <v>11</v>
      </c>
      <c r="S42" s="26">
        <f t="shared" si="1"/>
        <v>46</v>
      </c>
      <c r="T42" s="273">
        <f>S43/S42</f>
        <v>0.2608695652173913</v>
      </c>
    </row>
    <row r="43" spans="1:22" s="25" customFormat="1" ht="28.5" customHeight="1">
      <c r="A43" s="276"/>
      <c r="B43" s="278"/>
      <c r="C43" s="276"/>
      <c r="D43" s="270"/>
      <c r="E43" s="270"/>
      <c r="F43" s="23" t="s">
        <v>18</v>
      </c>
      <c r="G43" s="26"/>
      <c r="H43" s="27"/>
      <c r="I43" s="27">
        <v>6</v>
      </c>
      <c r="J43" s="27">
        <v>6</v>
      </c>
      <c r="K43" s="27"/>
      <c r="L43" s="27"/>
      <c r="M43" s="26"/>
      <c r="N43" s="27"/>
      <c r="O43" s="27"/>
      <c r="P43" s="27"/>
      <c r="Q43" s="27"/>
      <c r="R43" s="27"/>
      <c r="S43" s="26">
        <f t="shared" si="1"/>
        <v>12</v>
      </c>
      <c r="T43" s="274"/>
    </row>
    <row r="44" spans="1:22" ht="28.5" customHeight="1">
      <c r="A44" s="275">
        <v>21</v>
      </c>
      <c r="B44" s="277" t="s">
        <v>82</v>
      </c>
      <c r="C44" s="275" t="s">
        <v>70</v>
      </c>
      <c r="D44" s="269">
        <v>0</v>
      </c>
      <c r="E44" s="269">
        <v>3</v>
      </c>
      <c r="F44" s="20" t="s">
        <v>112</v>
      </c>
      <c r="G44" s="26">
        <v>1</v>
      </c>
      <c r="H44" s="27">
        <v>0</v>
      </c>
      <c r="I44" s="27">
        <v>13</v>
      </c>
      <c r="J44" s="27">
        <v>59</v>
      </c>
      <c r="K44" s="27">
        <v>0</v>
      </c>
      <c r="L44" s="27">
        <v>0</v>
      </c>
      <c r="M44" s="26">
        <v>5</v>
      </c>
      <c r="N44" s="27">
        <v>0</v>
      </c>
      <c r="O44" s="27">
        <v>6</v>
      </c>
      <c r="P44" s="27">
        <v>0</v>
      </c>
      <c r="Q44" s="27">
        <v>0</v>
      </c>
      <c r="R44" s="27">
        <v>3</v>
      </c>
      <c r="S44" s="26">
        <f t="shared" si="1"/>
        <v>87</v>
      </c>
      <c r="T44" s="273">
        <f>S45/S44</f>
        <v>0.73563218390804597</v>
      </c>
    </row>
    <row r="45" spans="1:22" s="25" customFormat="1" ht="28.5" customHeight="1">
      <c r="A45" s="276"/>
      <c r="B45" s="278"/>
      <c r="C45" s="276"/>
      <c r="D45" s="270"/>
      <c r="E45" s="270"/>
      <c r="F45" s="23" t="s">
        <v>18</v>
      </c>
      <c r="G45" s="26"/>
      <c r="H45" s="27"/>
      <c r="I45" s="27">
        <v>5</v>
      </c>
      <c r="J45" s="27">
        <v>17</v>
      </c>
      <c r="K45" s="27"/>
      <c r="L45" s="27"/>
      <c r="M45" s="26">
        <v>2</v>
      </c>
      <c r="N45" s="27"/>
      <c r="O45" s="27">
        <v>40</v>
      </c>
      <c r="P45" s="27"/>
      <c r="Q45" s="27"/>
      <c r="R45" s="27"/>
      <c r="S45" s="26">
        <f t="shared" si="1"/>
        <v>64</v>
      </c>
      <c r="T45" s="274"/>
    </row>
    <row r="46" spans="1:22" ht="28.5" customHeight="1">
      <c r="A46" s="275">
        <v>22</v>
      </c>
      <c r="B46" s="277" t="s">
        <v>85</v>
      </c>
      <c r="C46" s="275" t="s">
        <v>70</v>
      </c>
      <c r="D46" s="269">
        <v>6</v>
      </c>
      <c r="E46" s="269">
        <v>0</v>
      </c>
      <c r="F46" s="20" t="s">
        <v>112</v>
      </c>
      <c r="G46" s="26">
        <v>0</v>
      </c>
      <c r="H46" s="27">
        <v>0</v>
      </c>
      <c r="I46" s="27">
        <v>1</v>
      </c>
      <c r="J46" s="27">
        <v>64</v>
      </c>
      <c r="K46" s="27">
        <v>0</v>
      </c>
      <c r="L46" s="27">
        <v>0</v>
      </c>
      <c r="M46" s="26">
        <v>0</v>
      </c>
      <c r="N46" s="27">
        <v>0</v>
      </c>
      <c r="O46" s="27">
        <v>0</v>
      </c>
      <c r="P46" s="27">
        <v>0</v>
      </c>
      <c r="Q46" s="27">
        <v>0</v>
      </c>
      <c r="R46" s="27">
        <v>0</v>
      </c>
      <c r="S46" s="26">
        <f t="shared" si="1"/>
        <v>65</v>
      </c>
      <c r="T46" s="273">
        <f>S47/S46</f>
        <v>0.14923076923076922</v>
      </c>
    </row>
    <row r="47" spans="1:22" s="25" customFormat="1" ht="28.5" customHeight="1">
      <c r="A47" s="276"/>
      <c r="B47" s="278"/>
      <c r="C47" s="276"/>
      <c r="D47" s="270"/>
      <c r="E47" s="270"/>
      <c r="F47" s="23" t="s">
        <v>18</v>
      </c>
      <c r="G47" s="26"/>
      <c r="H47" s="27"/>
      <c r="I47" s="32">
        <v>0.1</v>
      </c>
      <c r="J47" s="32">
        <v>9.6</v>
      </c>
      <c r="K47" s="27"/>
      <c r="L47" s="27"/>
      <c r="M47" s="26"/>
      <c r="N47" s="27"/>
      <c r="O47" s="27"/>
      <c r="P47" s="27"/>
      <c r="Q47" s="27"/>
      <c r="R47" s="27"/>
      <c r="S47" s="26">
        <f t="shared" si="1"/>
        <v>9.6999999999999993</v>
      </c>
      <c r="T47" s="274"/>
    </row>
    <row r="48" spans="1:22" ht="29.25" customHeight="1">
      <c r="A48" s="275">
        <v>23</v>
      </c>
      <c r="B48" s="277" t="s">
        <v>86</v>
      </c>
      <c r="C48" s="275" t="s">
        <v>70</v>
      </c>
      <c r="D48" s="269">
        <v>11</v>
      </c>
      <c r="E48" s="269">
        <v>0</v>
      </c>
      <c r="F48" s="20" t="s">
        <v>112</v>
      </c>
      <c r="G48" s="26">
        <v>0</v>
      </c>
      <c r="H48" s="27">
        <v>0</v>
      </c>
      <c r="I48" s="27">
        <v>37</v>
      </c>
      <c r="J48" s="27">
        <v>57</v>
      </c>
      <c r="K48" s="27">
        <v>0</v>
      </c>
      <c r="L48" s="27">
        <v>6</v>
      </c>
      <c r="M48" s="26">
        <v>0</v>
      </c>
      <c r="N48" s="27">
        <v>0</v>
      </c>
      <c r="O48" s="27">
        <v>0</v>
      </c>
      <c r="P48" s="27">
        <v>0</v>
      </c>
      <c r="Q48" s="27">
        <v>0</v>
      </c>
      <c r="R48" s="27">
        <v>11</v>
      </c>
      <c r="S48" s="26">
        <f t="shared" si="1"/>
        <v>111</v>
      </c>
      <c r="T48" s="273">
        <f>S49/S48</f>
        <v>0.17567567567567569</v>
      </c>
    </row>
    <row r="49" spans="1:20" s="25" customFormat="1" ht="28.5" customHeight="1">
      <c r="A49" s="276"/>
      <c r="B49" s="278"/>
      <c r="C49" s="276"/>
      <c r="D49" s="270"/>
      <c r="E49" s="270"/>
      <c r="F49" s="23" t="s">
        <v>18</v>
      </c>
      <c r="G49" s="26"/>
      <c r="H49" s="27"/>
      <c r="I49" s="27">
        <v>6.5</v>
      </c>
      <c r="J49" s="27">
        <v>13</v>
      </c>
      <c r="K49" s="27"/>
      <c r="L49" s="27"/>
      <c r="M49" s="26"/>
      <c r="N49" s="27"/>
      <c r="O49" s="27"/>
      <c r="P49" s="27"/>
      <c r="Q49" s="27"/>
      <c r="R49" s="27"/>
      <c r="S49" s="26">
        <f t="shared" si="1"/>
        <v>19.5</v>
      </c>
      <c r="T49" s="274"/>
    </row>
    <row r="50" spans="1:20" ht="28.5" customHeight="1">
      <c r="A50" s="275">
        <v>24</v>
      </c>
      <c r="B50" s="277" t="s">
        <v>88</v>
      </c>
      <c r="C50" s="275" t="s">
        <v>70</v>
      </c>
      <c r="D50" s="269">
        <v>0</v>
      </c>
      <c r="E50" s="269">
        <v>0</v>
      </c>
      <c r="F50" s="20" t="s">
        <v>112</v>
      </c>
      <c r="G50" s="26">
        <v>0</v>
      </c>
      <c r="H50" s="27">
        <v>0</v>
      </c>
      <c r="I50" s="27">
        <v>0</v>
      </c>
      <c r="J50" s="27">
        <v>64</v>
      </c>
      <c r="K50" s="27">
        <v>0</v>
      </c>
      <c r="L50" s="27">
        <v>0</v>
      </c>
      <c r="M50" s="26">
        <v>0</v>
      </c>
      <c r="N50" s="27">
        <v>0</v>
      </c>
      <c r="O50" s="27">
        <v>0</v>
      </c>
      <c r="P50" s="27">
        <v>0</v>
      </c>
      <c r="Q50" s="27">
        <v>0</v>
      </c>
      <c r="R50" s="27">
        <v>0</v>
      </c>
      <c r="S50" s="26">
        <f t="shared" si="1"/>
        <v>64</v>
      </c>
      <c r="T50" s="273">
        <f>S51/S50</f>
        <v>0.109375</v>
      </c>
    </row>
    <row r="51" spans="1:20" s="25" customFormat="1" ht="28.5" customHeight="1">
      <c r="A51" s="276"/>
      <c r="B51" s="278"/>
      <c r="C51" s="276"/>
      <c r="D51" s="270"/>
      <c r="E51" s="270"/>
      <c r="F51" s="23" t="s">
        <v>18</v>
      </c>
      <c r="G51" s="26">
        <v>0</v>
      </c>
      <c r="H51" s="27">
        <v>0</v>
      </c>
      <c r="I51" s="27">
        <v>0</v>
      </c>
      <c r="J51" s="27">
        <v>7</v>
      </c>
      <c r="K51" s="27">
        <v>0</v>
      </c>
      <c r="L51" s="27">
        <v>0</v>
      </c>
      <c r="M51" s="26">
        <v>0</v>
      </c>
      <c r="N51" s="27">
        <v>0</v>
      </c>
      <c r="O51" s="27">
        <v>0</v>
      </c>
      <c r="P51" s="27">
        <v>0</v>
      </c>
      <c r="Q51" s="27">
        <v>0</v>
      </c>
      <c r="R51" s="27">
        <v>0</v>
      </c>
      <c r="S51" s="26">
        <f t="shared" si="1"/>
        <v>7</v>
      </c>
      <c r="T51" s="274"/>
    </row>
    <row r="52" spans="1:20" ht="28.5" customHeight="1">
      <c r="A52" s="275">
        <v>25</v>
      </c>
      <c r="B52" s="277" t="s">
        <v>90</v>
      </c>
      <c r="C52" s="275" t="s">
        <v>70</v>
      </c>
      <c r="D52" s="269">
        <v>1</v>
      </c>
      <c r="E52" s="269">
        <v>1</v>
      </c>
      <c r="F52" s="20" t="s">
        <v>112</v>
      </c>
      <c r="G52" s="26">
        <v>0</v>
      </c>
      <c r="H52" s="27">
        <v>0</v>
      </c>
      <c r="I52" s="27">
        <v>11</v>
      </c>
      <c r="J52" s="27">
        <v>35</v>
      </c>
      <c r="K52" s="27">
        <v>0</v>
      </c>
      <c r="L52" s="27">
        <v>17</v>
      </c>
      <c r="M52" s="26">
        <v>1</v>
      </c>
      <c r="N52" s="27">
        <v>0</v>
      </c>
      <c r="O52" s="27">
        <v>0</v>
      </c>
      <c r="P52" s="27">
        <v>0</v>
      </c>
      <c r="Q52" s="27">
        <v>0</v>
      </c>
      <c r="R52" s="27">
        <v>0</v>
      </c>
      <c r="S52" s="26">
        <f t="shared" si="1"/>
        <v>64</v>
      </c>
      <c r="T52" s="273">
        <f>S53/S52</f>
        <v>0.109375</v>
      </c>
    </row>
    <row r="53" spans="1:20" s="25" customFormat="1" ht="28.5" customHeight="1">
      <c r="A53" s="276"/>
      <c r="B53" s="278"/>
      <c r="C53" s="276"/>
      <c r="D53" s="270"/>
      <c r="E53" s="270"/>
      <c r="F53" s="23" t="s">
        <v>18</v>
      </c>
      <c r="G53" s="26"/>
      <c r="H53" s="27"/>
      <c r="I53" s="27">
        <v>1</v>
      </c>
      <c r="J53" s="27">
        <v>6</v>
      </c>
      <c r="K53" s="27"/>
      <c r="L53" s="27"/>
      <c r="M53" s="26"/>
      <c r="N53" s="27"/>
      <c r="O53" s="27"/>
      <c r="P53" s="27"/>
      <c r="Q53" s="27"/>
      <c r="R53" s="27"/>
      <c r="S53" s="26">
        <f t="shared" si="1"/>
        <v>7</v>
      </c>
      <c r="T53" s="274"/>
    </row>
    <row r="54" spans="1:20" ht="28.5" customHeight="1">
      <c r="A54" s="275">
        <v>26</v>
      </c>
      <c r="B54" s="277" t="s">
        <v>92</v>
      </c>
      <c r="C54" s="275" t="s">
        <v>70</v>
      </c>
      <c r="D54" s="269">
        <v>1</v>
      </c>
      <c r="E54" s="269">
        <v>1</v>
      </c>
      <c r="F54" s="20" t="s">
        <v>112</v>
      </c>
      <c r="G54" s="26">
        <v>0</v>
      </c>
      <c r="H54" s="27">
        <v>0</v>
      </c>
      <c r="I54" s="27">
        <v>66</v>
      </c>
      <c r="J54" s="27">
        <v>32</v>
      </c>
      <c r="K54" s="27">
        <v>0</v>
      </c>
      <c r="L54" s="27">
        <v>0</v>
      </c>
      <c r="M54" s="26">
        <v>0</v>
      </c>
      <c r="N54" s="27">
        <v>0</v>
      </c>
      <c r="O54" s="27">
        <v>0</v>
      </c>
      <c r="P54" s="27">
        <v>0</v>
      </c>
      <c r="Q54" s="27">
        <v>0</v>
      </c>
      <c r="R54" s="27">
        <v>0</v>
      </c>
      <c r="S54" s="26">
        <f t="shared" si="1"/>
        <v>98</v>
      </c>
      <c r="T54" s="273">
        <f>S55/S54</f>
        <v>0.12244897959183673</v>
      </c>
    </row>
    <row r="55" spans="1:20" s="25" customFormat="1" ht="28.5" customHeight="1">
      <c r="A55" s="276"/>
      <c r="B55" s="278"/>
      <c r="C55" s="276"/>
      <c r="D55" s="270"/>
      <c r="E55" s="270"/>
      <c r="F55" s="23" t="s">
        <v>18</v>
      </c>
      <c r="G55" s="26"/>
      <c r="H55" s="27"/>
      <c r="I55" s="27">
        <v>6</v>
      </c>
      <c r="J55" s="27">
        <v>6</v>
      </c>
      <c r="K55" s="27"/>
      <c r="L55" s="27"/>
      <c r="M55" s="26"/>
      <c r="N55" s="27"/>
      <c r="O55" s="27"/>
      <c r="P55" s="27"/>
      <c r="Q55" s="27"/>
      <c r="R55" s="27"/>
      <c r="S55" s="26">
        <f t="shared" si="1"/>
        <v>12</v>
      </c>
      <c r="T55" s="274"/>
    </row>
    <row r="66" spans="7:13">
      <c r="G66" s="48"/>
      <c r="H66" s="48"/>
      <c r="I66" s="48"/>
      <c r="J66" s="48"/>
      <c r="K66" s="48"/>
      <c r="L66" s="48"/>
      <c r="M66" s="48"/>
    </row>
    <row r="67" spans="7:13">
      <c r="G67" s="48"/>
      <c r="H67" s="48"/>
      <c r="I67" s="48"/>
      <c r="J67" s="48"/>
      <c r="K67" s="48"/>
      <c r="L67" s="48"/>
      <c r="M67" s="48"/>
    </row>
    <row r="68" spans="7:13">
      <c r="G68" s="48"/>
      <c r="H68" s="48"/>
      <c r="I68" s="48"/>
      <c r="J68" s="48"/>
      <c r="K68" s="48"/>
      <c r="L68" s="48"/>
      <c r="M68" s="48"/>
    </row>
    <row r="69" spans="7:13">
      <c r="G69" s="48"/>
      <c r="H69" s="48"/>
      <c r="I69" s="48"/>
      <c r="J69" s="48"/>
      <c r="K69" s="48"/>
      <c r="L69" s="48"/>
      <c r="M69" s="48"/>
    </row>
    <row r="70" spans="7:13">
      <c r="G70" s="48"/>
      <c r="H70" s="48"/>
      <c r="I70" s="48"/>
      <c r="J70" s="48"/>
      <c r="K70" s="48"/>
      <c r="L70" s="48"/>
      <c r="M70" s="48"/>
    </row>
    <row r="71" spans="7:13">
      <c r="G71" s="48"/>
      <c r="H71" s="49"/>
      <c r="I71" s="50"/>
      <c r="J71" s="50"/>
      <c r="K71" s="50"/>
      <c r="L71" s="50"/>
      <c r="M71" s="50"/>
    </row>
    <row r="72" spans="7:13">
      <c r="G72" s="48"/>
      <c r="H72" s="49"/>
      <c r="I72" s="50"/>
      <c r="J72" s="50"/>
      <c r="K72" s="50"/>
      <c r="L72" s="50"/>
      <c r="M72" s="50"/>
    </row>
  </sheetData>
  <mergeCells count="160">
    <mergeCell ref="G2:R2"/>
    <mergeCell ref="D2:F2"/>
    <mergeCell ref="C4:C5"/>
    <mergeCell ref="B4:B5"/>
    <mergeCell ref="A4:A5"/>
    <mergeCell ref="E3:F3"/>
    <mergeCell ref="E4:E5"/>
    <mergeCell ref="A10:A11"/>
    <mergeCell ref="B10:B11"/>
    <mergeCell ref="C10:C11"/>
    <mergeCell ref="A12:A13"/>
    <mergeCell ref="B12:B13"/>
    <mergeCell ref="C12:C13"/>
    <mergeCell ref="A6:A7"/>
    <mergeCell ref="B6:B7"/>
    <mergeCell ref="C6:C7"/>
    <mergeCell ref="A8:A9"/>
    <mergeCell ref="B8:B9"/>
    <mergeCell ref="C8:C9"/>
    <mergeCell ref="A18:A19"/>
    <mergeCell ref="B18:B19"/>
    <mergeCell ref="C18:C19"/>
    <mergeCell ref="A20:A21"/>
    <mergeCell ref="B20:B21"/>
    <mergeCell ref="C20:C21"/>
    <mergeCell ref="A14:A15"/>
    <mergeCell ref="B14:B15"/>
    <mergeCell ref="C14:C15"/>
    <mergeCell ref="A16:A17"/>
    <mergeCell ref="B16:B17"/>
    <mergeCell ref="C16:C17"/>
    <mergeCell ref="A26:A27"/>
    <mergeCell ref="B26:B27"/>
    <mergeCell ref="C26:C27"/>
    <mergeCell ref="A28:A29"/>
    <mergeCell ref="B28:B29"/>
    <mergeCell ref="C28:C29"/>
    <mergeCell ref="A22:A23"/>
    <mergeCell ref="B22:B23"/>
    <mergeCell ref="C22:C23"/>
    <mergeCell ref="A24:A25"/>
    <mergeCell ref="B24:B25"/>
    <mergeCell ref="C24:C25"/>
    <mergeCell ref="A34:A35"/>
    <mergeCell ref="B34:B35"/>
    <mergeCell ref="C34:C35"/>
    <mergeCell ref="A36:A37"/>
    <mergeCell ref="B36:B37"/>
    <mergeCell ref="C36:C37"/>
    <mergeCell ref="A30:A31"/>
    <mergeCell ref="B30:B31"/>
    <mergeCell ref="C30:C31"/>
    <mergeCell ref="A32:A33"/>
    <mergeCell ref="B32:B33"/>
    <mergeCell ref="C32:C33"/>
    <mergeCell ref="C42:C43"/>
    <mergeCell ref="A44:A45"/>
    <mergeCell ref="B44:B45"/>
    <mergeCell ref="C44:C45"/>
    <mergeCell ref="A38:A39"/>
    <mergeCell ref="B38:B39"/>
    <mergeCell ref="C38:C39"/>
    <mergeCell ref="A40:A41"/>
    <mergeCell ref="B40:B41"/>
    <mergeCell ref="C40:C41"/>
    <mergeCell ref="A54:A55"/>
    <mergeCell ref="B54:B55"/>
    <mergeCell ref="C54:C55"/>
    <mergeCell ref="S2:T2"/>
    <mergeCell ref="D4:D5"/>
    <mergeCell ref="D6:D7"/>
    <mergeCell ref="D8:D9"/>
    <mergeCell ref="D10:D11"/>
    <mergeCell ref="D12:D13"/>
    <mergeCell ref="D14:D15"/>
    <mergeCell ref="A50:A51"/>
    <mergeCell ref="B50:B51"/>
    <mergeCell ref="C50:C51"/>
    <mergeCell ref="A52:A53"/>
    <mergeCell ref="B52:B53"/>
    <mergeCell ref="C52:C53"/>
    <mergeCell ref="A46:A47"/>
    <mergeCell ref="B46:B47"/>
    <mergeCell ref="C46:C47"/>
    <mergeCell ref="A48:A49"/>
    <mergeCell ref="B48:B49"/>
    <mergeCell ref="C48:C49"/>
    <mergeCell ref="A42:A43"/>
    <mergeCell ref="B42:B43"/>
    <mergeCell ref="D32:D33"/>
    <mergeCell ref="D34:D35"/>
    <mergeCell ref="D36:D37"/>
    <mergeCell ref="D38:D39"/>
    <mergeCell ref="D16:D17"/>
    <mergeCell ref="D18:D19"/>
    <mergeCell ref="D20:D21"/>
    <mergeCell ref="D22:D23"/>
    <mergeCell ref="D24:D25"/>
    <mergeCell ref="D26:D27"/>
    <mergeCell ref="T20:T21"/>
    <mergeCell ref="T22:T23"/>
    <mergeCell ref="T24:T25"/>
    <mergeCell ref="T26:T27"/>
    <mergeCell ref="T28:T29"/>
    <mergeCell ref="T30:T31"/>
    <mergeCell ref="D52:D53"/>
    <mergeCell ref="D54:D55"/>
    <mergeCell ref="T4:T5"/>
    <mergeCell ref="T10:T11"/>
    <mergeCell ref="T8:T9"/>
    <mergeCell ref="T6:T7"/>
    <mergeCell ref="T12:T13"/>
    <mergeCell ref="T14:T15"/>
    <mergeCell ref="T16:T17"/>
    <mergeCell ref="T18:T19"/>
    <mergeCell ref="D40:D41"/>
    <mergeCell ref="D42:D43"/>
    <mergeCell ref="D44:D45"/>
    <mergeCell ref="D46:D47"/>
    <mergeCell ref="D48:D49"/>
    <mergeCell ref="D50:D51"/>
    <mergeCell ref="D28:D29"/>
    <mergeCell ref="D30:D31"/>
    <mergeCell ref="T44:T45"/>
    <mergeCell ref="T46:T47"/>
    <mergeCell ref="T48:T49"/>
    <mergeCell ref="T50:T51"/>
    <mergeCell ref="T52:T53"/>
    <mergeCell ref="T54:T55"/>
    <mergeCell ref="T32:T33"/>
    <mergeCell ref="T34:T35"/>
    <mergeCell ref="T36:T37"/>
    <mergeCell ref="T38:T39"/>
    <mergeCell ref="T40:T41"/>
    <mergeCell ref="T42:T43"/>
    <mergeCell ref="E18:E19"/>
    <mergeCell ref="E20:E21"/>
    <mergeCell ref="E22:E23"/>
    <mergeCell ref="E24:E25"/>
    <mergeCell ref="E26:E27"/>
    <mergeCell ref="E28:E29"/>
    <mergeCell ref="E6:E7"/>
    <mergeCell ref="E8:E9"/>
    <mergeCell ref="E10:E11"/>
    <mergeCell ref="E12:E13"/>
    <mergeCell ref="E14:E15"/>
    <mergeCell ref="E16:E17"/>
    <mergeCell ref="E54:E55"/>
    <mergeCell ref="E42:E43"/>
    <mergeCell ref="E44:E45"/>
    <mergeCell ref="E46:E47"/>
    <mergeCell ref="E48:E49"/>
    <mergeCell ref="E50:E51"/>
    <mergeCell ref="E52:E53"/>
    <mergeCell ref="E30:E31"/>
    <mergeCell ref="E32:E33"/>
    <mergeCell ref="E34:E35"/>
    <mergeCell ref="E36:E37"/>
    <mergeCell ref="E38:E39"/>
    <mergeCell ref="E40:E41"/>
  </mergeCells>
  <phoneticPr fontId="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9C34-4B78-4F2B-A6FA-B5761424A156}">
  <dimension ref="A2:V95"/>
  <sheetViews>
    <sheetView workbookViewId="0">
      <pane ySplit="3" topLeftCell="A46" activePane="bottomLeft" state="frozen"/>
      <selection pane="bottomLeft" activeCell="A46" sqref="A46"/>
    </sheetView>
  </sheetViews>
  <sheetFormatPr defaultRowHeight="14.4"/>
  <cols>
    <col min="1" max="1" width="5.6640625" style="5" customWidth="1"/>
    <col min="2" max="2" width="22.88671875" customWidth="1"/>
    <col min="4" max="6" width="11.6640625" customWidth="1"/>
    <col min="7" max="7" width="15.109375" customWidth="1"/>
    <col min="8" max="18" width="12.6640625" customWidth="1"/>
    <col min="19" max="19" width="11.6640625" customWidth="1"/>
    <col min="20" max="20" width="20.6640625" customWidth="1"/>
  </cols>
  <sheetData>
    <row r="2" spans="1:22"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2"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row>
    <row r="4" spans="1:22" s="1" customFormat="1" ht="28.5" customHeight="1">
      <c r="A4" s="275">
        <v>1</v>
      </c>
      <c r="B4" s="277" t="s">
        <v>20</v>
      </c>
      <c r="C4" s="275" t="s">
        <v>21</v>
      </c>
      <c r="D4" s="269">
        <v>0</v>
      </c>
      <c r="E4" s="288">
        <v>0</v>
      </c>
      <c r="F4" s="31" t="s">
        <v>112</v>
      </c>
      <c r="G4" s="52">
        <v>0</v>
      </c>
      <c r="H4" s="53">
        <v>0</v>
      </c>
      <c r="I4" s="53">
        <v>57</v>
      </c>
      <c r="J4" s="53">
        <v>4</v>
      </c>
      <c r="K4" s="53">
        <v>0</v>
      </c>
      <c r="L4" s="53">
        <v>0</v>
      </c>
      <c r="M4" s="53">
        <v>0</v>
      </c>
      <c r="N4" s="53">
        <v>0</v>
      </c>
      <c r="O4" s="53">
        <v>0</v>
      </c>
      <c r="P4" s="53">
        <v>0</v>
      </c>
      <c r="Q4" s="53">
        <v>0</v>
      </c>
      <c r="R4" s="53">
        <v>57</v>
      </c>
      <c r="S4" s="27">
        <f>SUM(G4:R4)</f>
        <v>118</v>
      </c>
      <c r="T4" s="273">
        <f>S5/S4</f>
        <v>0.21186440677966101</v>
      </c>
      <c r="V4" s="47">
        <f>AVERAGE(S4,S6,S8,S10,S12,S14,S16,S18,S20,S22)</f>
        <v>171.7</v>
      </c>
    </row>
    <row r="5" spans="1:22" s="24" customFormat="1" ht="28.5" customHeight="1">
      <c r="A5" s="276"/>
      <c r="B5" s="278"/>
      <c r="C5" s="276"/>
      <c r="D5" s="270"/>
      <c r="E5" s="270"/>
      <c r="F5" s="23" t="s">
        <v>18</v>
      </c>
      <c r="G5" s="33">
        <v>0</v>
      </c>
      <c r="H5" s="34">
        <v>0</v>
      </c>
      <c r="I5" s="34">
        <v>25</v>
      </c>
      <c r="J5" s="34">
        <v>0</v>
      </c>
      <c r="K5" s="34">
        <v>0</v>
      </c>
      <c r="L5" s="34">
        <v>0</v>
      </c>
      <c r="M5" s="34">
        <v>0</v>
      </c>
      <c r="N5" s="34">
        <v>0</v>
      </c>
      <c r="O5" s="34">
        <v>0</v>
      </c>
      <c r="P5" s="34">
        <v>0</v>
      </c>
      <c r="Q5" s="34">
        <v>100</v>
      </c>
      <c r="R5" s="34">
        <v>0</v>
      </c>
      <c r="S5" s="27">
        <f>I5</f>
        <v>25</v>
      </c>
      <c r="T5" s="274"/>
      <c r="V5" s="24">
        <f>AVERAGE(S5,S7,S9,S11,S13,S15,S17,S19,S21,S23)</f>
        <v>45.9</v>
      </c>
    </row>
    <row r="6" spans="1:22" s="1" customFormat="1" ht="28.5" customHeight="1">
      <c r="A6" s="275">
        <v>2</v>
      </c>
      <c r="B6" s="277" t="s">
        <v>24</v>
      </c>
      <c r="C6" s="275" t="s">
        <v>21</v>
      </c>
      <c r="D6" s="269">
        <v>1</v>
      </c>
      <c r="E6" s="269">
        <v>0</v>
      </c>
      <c r="F6" s="20" t="s">
        <v>112</v>
      </c>
      <c r="G6" s="52">
        <v>0</v>
      </c>
      <c r="H6" s="53">
        <v>0</v>
      </c>
      <c r="I6" s="53">
        <v>2</v>
      </c>
      <c r="J6" s="53">
        <v>53</v>
      </c>
      <c r="K6" s="53">
        <v>0</v>
      </c>
      <c r="L6" s="53">
        <v>0</v>
      </c>
      <c r="M6" s="53">
        <v>0</v>
      </c>
      <c r="N6" s="53">
        <v>0</v>
      </c>
      <c r="O6" s="53">
        <v>0</v>
      </c>
      <c r="P6" s="53">
        <v>0</v>
      </c>
      <c r="Q6" s="53">
        <v>0</v>
      </c>
      <c r="R6" s="53">
        <v>1</v>
      </c>
      <c r="S6" s="27">
        <f t="shared" ref="S6:S11" si="0">SUM(G6:R6)</f>
        <v>56</v>
      </c>
      <c r="T6" s="273">
        <f>S7/S6</f>
        <v>0.14285714285714285</v>
      </c>
      <c r="V6" s="24">
        <f>V5/V4</f>
        <v>0.26732673267326734</v>
      </c>
    </row>
    <row r="7" spans="1:22" s="24" customFormat="1" ht="28.5" customHeight="1">
      <c r="A7" s="276"/>
      <c r="B7" s="278"/>
      <c r="C7" s="276"/>
      <c r="D7" s="270"/>
      <c r="E7" s="270"/>
      <c r="F7" s="23" t="s">
        <v>18</v>
      </c>
      <c r="G7" s="33">
        <v>0</v>
      </c>
      <c r="H7" s="34">
        <v>0</v>
      </c>
      <c r="I7" s="34">
        <v>0</v>
      </c>
      <c r="J7" s="34">
        <v>8</v>
      </c>
      <c r="K7" s="34">
        <v>0</v>
      </c>
      <c r="L7" s="34">
        <v>0</v>
      </c>
      <c r="M7" s="34">
        <v>0</v>
      </c>
      <c r="N7" s="34">
        <v>0</v>
      </c>
      <c r="O7" s="34">
        <v>0</v>
      </c>
      <c r="P7" s="34">
        <v>0</v>
      </c>
      <c r="Q7" s="34">
        <v>0</v>
      </c>
      <c r="R7" s="34">
        <v>0</v>
      </c>
      <c r="S7" s="27">
        <f t="shared" si="0"/>
        <v>8</v>
      </c>
      <c r="T7" s="274"/>
    </row>
    <row r="8" spans="1:22" s="1" customFormat="1" ht="28.5" customHeight="1">
      <c r="A8" s="275">
        <v>3</v>
      </c>
      <c r="B8" s="277" t="s">
        <v>27</v>
      </c>
      <c r="C8" s="275" t="s">
        <v>21</v>
      </c>
      <c r="D8" s="269">
        <v>2</v>
      </c>
      <c r="E8" s="269">
        <v>0</v>
      </c>
      <c r="F8" s="20" t="s">
        <v>112</v>
      </c>
      <c r="G8" s="52">
        <v>0</v>
      </c>
      <c r="H8" s="53">
        <v>0</v>
      </c>
      <c r="I8" s="53">
        <v>22</v>
      </c>
      <c r="J8" s="53">
        <v>622</v>
      </c>
      <c r="K8" s="53">
        <v>0</v>
      </c>
      <c r="L8" s="53">
        <v>0</v>
      </c>
      <c r="M8" s="53">
        <v>0</v>
      </c>
      <c r="N8" s="53">
        <v>0</v>
      </c>
      <c r="O8" s="53">
        <v>0</v>
      </c>
      <c r="P8" s="53">
        <v>0</v>
      </c>
      <c r="Q8" s="53">
        <v>0</v>
      </c>
      <c r="R8" s="53">
        <v>0</v>
      </c>
      <c r="S8" s="27">
        <f t="shared" si="0"/>
        <v>644</v>
      </c>
      <c r="T8" s="273">
        <f>S9/S8</f>
        <v>0.10093167701863354</v>
      </c>
    </row>
    <row r="9" spans="1:22" s="1" customFormat="1" ht="28.5" customHeight="1">
      <c r="A9" s="276"/>
      <c r="B9" s="278"/>
      <c r="C9" s="276"/>
      <c r="D9" s="270"/>
      <c r="E9" s="270"/>
      <c r="F9" s="20" t="s">
        <v>18</v>
      </c>
      <c r="G9" s="33">
        <v>0</v>
      </c>
      <c r="H9" s="34">
        <v>0</v>
      </c>
      <c r="I9" s="34">
        <v>30</v>
      </c>
      <c r="J9" s="34">
        <v>35</v>
      </c>
      <c r="K9" s="34">
        <v>0</v>
      </c>
      <c r="L9" s="34">
        <v>0</v>
      </c>
      <c r="M9" s="34">
        <v>0</v>
      </c>
      <c r="N9" s="34">
        <v>0</v>
      </c>
      <c r="O9" s="34">
        <v>0</v>
      </c>
      <c r="P9" s="34">
        <v>0</v>
      </c>
      <c r="Q9" s="34">
        <v>0</v>
      </c>
      <c r="R9" s="34">
        <v>0</v>
      </c>
      <c r="S9" s="27">
        <f t="shared" si="0"/>
        <v>65</v>
      </c>
      <c r="T9" s="274"/>
    </row>
    <row r="10" spans="1:22" s="1" customFormat="1" ht="28.5" customHeight="1">
      <c r="A10" s="275">
        <v>4</v>
      </c>
      <c r="B10" s="277" t="s">
        <v>30</v>
      </c>
      <c r="C10" s="275" t="s">
        <v>21</v>
      </c>
      <c r="D10" s="269">
        <v>0</v>
      </c>
      <c r="E10" s="269">
        <v>0</v>
      </c>
      <c r="F10" s="20" t="s">
        <v>112</v>
      </c>
      <c r="G10" s="52">
        <v>0</v>
      </c>
      <c r="H10" s="53">
        <v>0</v>
      </c>
      <c r="I10" s="53">
        <v>0</v>
      </c>
      <c r="J10" s="53">
        <v>22</v>
      </c>
      <c r="K10" s="53">
        <v>0</v>
      </c>
      <c r="L10" s="53">
        <v>0</v>
      </c>
      <c r="M10" s="53">
        <v>0</v>
      </c>
      <c r="N10" s="53">
        <v>0</v>
      </c>
      <c r="O10" s="53">
        <v>0</v>
      </c>
      <c r="P10" s="53">
        <v>0</v>
      </c>
      <c r="Q10" s="53">
        <v>0</v>
      </c>
      <c r="R10" s="53">
        <v>0</v>
      </c>
      <c r="S10" s="27">
        <f t="shared" si="0"/>
        <v>22</v>
      </c>
      <c r="T10" s="273">
        <f>S11/S10</f>
        <v>0.36363636363636365</v>
      </c>
    </row>
    <row r="11" spans="1:22" s="24" customFormat="1" ht="28.5" customHeight="1">
      <c r="A11" s="276"/>
      <c r="B11" s="278"/>
      <c r="C11" s="276"/>
      <c r="D11" s="270"/>
      <c r="E11" s="270"/>
      <c r="F11" s="23" t="s">
        <v>18</v>
      </c>
      <c r="G11" s="33">
        <v>0</v>
      </c>
      <c r="H11" s="34">
        <v>0</v>
      </c>
      <c r="I11" s="34">
        <v>0</v>
      </c>
      <c r="J11" s="34">
        <v>8</v>
      </c>
      <c r="K11" s="34">
        <v>0</v>
      </c>
      <c r="L11" s="34">
        <v>0</v>
      </c>
      <c r="M11" s="34">
        <v>0</v>
      </c>
      <c r="N11" s="34">
        <v>0</v>
      </c>
      <c r="O11" s="34">
        <v>0</v>
      </c>
      <c r="P11" s="34">
        <v>0</v>
      </c>
      <c r="Q11" s="34">
        <v>0</v>
      </c>
      <c r="R11" s="34">
        <v>0</v>
      </c>
      <c r="S11" s="27">
        <f t="shared" si="0"/>
        <v>8</v>
      </c>
      <c r="T11" s="274"/>
    </row>
    <row r="12" spans="1:22" s="1" customFormat="1" ht="28.5" customHeight="1">
      <c r="A12" s="275">
        <v>5</v>
      </c>
      <c r="B12" s="277" t="s">
        <v>33</v>
      </c>
      <c r="C12" s="275" t="s">
        <v>21</v>
      </c>
      <c r="D12" s="269">
        <v>10</v>
      </c>
      <c r="E12" s="269">
        <v>2</v>
      </c>
      <c r="F12" s="20" t="s">
        <v>112</v>
      </c>
      <c r="G12" s="45">
        <v>0</v>
      </c>
      <c r="H12" s="46">
        <v>0</v>
      </c>
      <c r="I12" s="46">
        <v>26</v>
      </c>
      <c r="J12" s="46">
        <v>37</v>
      </c>
      <c r="K12" s="46">
        <v>0</v>
      </c>
      <c r="L12" s="46">
        <v>0</v>
      </c>
      <c r="M12" s="45">
        <v>0</v>
      </c>
      <c r="N12" s="46">
        <v>0</v>
      </c>
      <c r="O12" s="46">
        <v>0</v>
      </c>
      <c r="P12" s="46">
        <v>0</v>
      </c>
      <c r="Q12" s="46">
        <v>0</v>
      </c>
      <c r="R12" s="46">
        <v>0</v>
      </c>
      <c r="S12" s="27">
        <f t="shared" ref="S12:S55" si="1">SUM(G12:R12)</f>
        <v>63</v>
      </c>
      <c r="T12" s="273">
        <f>S13/S12</f>
        <v>0.68253968253968256</v>
      </c>
    </row>
    <row r="13" spans="1:22" s="24" customFormat="1" ht="28.5" customHeight="1">
      <c r="A13" s="276"/>
      <c r="B13" s="278"/>
      <c r="C13" s="276"/>
      <c r="D13" s="270"/>
      <c r="E13" s="270"/>
      <c r="F13" s="23" t="s">
        <v>18</v>
      </c>
      <c r="G13" s="26"/>
      <c r="H13" s="27"/>
      <c r="I13" s="27">
        <v>19</v>
      </c>
      <c r="J13" s="27">
        <v>24</v>
      </c>
      <c r="K13" s="27"/>
      <c r="L13" s="27"/>
      <c r="M13" s="27"/>
      <c r="N13" s="27"/>
      <c r="O13" s="27"/>
      <c r="P13" s="27"/>
      <c r="Q13" s="27"/>
      <c r="R13" s="27"/>
      <c r="S13" s="27">
        <f t="shared" si="1"/>
        <v>43</v>
      </c>
      <c r="T13" s="274"/>
    </row>
    <row r="14" spans="1:22" s="1" customFormat="1" ht="28.5" customHeight="1">
      <c r="A14" s="275">
        <v>6</v>
      </c>
      <c r="B14" s="277" t="s">
        <v>36</v>
      </c>
      <c r="C14" s="275" t="s">
        <v>21</v>
      </c>
      <c r="D14" s="269">
        <v>2</v>
      </c>
      <c r="E14" s="269">
        <v>0</v>
      </c>
      <c r="F14" s="20" t="s">
        <v>112</v>
      </c>
      <c r="G14" s="45">
        <v>0</v>
      </c>
      <c r="H14" s="45">
        <v>0</v>
      </c>
      <c r="I14" s="45">
        <v>0</v>
      </c>
      <c r="J14" s="45">
        <v>0</v>
      </c>
      <c r="K14" s="45">
        <v>0</v>
      </c>
      <c r="L14" s="45">
        <v>0</v>
      </c>
      <c r="M14" s="45">
        <v>0</v>
      </c>
      <c r="N14" s="45">
        <v>0</v>
      </c>
      <c r="O14" s="45">
        <v>0</v>
      </c>
      <c r="P14" s="45">
        <v>0</v>
      </c>
      <c r="Q14" s="45">
        <v>0</v>
      </c>
      <c r="R14" s="45">
        <v>0</v>
      </c>
      <c r="S14" s="27">
        <f t="shared" si="1"/>
        <v>0</v>
      </c>
      <c r="T14" s="273"/>
    </row>
    <row r="15" spans="1:22" s="24" customFormat="1" ht="28.5" customHeight="1">
      <c r="A15" s="276"/>
      <c r="B15" s="278"/>
      <c r="C15" s="276"/>
      <c r="D15" s="270"/>
      <c r="E15" s="270"/>
      <c r="F15" s="23" t="s">
        <v>18</v>
      </c>
      <c r="G15" s="45">
        <v>0</v>
      </c>
      <c r="H15" s="45">
        <v>0</v>
      </c>
      <c r="I15" s="45">
        <v>0</v>
      </c>
      <c r="J15" s="45">
        <v>0</v>
      </c>
      <c r="K15" s="45">
        <v>0</v>
      </c>
      <c r="L15" s="45">
        <v>0</v>
      </c>
      <c r="M15" s="45">
        <v>0</v>
      </c>
      <c r="N15" s="45">
        <v>0</v>
      </c>
      <c r="O15" s="45">
        <v>0</v>
      </c>
      <c r="P15" s="45">
        <v>0</v>
      </c>
      <c r="Q15" s="45">
        <v>0</v>
      </c>
      <c r="R15" s="45">
        <v>0</v>
      </c>
      <c r="S15" s="27">
        <f t="shared" si="1"/>
        <v>0</v>
      </c>
      <c r="T15" s="274"/>
    </row>
    <row r="16" spans="1:22" s="1" customFormat="1" ht="28.5" customHeight="1">
      <c r="A16" s="275">
        <v>7</v>
      </c>
      <c r="B16" s="277" t="s">
        <v>39</v>
      </c>
      <c r="C16" s="275" t="s">
        <v>21</v>
      </c>
      <c r="D16" s="269">
        <v>0</v>
      </c>
      <c r="E16" s="269">
        <v>0</v>
      </c>
      <c r="F16" s="20" t="s">
        <v>112</v>
      </c>
      <c r="G16" s="45">
        <v>0</v>
      </c>
      <c r="H16" s="46">
        <v>9</v>
      </c>
      <c r="I16" s="46">
        <v>25</v>
      </c>
      <c r="J16" s="46">
        <v>32</v>
      </c>
      <c r="K16" s="46">
        <v>0</v>
      </c>
      <c r="L16" s="46">
        <v>0</v>
      </c>
      <c r="M16" s="45">
        <v>0</v>
      </c>
      <c r="N16" s="46">
        <v>0</v>
      </c>
      <c r="O16" s="46">
        <v>0</v>
      </c>
      <c r="P16" s="46">
        <v>0</v>
      </c>
      <c r="Q16" s="46">
        <v>0</v>
      </c>
      <c r="R16" s="46">
        <v>0</v>
      </c>
      <c r="S16" s="27">
        <f t="shared" si="1"/>
        <v>66</v>
      </c>
      <c r="T16" s="273">
        <f>S17/S16</f>
        <v>0.24242424242424243</v>
      </c>
    </row>
    <row r="17" spans="1:21" s="24" customFormat="1" ht="28.5" customHeight="1">
      <c r="A17" s="276"/>
      <c r="B17" s="278"/>
      <c r="C17" s="276"/>
      <c r="D17" s="270"/>
      <c r="E17" s="270"/>
      <c r="F17" s="23" t="s">
        <v>18</v>
      </c>
      <c r="G17" s="26"/>
      <c r="H17" s="27">
        <v>4</v>
      </c>
      <c r="I17" s="27">
        <v>5</v>
      </c>
      <c r="J17" s="27">
        <v>7</v>
      </c>
      <c r="K17" s="27"/>
      <c r="L17" s="27"/>
      <c r="M17" s="27"/>
      <c r="N17" s="27"/>
      <c r="O17" s="27"/>
      <c r="P17" s="27"/>
      <c r="Q17" s="27"/>
      <c r="R17" s="27"/>
      <c r="S17" s="27">
        <f t="shared" si="1"/>
        <v>16</v>
      </c>
      <c r="T17" s="274"/>
    </row>
    <row r="18" spans="1:21" s="1" customFormat="1" ht="28.5" customHeight="1">
      <c r="A18" s="275">
        <v>8</v>
      </c>
      <c r="B18" s="277" t="s">
        <v>42</v>
      </c>
      <c r="C18" s="275" t="s">
        <v>21</v>
      </c>
      <c r="D18" s="269">
        <v>0</v>
      </c>
      <c r="E18" s="269">
        <v>0</v>
      </c>
      <c r="F18" s="20" t="s">
        <v>112</v>
      </c>
      <c r="G18" s="57">
        <v>1</v>
      </c>
      <c r="H18" s="56">
        <v>1</v>
      </c>
      <c r="I18" s="56">
        <v>2</v>
      </c>
      <c r="J18" s="56">
        <v>323</v>
      </c>
      <c r="K18" s="56">
        <v>0</v>
      </c>
      <c r="L18" s="56">
        <v>1</v>
      </c>
      <c r="M18" s="56">
        <v>0</v>
      </c>
      <c r="N18" s="56">
        <v>0</v>
      </c>
      <c r="O18" s="56">
        <v>1</v>
      </c>
      <c r="P18" s="56">
        <v>0</v>
      </c>
      <c r="Q18" s="56">
        <v>0</v>
      </c>
      <c r="R18" s="56">
        <v>15</v>
      </c>
      <c r="S18" s="27">
        <f t="shared" si="1"/>
        <v>344</v>
      </c>
      <c r="T18" s="273">
        <f>S19/S18</f>
        <v>0.45058139534883723</v>
      </c>
    </row>
    <row r="19" spans="1:21" s="24" customFormat="1" ht="28.5" customHeight="1">
      <c r="A19" s="276"/>
      <c r="B19" s="278"/>
      <c r="C19" s="276"/>
      <c r="D19" s="270"/>
      <c r="E19" s="270"/>
      <c r="F19" s="23" t="s">
        <v>18</v>
      </c>
      <c r="G19" s="60"/>
      <c r="H19" s="59">
        <v>10</v>
      </c>
      <c r="I19" s="59">
        <v>20</v>
      </c>
      <c r="J19" s="59">
        <v>90</v>
      </c>
      <c r="K19" s="58">
        <v>30</v>
      </c>
      <c r="L19" s="58">
        <v>2</v>
      </c>
      <c r="M19" s="58"/>
      <c r="N19" s="58"/>
      <c r="O19" s="58"/>
      <c r="P19" s="58"/>
      <c r="Q19" s="58"/>
      <c r="R19" s="59">
        <v>3</v>
      </c>
      <c r="S19" s="27">
        <f t="shared" si="1"/>
        <v>155</v>
      </c>
      <c r="T19" s="274"/>
    </row>
    <row r="20" spans="1:21" s="1" customFormat="1" ht="28.5" customHeight="1">
      <c r="A20" s="275">
        <v>9</v>
      </c>
      <c r="B20" s="277" t="s">
        <v>45</v>
      </c>
      <c r="C20" s="275" t="s">
        <v>21</v>
      </c>
      <c r="D20" s="269">
        <v>0</v>
      </c>
      <c r="E20" s="269">
        <v>0</v>
      </c>
      <c r="F20" s="20" t="s">
        <v>112</v>
      </c>
      <c r="G20" s="57">
        <v>0</v>
      </c>
      <c r="H20" s="56">
        <v>0</v>
      </c>
      <c r="I20" s="56">
        <v>12</v>
      </c>
      <c r="J20" s="56">
        <v>371</v>
      </c>
      <c r="K20" s="56">
        <v>0</v>
      </c>
      <c r="L20" s="56">
        <v>0</v>
      </c>
      <c r="M20" s="56">
        <v>0</v>
      </c>
      <c r="N20" s="56">
        <v>0</v>
      </c>
      <c r="O20" s="56">
        <v>0</v>
      </c>
      <c r="P20" s="56">
        <v>0</v>
      </c>
      <c r="Q20" s="56">
        <v>0</v>
      </c>
      <c r="R20" s="56">
        <v>0</v>
      </c>
      <c r="S20" s="27">
        <f t="shared" si="1"/>
        <v>383</v>
      </c>
      <c r="T20" s="273">
        <f>S21/S20</f>
        <v>0.30287206266318539</v>
      </c>
    </row>
    <row r="21" spans="1:21" s="24" customFormat="1" ht="28.5" customHeight="1">
      <c r="A21" s="276"/>
      <c r="B21" s="278"/>
      <c r="C21" s="276"/>
      <c r="D21" s="270"/>
      <c r="E21" s="270"/>
      <c r="F21" s="23" t="s">
        <v>18</v>
      </c>
      <c r="G21" s="60"/>
      <c r="H21" s="59"/>
      <c r="I21" s="59">
        <v>30</v>
      </c>
      <c r="J21" s="59">
        <v>86</v>
      </c>
      <c r="K21" s="58"/>
      <c r="L21" s="58"/>
      <c r="M21" s="58"/>
      <c r="N21" s="58"/>
      <c r="O21" s="58"/>
      <c r="P21" s="58"/>
      <c r="Q21" s="58"/>
      <c r="R21" s="58"/>
      <c r="S21" s="27">
        <f t="shared" si="1"/>
        <v>116</v>
      </c>
      <c r="T21" s="274"/>
    </row>
    <row r="22" spans="1:21" s="1" customFormat="1" ht="28.5" customHeight="1">
      <c r="A22" s="275">
        <v>10</v>
      </c>
      <c r="B22" s="277" t="s">
        <v>48</v>
      </c>
      <c r="C22" s="275" t="s">
        <v>21</v>
      </c>
      <c r="D22" s="269">
        <v>0</v>
      </c>
      <c r="E22" s="269">
        <v>0</v>
      </c>
      <c r="F22" s="20" t="s">
        <v>112</v>
      </c>
      <c r="G22" s="52">
        <v>0</v>
      </c>
      <c r="H22" s="53">
        <v>0</v>
      </c>
      <c r="I22" s="53">
        <v>10</v>
      </c>
      <c r="J22" s="53">
        <v>4</v>
      </c>
      <c r="K22" s="53">
        <v>0</v>
      </c>
      <c r="L22" s="53">
        <v>2</v>
      </c>
      <c r="M22" s="53">
        <v>0</v>
      </c>
      <c r="N22" s="53">
        <v>0</v>
      </c>
      <c r="O22" s="53">
        <v>0</v>
      </c>
      <c r="P22" s="53">
        <v>0</v>
      </c>
      <c r="Q22" s="53">
        <v>0</v>
      </c>
      <c r="R22" s="53">
        <v>5</v>
      </c>
      <c r="S22" s="27">
        <f>SUM(G22:R22)</f>
        <v>21</v>
      </c>
      <c r="T22" s="273">
        <f>S23/S22</f>
        <v>1.0952380952380953</v>
      </c>
    </row>
    <row r="23" spans="1:21" s="24" customFormat="1" ht="28.5" customHeight="1">
      <c r="A23" s="276"/>
      <c r="B23" s="278"/>
      <c r="C23" s="276"/>
      <c r="D23" s="270"/>
      <c r="E23" s="270"/>
      <c r="F23" s="23" t="s">
        <v>18</v>
      </c>
      <c r="G23" s="33" t="s">
        <v>114</v>
      </c>
      <c r="H23" s="34">
        <v>5</v>
      </c>
      <c r="I23" s="34">
        <v>10</v>
      </c>
      <c r="J23" s="34">
        <v>8</v>
      </c>
      <c r="K23" s="34" t="s">
        <v>114</v>
      </c>
      <c r="L23" s="34" t="s">
        <v>114</v>
      </c>
      <c r="M23" s="34" t="s">
        <v>114</v>
      </c>
      <c r="N23" s="34" t="s">
        <v>114</v>
      </c>
      <c r="O23" s="34" t="s">
        <v>114</v>
      </c>
      <c r="P23" s="34" t="s">
        <v>114</v>
      </c>
      <c r="Q23" s="34" t="s">
        <v>114</v>
      </c>
      <c r="R23" s="34" t="s">
        <v>114</v>
      </c>
      <c r="S23" s="27">
        <f>SUM(G23:R23)</f>
        <v>23</v>
      </c>
      <c r="T23" s="274"/>
    </row>
    <row r="24" spans="1:21" s="1" customFormat="1" ht="28.5" customHeight="1">
      <c r="A24" s="275">
        <v>11</v>
      </c>
      <c r="B24" s="277" t="s">
        <v>50</v>
      </c>
      <c r="C24" s="275" t="s">
        <v>51</v>
      </c>
      <c r="D24" s="271">
        <v>0</v>
      </c>
      <c r="E24" s="271">
        <v>0</v>
      </c>
      <c r="F24" s="20" t="s">
        <v>112</v>
      </c>
      <c r="G24" s="61">
        <v>0</v>
      </c>
      <c r="H24" s="62">
        <v>0</v>
      </c>
      <c r="I24" s="62">
        <v>0</v>
      </c>
      <c r="J24" s="62">
        <v>16</v>
      </c>
      <c r="K24" s="62">
        <v>0</v>
      </c>
      <c r="L24" s="62">
        <v>0</v>
      </c>
      <c r="M24" s="62">
        <v>0</v>
      </c>
      <c r="N24" s="62">
        <v>0</v>
      </c>
      <c r="O24" s="62">
        <v>0</v>
      </c>
      <c r="P24" s="62">
        <v>0</v>
      </c>
      <c r="Q24" s="62">
        <v>0</v>
      </c>
      <c r="R24" s="62">
        <v>15</v>
      </c>
      <c r="S24" s="27">
        <f t="shared" si="1"/>
        <v>31</v>
      </c>
      <c r="T24" s="273">
        <f>S25/S24</f>
        <v>0.15806451612903227</v>
      </c>
      <c r="U24" s="47">
        <f>AVERAGE(S24,S26,S28,S30,S32,S34)</f>
        <v>61.5</v>
      </c>
    </row>
    <row r="25" spans="1:21" s="24" customFormat="1" ht="28.5" customHeight="1">
      <c r="A25" s="276"/>
      <c r="B25" s="278"/>
      <c r="C25" s="276"/>
      <c r="D25" s="272"/>
      <c r="E25" s="272"/>
      <c r="F25" s="23" t="s">
        <v>18</v>
      </c>
      <c r="G25" s="35"/>
      <c r="H25" s="27"/>
      <c r="I25" s="36"/>
      <c r="J25" s="32">
        <v>4.9000000000000004</v>
      </c>
      <c r="K25" s="27"/>
      <c r="L25" s="27"/>
      <c r="M25" s="37"/>
      <c r="N25" s="27"/>
      <c r="O25" s="32"/>
      <c r="P25" s="27"/>
      <c r="Q25" s="27"/>
      <c r="R25" s="27"/>
      <c r="S25" s="32">
        <f t="shared" si="1"/>
        <v>4.9000000000000004</v>
      </c>
      <c r="T25" s="274"/>
      <c r="U25" s="24">
        <f>AVERAGE(S25,S27,S29,S31,S33,S35)</f>
        <v>39.15</v>
      </c>
    </row>
    <row r="26" spans="1:21" s="1" customFormat="1" ht="28.5" customHeight="1">
      <c r="A26" s="275">
        <v>12</v>
      </c>
      <c r="B26" s="277" t="s">
        <v>54</v>
      </c>
      <c r="C26" s="275" t="s">
        <v>51</v>
      </c>
      <c r="D26" s="269">
        <v>5</v>
      </c>
      <c r="E26" s="269">
        <v>1</v>
      </c>
      <c r="F26" s="20" t="s">
        <v>112</v>
      </c>
      <c r="G26" s="61">
        <v>0</v>
      </c>
      <c r="H26" s="62">
        <v>0</v>
      </c>
      <c r="I26" s="62">
        <v>11</v>
      </c>
      <c r="J26" s="62">
        <v>7</v>
      </c>
      <c r="K26" s="62">
        <v>0</v>
      </c>
      <c r="L26" s="62">
        <v>8</v>
      </c>
      <c r="M26" s="62">
        <v>0</v>
      </c>
      <c r="N26" s="62">
        <v>0</v>
      </c>
      <c r="O26" s="62">
        <v>0</v>
      </c>
      <c r="P26" s="62">
        <v>0</v>
      </c>
      <c r="Q26" s="62">
        <v>0</v>
      </c>
      <c r="R26" s="62">
        <v>0</v>
      </c>
      <c r="S26" s="27">
        <f t="shared" si="1"/>
        <v>26</v>
      </c>
      <c r="T26" s="273">
        <f>S27/S26</f>
        <v>0.69230769230769229</v>
      </c>
      <c r="U26" s="24">
        <f>U25/U24</f>
        <v>0.63658536585365855</v>
      </c>
    </row>
    <row r="27" spans="1:21" s="24" customFormat="1" ht="28.5" customHeight="1">
      <c r="A27" s="276"/>
      <c r="B27" s="281"/>
      <c r="C27" s="276"/>
      <c r="D27" s="270"/>
      <c r="E27" s="270"/>
      <c r="F27" s="23" t="s">
        <v>18</v>
      </c>
      <c r="G27" s="26"/>
      <c r="H27" s="26"/>
      <c r="I27" s="26">
        <v>14</v>
      </c>
      <c r="J27" s="27">
        <v>4</v>
      </c>
      <c r="K27" s="27"/>
      <c r="L27" s="27"/>
      <c r="M27" s="27"/>
      <c r="N27" s="27"/>
      <c r="O27" s="27"/>
      <c r="P27" s="27"/>
      <c r="Q27" s="27"/>
      <c r="R27" s="27"/>
      <c r="S27" s="32">
        <f t="shared" si="1"/>
        <v>18</v>
      </c>
      <c r="T27" s="274"/>
    </row>
    <row r="28" spans="1:21" s="1" customFormat="1" ht="28.5" customHeight="1">
      <c r="A28" s="269">
        <v>13</v>
      </c>
      <c r="B28" s="282" t="s">
        <v>57</v>
      </c>
      <c r="C28" s="275" t="s">
        <v>51</v>
      </c>
      <c r="D28" s="269">
        <v>27</v>
      </c>
      <c r="E28" s="269">
        <v>1</v>
      </c>
      <c r="F28" s="20" t="s">
        <v>112</v>
      </c>
      <c r="G28" s="52">
        <v>11</v>
      </c>
      <c r="H28" s="53">
        <v>7</v>
      </c>
      <c r="I28" s="53">
        <v>9</v>
      </c>
      <c r="J28" s="53">
        <v>5</v>
      </c>
      <c r="K28" s="53">
        <v>0</v>
      </c>
      <c r="L28" s="53">
        <v>0</v>
      </c>
      <c r="M28" s="53">
        <v>0</v>
      </c>
      <c r="N28" s="53">
        <v>0</v>
      </c>
      <c r="O28" s="53">
        <v>0</v>
      </c>
      <c r="P28" s="53">
        <v>0</v>
      </c>
      <c r="Q28" s="53">
        <v>0</v>
      </c>
      <c r="R28" s="53">
        <v>1</v>
      </c>
      <c r="S28" s="27">
        <f t="shared" si="1"/>
        <v>33</v>
      </c>
      <c r="T28" s="273">
        <f>S29/S28</f>
        <v>1.1515151515151516</v>
      </c>
    </row>
    <row r="29" spans="1:21" s="24" customFormat="1" ht="28.5" customHeight="1">
      <c r="A29" s="270"/>
      <c r="B29" s="282"/>
      <c r="C29" s="276"/>
      <c r="D29" s="270"/>
      <c r="E29" s="270"/>
      <c r="F29" s="23" t="s">
        <v>18</v>
      </c>
      <c r="G29" s="33">
        <v>14</v>
      </c>
      <c r="H29" s="34">
        <v>7</v>
      </c>
      <c r="I29" s="34">
        <v>10</v>
      </c>
      <c r="J29" s="34">
        <v>7</v>
      </c>
      <c r="K29" s="34" t="s">
        <v>114</v>
      </c>
      <c r="L29" s="34" t="s">
        <v>114</v>
      </c>
      <c r="M29" s="34" t="s">
        <v>114</v>
      </c>
      <c r="N29" s="34" t="s">
        <v>114</v>
      </c>
      <c r="O29" s="34" t="s">
        <v>114</v>
      </c>
      <c r="P29" s="34" t="s">
        <v>114</v>
      </c>
      <c r="Q29" s="34" t="s">
        <v>114</v>
      </c>
      <c r="R29" s="34" t="s">
        <v>114</v>
      </c>
      <c r="S29" s="27">
        <f t="shared" si="1"/>
        <v>38</v>
      </c>
      <c r="T29" s="274"/>
    </row>
    <row r="30" spans="1:21" s="1" customFormat="1" ht="28.5" customHeight="1">
      <c r="A30" s="275">
        <v>14</v>
      </c>
      <c r="B30" s="281" t="s">
        <v>60</v>
      </c>
      <c r="C30" s="275" t="s">
        <v>51</v>
      </c>
      <c r="D30" s="269">
        <v>0</v>
      </c>
      <c r="E30" s="269">
        <v>0</v>
      </c>
      <c r="F30" s="20" t="s">
        <v>112</v>
      </c>
      <c r="G30" s="54">
        <v>0</v>
      </c>
      <c r="H30" s="55">
        <v>0</v>
      </c>
      <c r="I30" s="55">
        <v>2</v>
      </c>
      <c r="J30" s="55">
        <v>22</v>
      </c>
      <c r="K30" s="55">
        <v>0</v>
      </c>
      <c r="L30" s="55">
        <v>0</v>
      </c>
      <c r="M30" s="55">
        <v>0</v>
      </c>
      <c r="N30" s="55">
        <v>0</v>
      </c>
      <c r="O30" s="55">
        <v>0</v>
      </c>
      <c r="P30" s="55">
        <v>0</v>
      </c>
      <c r="Q30" s="55">
        <v>0</v>
      </c>
      <c r="R30" s="55">
        <v>0</v>
      </c>
      <c r="S30" s="27">
        <f t="shared" si="1"/>
        <v>24</v>
      </c>
      <c r="T30" s="273">
        <f>S31/S30</f>
        <v>0.625</v>
      </c>
    </row>
    <row r="31" spans="1:21" s="25" customFormat="1" ht="28.5" customHeight="1">
      <c r="A31" s="276"/>
      <c r="B31" s="278"/>
      <c r="C31" s="276"/>
      <c r="D31" s="270"/>
      <c r="E31" s="270"/>
      <c r="F31" s="30" t="s">
        <v>18</v>
      </c>
      <c r="G31" s="43" t="s">
        <v>114</v>
      </c>
      <c r="H31" s="44" t="s">
        <v>114</v>
      </c>
      <c r="I31" s="44">
        <v>10</v>
      </c>
      <c r="J31" s="44">
        <v>5</v>
      </c>
      <c r="K31" s="44" t="s">
        <v>114</v>
      </c>
      <c r="L31" s="44" t="s">
        <v>114</v>
      </c>
      <c r="M31" s="44" t="s">
        <v>114</v>
      </c>
      <c r="N31" s="44" t="s">
        <v>114</v>
      </c>
      <c r="O31" s="44" t="s">
        <v>114</v>
      </c>
      <c r="P31" s="44" t="s">
        <v>114</v>
      </c>
      <c r="Q31" s="44" t="s">
        <v>114</v>
      </c>
      <c r="R31" s="44" t="s">
        <v>114</v>
      </c>
      <c r="S31" s="26">
        <f t="shared" si="1"/>
        <v>15</v>
      </c>
      <c r="T31" s="274"/>
    </row>
    <row r="32" spans="1:21" ht="28.5" customHeight="1">
      <c r="A32" s="275">
        <v>15</v>
      </c>
      <c r="B32" s="277" t="s">
        <v>63</v>
      </c>
      <c r="C32" s="275" t="s">
        <v>51</v>
      </c>
      <c r="D32" s="269">
        <v>15</v>
      </c>
      <c r="E32" s="269">
        <v>4</v>
      </c>
      <c r="F32" s="20" t="s">
        <v>112</v>
      </c>
      <c r="G32" s="26">
        <v>0</v>
      </c>
      <c r="H32" s="27">
        <v>0</v>
      </c>
      <c r="I32" s="27">
        <v>25</v>
      </c>
      <c r="J32" s="27">
        <v>45</v>
      </c>
      <c r="K32" s="27">
        <v>2</v>
      </c>
      <c r="L32" s="27">
        <v>81</v>
      </c>
      <c r="M32" s="26">
        <v>0</v>
      </c>
      <c r="N32" s="27">
        <v>0</v>
      </c>
      <c r="O32" s="27">
        <v>0</v>
      </c>
      <c r="P32" s="27">
        <v>0</v>
      </c>
      <c r="Q32" s="27">
        <v>0</v>
      </c>
      <c r="R32" s="27">
        <v>0</v>
      </c>
      <c r="S32" s="26">
        <f t="shared" si="1"/>
        <v>153</v>
      </c>
      <c r="T32" s="273">
        <f>S33/S32</f>
        <v>0.47058823529411764</v>
      </c>
    </row>
    <row r="33" spans="1:22" s="25" customFormat="1" ht="28.5" customHeight="1">
      <c r="A33" s="276"/>
      <c r="B33" s="278"/>
      <c r="C33" s="276"/>
      <c r="D33" s="270"/>
      <c r="E33" s="270"/>
      <c r="F33" s="23" t="s">
        <v>18</v>
      </c>
      <c r="G33" s="26">
        <v>0</v>
      </c>
      <c r="H33" s="27">
        <v>15</v>
      </c>
      <c r="I33" s="27">
        <v>25</v>
      </c>
      <c r="J33" s="27">
        <v>10</v>
      </c>
      <c r="K33" s="27"/>
      <c r="L33" s="27">
        <v>20</v>
      </c>
      <c r="M33" s="26">
        <v>2</v>
      </c>
      <c r="N33" s="27"/>
      <c r="O33" s="27"/>
      <c r="P33" s="27"/>
      <c r="Q33" s="27"/>
      <c r="R33" s="27"/>
      <c r="S33" s="26">
        <f t="shared" si="1"/>
        <v>72</v>
      </c>
      <c r="T33" s="274"/>
    </row>
    <row r="34" spans="1:22" ht="28.5" customHeight="1">
      <c r="A34" s="275">
        <v>16</v>
      </c>
      <c r="B34" s="277" t="s">
        <v>66</v>
      </c>
      <c r="C34" s="275" t="s">
        <v>51</v>
      </c>
      <c r="D34" s="269">
        <v>0</v>
      </c>
      <c r="E34" s="269">
        <v>0</v>
      </c>
      <c r="F34" s="20" t="s">
        <v>112</v>
      </c>
      <c r="G34" s="26">
        <v>0</v>
      </c>
      <c r="H34" s="27">
        <v>6</v>
      </c>
      <c r="I34" s="27">
        <v>8</v>
      </c>
      <c r="J34" s="27">
        <v>37</v>
      </c>
      <c r="K34" s="27">
        <v>0</v>
      </c>
      <c r="L34" s="27">
        <v>51</v>
      </c>
      <c r="M34" s="26">
        <v>0</v>
      </c>
      <c r="N34" s="27">
        <v>0</v>
      </c>
      <c r="O34" s="27">
        <v>0</v>
      </c>
      <c r="P34" s="27">
        <v>0</v>
      </c>
      <c r="Q34" s="27">
        <v>0</v>
      </c>
      <c r="R34" s="27">
        <v>0</v>
      </c>
      <c r="S34" s="26">
        <f t="shared" si="1"/>
        <v>102</v>
      </c>
      <c r="T34" s="273">
        <f>S35/S34</f>
        <v>0.8529411764705882</v>
      </c>
    </row>
    <row r="35" spans="1:22" s="25" customFormat="1" ht="28.5" customHeight="1">
      <c r="A35" s="276"/>
      <c r="B35" s="278"/>
      <c r="C35" s="276"/>
      <c r="D35" s="270"/>
      <c r="E35" s="270"/>
      <c r="F35" s="23" t="s">
        <v>18</v>
      </c>
      <c r="G35" s="26"/>
      <c r="H35" s="27">
        <v>20</v>
      </c>
      <c r="I35" s="27">
        <v>40</v>
      </c>
      <c r="J35" s="27">
        <v>15</v>
      </c>
      <c r="K35" s="27"/>
      <c r="L35" s="27">
        <v>12</v>
      </c>
      <c r="M35" s="26"/>
      <c r="N35" s="27"/>
      <c r="O35" s="27"/>
      <c r="P35" s="27"/>
      <c r="Q35" s="27"/>
      <c r="R35" s="27"/>
      <c r="S35" s="26">
        <f t="shared" si="1"/>
        <v>87</v>
      </c>
      <c r="T35" s="274"/>
    </row>
    <row r="36" spans="1:22" ht="28.5" customHeight="1">
      <c r="A36" s="275">
        <v>17</v>
      </c>
      <c r="B36" s="277" t="s">
        <v>69</v>
      </c>
      <c r="C36" s="275" t="s">
        <v>70</v>
      </c>
      <c r="D36" s="269">
        <v>0</v>
      </c>
      <c r="E36" s="269">
        <v>0</v>
      </c>
      <c r="F36" s="20" t="s">
        <v>112</v>
      </c>
      <c r="G36" s="61">
        <v>0</v>
      </c>
      <c r="H36" s="62">
        <v>0</v>
      </c>
      <c r="I36" s="62">
        <v>15</v>
      </c>
      <c r="J36" s="62">
        <v>44</v>
      </c>
      <c r="K36" s="62">
        <v>0</v>
      </c>
      <c r="L36" s="62">
        <v>0</v>
      </c>
      <c r="M36" s="62">
        <v>1</v>
      </c>
      <c r="N36" s="62">
        <v>0</v>
      </c>
      <c r="O36" s="62">
        <v>0</v>
      </c>
      <c r="P36" s="62">
        <v>0</v>
      </c>
      <c r="Q36" s="62">
        <v>0</v>
      </c>
      <c r="R36" s="62">
        <v>11</v>
      </c>
      <c r="S36" s="26">
        <f t="shared" si="1"/>
        <v>71</v>
      </c>
      <c r="T36" s="273">
        <f>S37/S36</f>
        <v>0.23239436619718309</v>
      </c>
      <c r="U36" s="51">
        <f>AVERAGE(S36,S38,S40,S42,S44,S46,S48,S50,S52,S54)</f>
        <v>37.1</v>
      </c>
      <c r="V36" s="25">
        <f>U37/U36</f>
        <v>0.35094339622641507</v>
      </c>
    </row>
    <row r="37" spans="1:22" s="25" customFormat="1" ht="28.5" customHeight="1">
      <c r="A37" s="276"/>
      <c r="B37" s="278"/>
      <c r="C37" s="276"/>
      <c r="D37" s="270"/>
      <c r="E37" s="270"/>
      <c r="F37" s="23" t="s">
        <v>18</v>
      </c>
      <c r="G37" s="26"/>
      <c r="H37" s="27"/>
      <c r="I37" s="32">
        <v>7.5</v>
      </c>
      <c r="J37" s="27">
        <v>5</v>
      </c>
      <c r="K37" s="27"/>
      <c r="L37" s="27"/>
      <c r="M37" s="26">
        <v>2</v>
      </c>
      <c r="N37" s="27"/>
      <c r="O37" s="27"/>
      <c r="P37" s="27"/>
      <c r="Q37" s="27"/>
      <c r="R37" s="27">
        <v>2</v>
      </c>
      <c r="S37" s="26">
        <f t="shared" si="1"/>
        <v>16.5</v>
      </c>
      <c r="T37" s="274"/>
      <c r="U37" s="25">
        <f>AVERAGE(S37,S39,S41,S43,S45,S47,S49,S51,S53,S55)</f>
        <v>13.02</v>
      </c>
    </row>
    <row r="38" spans="1:22" ht="28.5" customHeight="1">
      <c r="A38" s="275">
        <v>18</v>
      </c>
      <c r="B38" s="277" t="s">
        <v>73</v>
      </c>
      <c r="C38" s="275" t="s">
        <v>70</v>
      </c>
      <c r="D38" s="269">
        <v>0</v>
      </c>
      <c r="E38" s="269">
        <v>0</v>
      </c>
      <c r="F38" s="20" t="s">
        <v>112</v>
      </c>
      <c r="G38" s="61">
        <v>0</v>
      </c>
      <c r="H38" s="62">
        <v>0</v>
      </c>
      <c r="I38" s="62">
        <v>4</v>
      </c>
      <c r="J38" s="62">
        <v>2</v>
      </c>
      <c r="K38" s="62">
        <v>0</v>
      </c>
      <c r="L38" s="62">
        <v>7</v>
      </c>
      <c r="M38" s="62">
        <v>0</v>
      </c>
      <c r="N38" s="62">
        <v>0</v>
      </c>
      <c r="O38" s="62">
        <v>0</v>
      </c>
      <c r="P38" s="62">
        <v>0</v>
      </c>
      <c r="Q38" s="62">
        <v>0</v>
      </c>
      <c r="R38" s="62">
        <v>1</v>
      </c>
      <c r="S38" s="26">
        <f t="shared" si="1"/>
        <v>14</v>
      </c>
      <c r="T38" s="273">
        <f>S39/S38</f>
        <v>0.21428571428571427</v>
      </c>
    </row>
    <row r="39" spans="1:22" s="25" customFormat="1" ht="28.5" customHeight="1">
      <c r="A39" s="276"/>
      <c r="B39" s="278"/>
      <c r="C39" s="276"/>
      <c r="D39" s="270"/>
      <c r="E39" s="270"/>
      <c r="F39" s="23" t="s">
        <v>18</v>
      </c>
      <c r="G39" s="26"/>
      <c r="H39" s="27"/>
      <c r="I39" s="27">
        <v>3</v>
      </c>
      <c r="J39" s="27"/>
      <c r="K39" s="27"/>
      <c r="L39" s="27"/>
      <c r="M39" s="26"/>
      <c r="N39" s="27"/>
      <c r="O39" s="27"/>
      <c r="P39" s="27"/>
      <c r="Q39" s="27"/>
      <c r="R39" s="27"/>
      <c r="S39" s="26">
        <f t="shared" si="1"/>
        <v>3</v>
      </c>
      <c r="T39" s="274"/>
    </row>
    <row r="40" spans="1:22" ht="28.5" customHeight="1">
      <c r="A40" s="275">
        <v>19</v>
      </c>
      <c r="B40" s="277" t="s">
        <v>76</v>
      </c>
      <c r="C40" s="275" t="s">
        <v>70</v>
      </c>
      <c r="D40" s="271">
        <v>0</v>
      </c>
      <c r="E40" s="271">
        <v>0</v>
      </c>
      <c r="F40" s="20" t="s">
        <v>112</v>
      </c>
      <c r="G40" s="61">
        <v>0</v>
      </c>
      <c r="H40" s="62">
        <v>0</v>
      </c>
      <c r="I40" s="62">
        <v>4</v>
      </c>
      <c r="J40" s="62">
        <v>38</v>
      </c>
      <c r="K40" s="62">
        <v>0</v>
      </c>
      <c r="L40" s="62">
        <v>0</v>
      </c>
      <c r="M40" s="62">
        <v>0</v>
      </c>
      <c r="N40" s="62">
        <v>0</v>
      </c>
      <c r="O40" s="62">
        <v>0</v>
      </c>
      <c r="P40" s="62">
        <v>0</v>
      </c>
      <c r="Q40" s="62">
        <v>0</v>
      </c>
      <c r="R40" s="62">
        <v>0</v>
      </c>
      <c r="S40" s="26">
        <f t="shared" si="1"/>
        <v>42</v>
      </c>
      <c r="T40" s="273">
        <f>S41/S40</f>
        <v>0.16666666666666666</v>
      </c>
    </row>
    <row r="41" spans="1:22" s="25" customFormat="1" ht="28.5" customHeight="1">
      <c r="A41" s="276"/>
      <c r="B41" s="278"/>
      <c r="C41" s="276"/>
      <c r="D41" s="272"/>
      <c r="E41" s="272"/>
      <c r="F41" s="23" t="s">
        <v>18</v>
      </c>
      <c r="G41" s="26"/>
      <c r="H41" s="27"/>
      <c r="I41" s="27">
        <v>2</v>
      </c>
      <c r="J41" s="27">
        <v>5</v>
      </c>
      <c r="K41" s="27"/>
      <c r="L41" s="27"/>
      <c r="M41" s="26"/>
      <c r="N41" s="27"/>
      <c r="O41" s="27"/>
      <c r="P41" s="27"/>
      <c r="Q41" s="27"/>
      <c r="R41" s="27"/>
      <c r="S41" s="26">
        <f t="shared" si="1"/>
        <v>7</v>
      </c>
      <c r="T41" s="274"/>
    </row>
    <row r="42" spans="1:22" ht="28.5" customHeight="1">
      <c r="A42" s="275">
        <v>20</v>
      </c>
      <c r="B42" s="277" t="s">
        <v>79</v>
      </c>
      <c r="C42" s="275" t="s">
        <v>70</v>
      </c>
      <c r="D42" s="269">
        <v>3</v>
      </c>
      <c r="E42" s="269">
        <v>1</v>
      </c>
      <c r="F42" s="20" t="s">
        <v>112</v>
      </c>
      <c r="G42" s="61">
        <v>0</v>
      </c>
      <c r="H42" s="62">
        <v>0</v>
      </c>
      <c r="I42" s="62">
        <v>2</v>
      </c>
      <c r="J42" s="62">
        <v>31</v>
      </c>
      <c r="K42" s="62">
        <v>0</v>
      </c>
      <c r="L42" s="62">
        <v>0</v>
      </c>
      <c r="M42" s="62">
        <v>0</v>
      </c>
      <c r="N42" s="62">
        <v>0</v>
      </c>
      <c r="O42" s="62">
        <v>0</v>
      </c>
      <c r="P42" s="62">
        <v>0</v>
      </c>
      <c r="Q42" s="62">
        <v>0</v>
      </c>
      <c r="R42" s="62">
        <v>3</v>
      </c>
      <c r="S42" s="26">
        <f t="shared" si="1"/>
        <v>36</v>
      </c>
      <c r="T42" s="273">
        <f>S43/S42</f>
        <v>0.27777777777777779</v>
      </c>
    </row>
    <row r="43" spans="1:22" s="25" customFormat="1" ht="28.5" customHeight="1">
      <c r="A43" s="276"/>
      <c r="B43" s="278"/>
      <c r="C43" s="276"/>
      <c r="D43" s="270"/>
      <c r="E43" s="270"/>
      <c r="F43" s="23" t="s">
        <v>18</v>
      </c>
      <c r="G43" s="26"/>
      <c r="H43" s="27"/>
      <c r="I43" s="27">
        <v>6</v>
      </c>
      <c r="J43" s="27">
        <v>3</v>
      </c>
      <c r="K43" s="27"/>
      <c r="L43" s="27">
        <v>1</v>
      </c>
      <c r="M43" s="26"/>
      <c r="N43" s="27"/>
      <c r="O43" s="27"/>
      <c r="P43" s="27"/>
      <c r="Q43" s="27"/>
      <c r="R43" s="27"/>
      <c r="S43" s="26">
        <f t="shared" si="1"/>
        <v>10</v>
      </c>
      <c r="T43" s="274"/>
    </row>
    <row r="44" spans="1:22" ht="28.5" customHeight="1">
      <c r="A44" s="275">
        <v>21</v>
      </c>
      <c r="B44" s="277" t="s">
        <v>82</v>
      </c>
      <c r="C44" s="275" t="s">
        <v>70</v>
      </c>
      <c r="D44" s="269">
        <v>0</v>
      </c>
      <c r="E44" s="269">
        <v>0</v>
      </c>
      <c r="F44" s="20" t="s">
        <v>112</v>
      </c>
      <c r="G44" s="61">
        <v>1</v>
      </c>
      <c r="H44" s="62">
        <v>0</v>
      </c>
      <c r="I44" s="62">
        <v>15</v>
      </c>
      <c r="J44" s="62">
        <v>45</v>
      </c>
      <c r="K44" s="62">
        <v>0</v>
      </c>
      <c r="L44" s="62">
        <v>2</v>
      </c>
      <c r="M44" s="62">
        <v>6</v>
      </c>
      <c r="N44" s="62">
        <v>0</v>
      </c>
      <c r="O44" s="62">
        <v>7</v>
      </c>
      <c r="P44" s="62">
        <v>0</v>
      </c>
      <c r="Q44" s="62">
        <v>0</v>
      </c>
      <c r="R44" s="62">
        <v>3</v>
      </c>
      <c r="S44" s="26">
        <f t="shared" si="1"/>
        <v>79</v>
      </c>
      <c r="T44" s="273">
        <f>S45/S44</f>
        <v>0.810126582278481</v>
      </c>
    </row>
    <row r="45" spans="1:22" s="25" customFormat="1" ht="28.5" customHeight="1">
      <c r="A45" s="276"/>
      <c r="B45" s="278"/>
      <c r="C45" s="276"/>
      <c r="D45" s="270"/>
      <c r="E45" s="270"/>
      <c r="F45" s="23" t="s">
        <v>18</v>
      </c>
      <c r="G45" s="26"/>
      <c r="H45" s="27"/>
      <c r="I45" s="27">
        <v>5</v>
      </c>
      <c r="J45" s="27">
        <v>17</v>
      </c>
      <c r="K45" s="27"/>
      <c r="L45" s="27"/>
      <c r="M45" s="26">
        <v>2</v>
      </c>
      <c r="N45" s="27"/>
      <c r="O45" s="27">
        <v>40</v>
      </c>
      <c r="P45" s="27"/>
      <c r="Q45" s="27"/>
      <c r="R45" s="27"/>
      <c r="S45" s="26">
        <f t="shared" si="1"/>
        <v>64</v>
      </c>
      <c r="T45" s="274"/>
    </row>
    <row r="46" spans="1:22" ht="28.5" customHeight="1">
      <c r="A46" s="275">
        <v>22</v>
      </c>
      <c r="B46" s="277" t="s">
        <v>85</v>
      </c>
      <c r="C46" s="275" t="s">
        <v>70</v>
      </c>
      <c r="D46" s="269">
        <v>0</v>
      </c>
      <c r="E46" s="269">
        <v>0</v>
      </c>
      <c r="F46" s="20" t="s">
        <v>112</v>
      </c>
      <c r="G46" s="61">
        <v>0</v>
      </c>
      <c r="H46" s="62">
        <v>0</v>
      </c>
      <c r="I46" s="62">
        <v>0</v>
      </c>
      <c r="J46" s="62">
        <v>25</v>
      </c>
      <c r="K46" s="62">
        <v>0</v>
      </c>
      <c r="L46" s="62">
        <v>0</v>
      </c>
      <c r="M46" s="62">
        <v>0</v>
      </c>
      <c r="N46" s="62">
        <v>0</v>
      </c>
      <c r="O46" s="62">
        <v>0</v>
      </c>
      <c r="P46" s="62">
        <v>0</v>
      </c>
      <c r="Q46" s="62">
        <v>0</v>
      </c>
      <c r="R46" s="62">
        <v>0</v>
      </c>
      <c r="S46" s="26">
        <f t="shared" si="1"/>
        <v>25</v>
      </c>
      <c r="T46" s="273">
        <f>S47/S46</f>
        <v>0.20399999999999999</v>
      </c>
    </row>
    <row r="47" spans="1:22" s="25" customFormat="1" ht="28.5" customHeight="1">
      <c r="A47" s="276"/>
      <c r="B47" s="278"/>
      <c r="C47" s="276"/>
      <c r="D47" s="270"/>
      <c r="E47" s="270"/>
      <c r="F47" s="23" t="s">
        <v>18</v>
      </c>
      <c r="G47" s="26"/>
      <c r="H47" s="27"/>
      <c r="I47" s="32"/>
      <c r="J47" s="32">
        <v>5.0999999999999996</v>
      </c>
      <c r="K47" s="27"/>
      <c r="L47" s="27"/>
      <c r="M47" s="26"/>
      <c r="N47" s="27"/>
      <c r="O47" s="27"/>
      <c r="P47" s="27"/>
      <c r="Q47" s="27"/>
      <c r="R47" s="27"/>
      <c r="S47" s="26">
        <f t="shared" si="1"/>
        <v>5.0999999999999996</v>
      </c>
      <c r="T47" s="274"/>
    </row>
    <row r="48" spans="1:22" ht="29.25" customHeight="1">
      <c r="A48" s="275">
        <v>23</v>
      </c>
      <c r="B48" s="277" t="s">
        <v>86</v>
      </c>
      <c r="C48" s="275" t="s">
        <v>70</v>
      </c>
      <c r="D48" s="269">
        <v>0</v>
      </c>
      <c r="E48" s="269">
        <v>0</v>
      </c>
      <c r="F48" s="20" t="s">
        <v>112</v>
      </c>
      <c r="G48" s="61">
        <v>0</v>
      </c>
      <c r="H48" s="62">
        <v>0</v>
      </c>
      <c r="I48" s="62">
        <v>7</v>
      </c>
      <c r="J48" s="62">
        <v>3</v>
      </c>
      <c r="K48" s="62">
        <v>0</v>
      </c>
      <c r="L48" s="62">
        <v>4</v>
      </c>
      <c r="M48" s="62">
        <v>0</v>
      </c>
      <c r="N48" s="62">
        <v>0</v>
      </c>
      <c r="O48" s="62">
        <v>0</v>
      </c>
      <c r="P48" s="62">
        <v>0</v>
      </c>
      <c r="Q48" s="62">
        <v>0</v>
      </c>
      <c r="R48" s="62">
        <v>14</v>
      </c>
      <c r="S48" s="26">
        <f t="shared" si="1"/>
        <v>28</v>
      </c>
      <c r="T48" s="273">
        <f>S49/S48</f>
        <v>0.34285714285714286</v>
      </c>
    </row>
    <row r="49" spans="1:20" s="25" customFormat="1" ht="28.5" customHeight="1">
      <c r="A49" s="276"/>
      <c r="B49" s="278"/>
      <c r="C49" s="276"/>
      <c r="D49" s="270"/>
      <c r="E49" s="270"/>
      <c r="F49" s="23" t="s">
        <v>18</v>
      </c>
      <c r="G49" s="26"/>
      <c r="H49" s="27"/>
      <c r="I49" s="32">
        <v>4.0999999999999996</v>
      </c>
      <c r="J49" s="32">
        <v>5.5</v>
      </c>
      <c r="K49" s="27"/>
      <c r="L49" s="27"/>
      <c r="M49" s="26"/>
      <c r="N49" s="27"/>
      <c r="O49" s="27"/>
      <c r="P49" s="27"/>
      <c r="Q49" s="27"/>
      <c r="R49" s="27"/>
      <c r="S49" s="26">
        <f t="shared" si="1"/>
        <v>9.6</v>
      </c>
      <c r="T49" s="274"/>
    </row>
    <row r="50" spans="1:20" ht="28.5" customHeight="1">
      <c r="A50" s="275">
        <v>24</v>
      </c>
      <c r="B50" s="277" t="s">
        <v>88</v>
      </c>
      <c r="C50" s="275" t="s">
        <v>70</v>
      </c>
      <c r="D50" s="269">
        <v>0</v>
      </c>
      <c r="E50" s="269">
        <v>0</v>
      </c>
      <c r="F50" s="20" t="s">
        <v>112</v>
      </c>
      <c r="G50" s="61">
        <v>0</v>
      </c>
      <c r="H50" s="62">
        <v>0</v>
      </c>
      <c r="I50" s="62">
        <v>0</v>
      </c>
      <c r="J50" s="62">
        <v>8</v>
      </c>
      <c r="K50" s="62">
        <v>0</v>
      </c>
      <c r="L50" s="62">
        <v>0</v>
      </c>
      <c r="M50" s="62">
        <v>0</v>
      </c>
      <c r="N50" s="62">
        <v>0</v>
      </c>
      <c r="O50" s="62">
        <v>0</v>
      </c>
      <c r="P50" s="62">
        <v>0</v>
      </c>
      <c r="Q50" s="62">
        <v>0</v>
      </c>
      <c r="R50" s="62">
        <v>0</v>
      </c>
      <c r="S50" s="26">
        <f t="shared" si="1"/>
        <v>8</v>
      </c>
      <c r="T50" s="273">
        <f>S51/S50</f>
        <v>0.625</v>
      </c>
    </row>
    <row r="51" spans="1:20" s="25" customFormat="1" ht="28.5" customHeight="1">
      <c r="A51" s="276"/>
      <c r="B51" s="278"/>
      <c r="C51" s="276"/>
      <c r="D51" s="270"/>
      <c r="E51" s="270"/>
      <c r="F51" s="23" t="s">
        <v>18</v>
      </c>
      <c r="G51" s="26">
        <v>0</v>
      </c>
      <c r="H51" s="27">
        <v>0</v>
      </c>
      <c r="I51" s="27">
        <v>0</v>
      </c>
      <c r="J51" s="27">
        <v>5</v>
      </c>
      <c r="K51" s="27">
        <v>0</v>
      </c>
      <c r="L51" s="27">
        <v>0</v>
      </c>
      <c r="M51" s="26">
        <v>0</v>
      </c>
      <c r="N51" s="27">
        <v>0</v>
      </c>
      <c r="O51" s="27">
        <v>0</v>
      </c>
      <c r="P51" s="27">
        <v>0</v>
      </c>
      <c r="Q51" s="27">
        <v>0</v>
      </c>
      <c r="R51" s="27">
        <v>0</v>
      </c>
      <c r="S51" s="26">
        <f t="shared" si="1"/>
        <v>5</v>
      </c>
      <c r="T51" s="274"/>
    </row>
    <row r="52" spans="1:20" ht="28.5" customHeight="1">
      <c r="A52" s="275">
        <v>25</v>
      </c>
      <c r="B52" s="277" t="s">
        <v>90</v>
      </c>
      <c r="C52" s="275" t="s">
        <v>70</v>
      </c>
      <c r="D52" s="269">
        <v>0</v>
      </c>
      <c r="E52" s="269">
        <v>0</v>
      </c>
      <c r="F52" s="20" t="s">
        <v>112</v>
      </c>
      <c r="G52" s="61">
        <v>0</v>
      </c>
      <c r="H52" s="62">
        <v>0</v>
      </c>
      <c r="I52" s="62">
        <v>3</v>
      </c>
      <c r="J52" s="62">
        <v>25</v>
      </c>
      <c r="K52" s="62">
        <v>0</v>
      </c>
      <c r="L52" s="62">
        <v>2</v>
      </c>
      <c r="M52" s="62">
        <v>6</v>
      </c>
      <c r="N52" s="62">
        <v>0</v>
      </c>
      <c r="O52" s="62">
        <v>0</v>
      </c>
      <c r="P52" s="62">
        <v>0</v>
      </c>
      <c r="Q52" s="62">
        <v>0</v>
      </c>
      <c r="R52" s="62">
        <v>0</v>
      </c>
      <c r="S52" s="26">
        <f t="shared" si="1"/>
        <v>36</v>
      </c>
      <c r="T52" s="273">
        <f>S53/S52</f>
        <v>0.19444444444444445</v>
      </c>
    </row>
    <row r="53" spans="1:20" s="25" customFormat="1" ht="28.5" customHeight="1">
      <c r="A53" s="276"/>
      <c r="B53" s="278"/>
      <c r="C53" s="276"/>
      <c r="D53" s="270"/>
      <c r="E53" s="270"/>
      <c r="F53" s="23" t="s">
        <v>18</v>
      </c>
      <c r="G53" s="26"/>
      <c r="H53" s="27"/>
      <c r="I53" s="27">
        <v>1</v>
      </c>
      <c r="J53" s="27">
        <v>6</v>
      </c>
      <c r="K53" s="27"/>
      <c r="L53" s="27"/>
      <c r="M53" s="26"/>
      <c r="N53" s="27"/>
      <c r="O53" s="27"/>
      <c r="P53" s="27"/>
      <c r="Q53" s="27"/>
      <c r="R53" s="27"/>
      <c r="S53" s="26">
        <f t="shared" si="1"/>
        <v>7</v>
      </c>
      <c r="T53" s="274"/>
    </row>
    <row r="54" spans="1:20" ht="28.5" customHeight="1">
      <c r="A54" s="275">
        <v>26</v>
      </c>
      <c r="B54" s="277" t="s">
        <v>92</v>
      </c>
      <c r="C54" s="275" t="s">
        <v>70</v>
      </c>
      <c r="D54" s="269">
        <v>0</v>
      </c>
      <c r="E54" s="269">
        <v>0</v>
      </c>
      <c r="F54" s="20" t="s">
        <v>112</v>
      </c>
      <c r="G54" s="61">
        <v>0</v>
      </c>
      <c r="H54" s="62">
        <v>0</v>
      </c>
      <c r="I54" s="62">
        <v>25</v>
      </c>
      <c r="J54" s="62">
        <v>7</v>
      </c>
      <c r="K54" s="62">
        <v>0</v>
      </c>
      <c r="L54" s="62">
        <v>0</v>
      </c>
      <c r="M54" s="62">
        <v>0</v>
      </c>
      <c r="N54" s="62">
        <v>0</v>
      </c>
      <c r="O54" s="62">
        <v>0</v>
      </c>
      <c r="P54" s="62">
        <v>0</v>
      </c>
      <c r="Q54" s="62">
        <v>0</v>
      </c>
      <c r="R54" s="62">
        <v>0</v>
      </c>
      <c r="S54" s="26">
        <f t="shared" si="1"/>
        <v>32</v>
      </c>
      <c r="T54" s="273">
        <f>S55/S54</f>
        <v>9.375E-2</v>
      </c>
    </row>
    <row r="55" spans="1:20" s="25" customFormat="1" ht="28.5" customHeight="1">
      <c r="A55" s="276"/>
      <c r="B55" s="278"/>
      <c r="C55" s="276"/>
      <c r="D55" s="270"/>
      <c r="E55" s="270"/>
      <c r="F55" s="23" t="s">
        <v>18</v>
      </c>
      <c r="G55" s="26"/>
      <c r="H55" s="27"/>
      <c r="I55" s="27">
        <v>3</v>
      </c>
      <c r="J55" s="27">
        <v>0</v>
      </c>
      <c r="K55" s="27"/>
      <c r="L55" s="27"/>
      <c r="M55" s="26"/>
      <c r="N55" s="27"/>
      <c r="O55" s="27"/>
      <c r="P55" s="27"/>
      <c r="Q55" s="27"/>
      <c r="R55" s="27"/>
      <c r="S55" s="26">
        <f t="shared" si="1"/>
        <v>3</v>
      </c>
      <c r="T55" s="274"/>
    </row>
    <row r="61" spans="1:20">
      <c r="G61" t="s">
        <v>115</v>
      </c>
      <c r="H61" t="s">
        <v>116</v>
      </c>
      <c r="I61" t="s">
        <v>100</v>
      </c>
      <c r="J61" t="s">
        <v>117</v>
      </c>
      <c r="K61" t="s">
        <v>102</v>
      </c>
      <c r="L61" t="s">
        <v>14</v>
      </c>
      <c r="M61" t="s">
        <v>103</v>
      </c>
      <c r="N61" t="s">
        <v>109</v>
      </c>
    </row>
    <row r="62" spans="1:20">
      <c r="G62" t="s">
        <v>54</v>
      </c>
      <c r="H62">
        <v>0</v>
      </c>
      <c r="I62">
        <v>0</v>
      </c>
      <c r="J62">
        <v>11</v>
      </c>
      <c r="K62">
        <v>7</v>
      </c>
      <c r="L62">
        <v>0</v>
      </c>
      <c r="M62">
        <v>8</v>
      </c>
      <c r="N62">
        <v>0</v>
      </c>
    </row>
    <row r="63" spans="1:20">
      <c r="G63" t="s">
        <v>60</v>
      </c>
      <c r="H63">
        <v>0</v>
      </c>
      <c r="I63">
        <v>0</v>
      </c>
      <c r="J63">
        <v>2</v>
      </c>
      <c r="K63">
        <v>22</v>
      </c>
      <c r="L63">
        <v>0</v>
      </c>
      <c r="M63">
        <v>0</v>
      </c>
      <c r="N63">
        <v>0</v>
      </c>
    </row>
    <row r="64" spans="1:20">
      <c r="G64" t="s">
        <v>57</v>
      </c>
      <c r="H64">
        <v>11</v>
      </c>
      <c r="I64">
        <v>7</v>
      </c>
      <c r="J64">
        <v>9</v>
      </c>
      <c r="K64">
        <v>5</v>
      </c>
      <c r="L64">
        <v>0</v>
      </c>
      <c r="M64">
        <v>0</v>
      </c>
      <c r="N64">
        <v>1</v>
      </c>
    </row>
    <row r="65" spans="7:16">
      <c r="G65" t="s">
        <v>50</v>
      </c>
      <c r="H65">
        <v>0</v>
      </c>
      <c r="I65">
        <v>0</v>
      </c>
      <c r="J65">
        <v>0</v>
      </c>
      <c r="K65">
        <v>16</v>
      </c>
      <c r="L65">
        <v>0</v>
      </c>
      <c r="M65">
        <v>0</v>
      </c>
      <c r="N65">
        <v>15</v>
      </c>
    </row>
    <row r="66" spans="7:16">
      <c r="G66" s="48" t="s">
        <v>63</v>
      </c>
      <c r="H66" s="48">
        <v>0</v>
      </c>
      <c r="I66" s="48">
        <v>0</v>
      </c>
      <c r="J66" s="48">
        <v>25</v>
      </c>
      <c r="K66" s="48">
        <v>45</v>
      </c>
      <c r="L66" s="48">
        <v>2</v>
      </c>
      <c r="M66" s="48">
        <v>81</v>
      </c>
      <c r="N66">
        <v>0</v>
      </c>
    </row>
    <row r="67" spans="7:16">
      <c r="G67" s="48" t="s">
        <v>66</v>
      </c>
      <c r="H67" s="48">
        <v>0</v>
      </c>
      <c r="I67" s="48">
        <v>6</v>
      </c>
      <c r="J67" s="48">
        <v>8</v>
      </c>
      <c r="K67" s="48">
        <v>37</v>
      </c>
      <c r="L67" s="48">
        <v>0</v>
      </c>
      <c r="M67" s="48">
        <v>51</v>
      </c>
      <c r="N67">
        <v>0</v>
      </c>
    </row>
    <row r="68" spans="7:16">
      <c r="G68" s="48"/>
      <c r="H68" s="48">
        <f>SUM(H62:H67)</f>
        <v>11</v>
      </c>
      <c r="I68" s="48">
        <f t="shared" ref="I68:N68" si="2">SUM(I62:I67)</f>
        <v>13</v>
      </c>
      <c r="J68" s="48">
        <f t="shared" si="2"/>
        <v>55</v>
      </c>
      <c r="K68" s="48">
        <f t="shared" si="2"/>
        <v>132</v>
      </c>
      <c r="L68" s="48">
        <f t="shared" si="2"/>
        <v>2</v>
      </c>
      <c r="M68" s="48">
        <f t="shared" si="2"/>
        <v>140</v>
      </c>
      <c r="N68" s="48">
        <f t="shared" si="2"/>
        <v>16</v>
      </c>
      <c r="P68">
        <f>SUM(H68:N68)</f>
        <v>369</v>
      </c>
    </row>
    <row r="69" spans="7:16">
      <c r="G69" s="48"/>
      <c r="H69" s="48"/>
      <c r="I69" s="48"/>
      <c r="J69" s="48"/>
      <c r="K69" s="48"/>
      <c r="L69" s="48"/>
      <c r="M69" s="48"/>
    </row>
    <row r="71" spans="7:16">
      <c r="H71" s="63" t="s">
        <v>115</v>
      </c>
      <c r="I71" s="63" t="s">
        <v>100</v>
      </c>
      <c r="J71" s="63" t="s">
        <v>118</v>
      </c>
      <c r="K71" s="63" t="s">
        <v>119</v>
      </c>
      <c r="L71" s="63" t="s">
        <v>103</v>
      </c>
      <c r="M71" s="63" t="s">
        <v>120</v>
      </c>
      <c r="N71" s="63" t="s">
        <v>109</v>
      </c>
    </row>
    <row r="72" spans="7:16">
      <c r="H72" s="63" t="s">
        <v>121</v>
      </c>
      <c r="I72" s="63">
        <v>0</v>
      </c>
      <c r="J72" s="63">
        <v>0</v>
      </c>
      <c r="K72" s="63">
        <v>0</v>
      </c>
      <c r="L72" s="63">
        <v>0</v>
      </c>
      <c r="M72" s="63">
        <v>0</v>
      </c>
      <c r="N72" s="63">
        <v>0</v>
      </c>
    </row>
    <row r="73" spans="7:16">
      <c r="H73" s="63" t="s">
        <v>122</v>
      </c>
      <c r="I73" s="63">
        <v>0</v>
      </c>
      <c r="J73" s="63">
        <v>10</v>
      </c>
      <c r="K73" s="63">
        <v>4</v>
      </c>
      <c r="L73" s="63"/>
      <c r="M73" s="63"/>
      <c r="N73" s="63"/>
    </row>
    <row r="74" spans="7:16">
      <c r="H74" s="63" t="s">
        <v>27</v>
      </c>
      <c r="I74" s="63"/>
      <c r="J74" s="64">
        <v>22</v>
      </c>
      <c r="K74" s="64">
        <v>622</v>
      </c>
      <c r="L74" s="63"/>
      <c r="M74" s="63"/>
      <c r="N74" s="63"/>
    </row>
    <row r="75" spans="7:16">
      <c r="H75" s="63" t="s">
        <v>123</v>
      </c>
      <c r="I75" s="65" t="s">
        <v>114</v>
      </c>
      <c r="J75" s="65" t="s">
        <v>114</v>
      </c>
      <c r="K75" s="65">
        <v>22</v>
      </c>
      <c r="L75" s="63"/>
      <c r="M75" s="63"/>
      <c r="N75" s="63"/>
    </row>
    <row r="76" spans="7:16">
      <c r="H76" s="63" t="s">
        <v>45</v>
      </c>
      <c r="I76" s="63"/>
      <c r="J76" s="66">
        <v>12</v>
      </c>
      <c r="K76" s="66">
        <v>371</v>
      </c>
      <c r="L76" s="63"/>
      <c r="M76" s="63"/>
      <c r="N76" s="63"/>
    </row>
    <row r="77" spans="7:16">
      <c r="H77" s="63" t="s">
        <v>20</v>
      </c>
      <c r="I77" s="64" t="s">
        <v>114</v>
      </c>
      <c r="J77" s="66">
        <v>25</v>
      </c>
      <c r="K77" s="66" t="s">
        <v>114</v>
      </c>
      <c r="L77" s="63"/>
      <c r="M77" s="63"/>
      <c r="N77" s="63"/>
    </row>
    <row r="78" spans="7:16">
      <c r="H78" s="63" t="s">
        <v>39</v>
      </c>
      <c r="I78" s="65">
        <v>9</v>
      </c>
      <c r="J78" s="65">
        <v>25</v>
      </c>
      <c r="K78" s="65">
        <v>32</v>
      </c>
      <c r="L78" s="63"/>
      <c r="M78" s="63"/>
      <c r="N78" s="63"/>
    </row>
    <row r="79" spans="7:16">
      <c r="H79" s="63" t="s">
        <v>42</v>
      </c>
      <c r="I79" s="63">
        <v>1</v>
      </c>
      <c r="J79" s="66">
        <v>2</v>
      </c>
      <c r="K79" s="66">
        <v>323</v>
      </c>
      <c r="L79" s="63">
        <v>1</v>
      </c>
      <c r="M79" s="63">
        <v>1</v>
      </c>
      <c r="N79" s="63">
        <v>15</v>
      </c>
    </row>
    <row r="80" spans="7:16">
      <c r="H80" s="63" t="s">
        <v>33</v>
      </c>
      <c r="I80" s="63">
        <v>26</v>
      </c>
      <c r="J80" s="63">
        <v>37</v>
      </c>
      <c r="K80" s="63"/>
      <c r="L80" s="63"/>
      <c r="M80" s="63"/>
    </row>
    <row r="81" spans="8:14">
      <c r="H81" s="63" t="s">
        <v>24</v>
      </c>
      <c r="I81" s="64" t="s">
        <v>114</v>
      </c>
      <c r="J81" s="64">
        <v>2</v>
      </c>
      <c r="K81" s="64">
        <v>53</v>
      </c>
      <c r="L81" s="63"/>
      <c r="M81" s="63"/>
      <c r="N81" s="63"/>
    </row>
    <row r="82" spans="8:14">
      <c r="I82">
        <f t="shared" ref="I82:N82" si="3">SUM(I72:I81)</f>
        <v>36</v>
      </c>
      <c r="J82">
        <f t="shared" si="3"/>
        <v>135</v>
      </c>
      <c r="K82">
        <f t="shared" si="3"/>
        <v>1427</v>
      </c>
      <c r="L82">
        <f t="shared" si="3"/>
        <v>1</v>
      </c>
      <c r="M82">
        <f t="shared" si="3"/>
        <v>1</v>
      </c>
      <c r="N82">
        <f t="shared" si="3"/>
        <v>15</v>
      </c>
    </row>
    <row r="95" spans="8:14">
      <c r="H95" s="63"/>
    </row>
  </sheetData>
  <mergeCells count="160">
    <mergeCell ref="A6:A7"/>
    <mergeCell ref="B6:B7"/>
    <mergeCell ref="C6:C7"/>
    <mergeCell ref="D6:D7"/>
    <mergeCell ref="E6:E7"/>
    <mergeCell ref="T6:T7"/>
    <mergeCell ref="D2:F2"/>
    <mergeCell ref="G2:R2"/>
    <mergeCell ref="S2:T2"/>
    <mergeCell ref="E3:F3"/>
    <mergeCell ref="A4:A5"/>
    <mergeCell ref="B4:B5"/>
    <mergeCell ref="C4:C5"/>
    <mergeCell ref="D4:D5"/>
    <mergeCell ref="E4:E5"/>
    <mergeCell ref="T4:T5"/>
    <mergeCell ref="A10:A11"/>
    <mergeCell ref="B10:B11"/>
    <mergeCell ref="C10:C11"/>
    <mergeCell ref="D10:D11"/>
    <mergeCell ref="E10:E11"/>
    <mergeCell ref="T10:T11"/>
    <mergeCell ref="A8:A9"/>
    <mergeCell ref="B8:B9"/>
    <mergeCell ref="C8:C9"/>
    <mergeCell ref="D8:D9"/>
    <mergeCell ref="E8:E9"/>
    <mergeCell ref="T8:T9"/>
    <mergeCell ref="A14:A15"/>
    <mergeCell ref="B14:B15"/>
    <mergeCell ref="C14:C15"/>
    <mergeCell ref="D14:D15"/>
    <mergeCell ref="E14:E15"/>
    <mergeCell ref="T14:T15"/>
    <mergeCell ref="A12:A13"/>
    <mergeCell ref="B12:B13"/>
    <mergeCell ref="C12:C13"/>
    <mergeCell ref="D12:D13"/>
    <mergeCell ref="E12:E13"/>
    <mergeCell ref="T12:T13"/>
    <mergeCell ref="A18:A19"/>
    <mergeCell ref="B18:B19"/>
    <mergeCell ref="C18:C19"/>
    <mergeCell ref="D18:D19"/>
    <mergeCell ref="E18:E19"/>
    <mergeCell ref="T18:T19"/>
    <mergeCell ref="A16:A17"/>
    <mergeCell ref="B16:B17"/>
    <mergeCell ref="C16:C17"/>
    <mergeCell ref="D16:D17"/>
    <mergeCell ref="E16:E17"/>
    <mergeCell ref="T16:T17"/>
    <mergeCell ref="A22:A23"/>
    <mergeCell ref="B22:B23"/>
    <mergeCell ref="C22:C23"/>
    <mergeCell ref="D22:D23"/>
    <mergeCell ref="E22:E23"/>
    <mergeCell ref="T22:T23"/>
    <mergeCell ref="A20:A21"/>
    <mergeCell ref="B20:B21"/>
    <mergeCell ref="C20:C21"/>
    <mergeCell ref="D20:D21"/>
    <mergeCell ref="E20:E21"/>
    <mergeCell ref="T20:T21"/>
    <mergeCell ref="A26:A27"/>
    <mergeCell ref="B26:B27"/>
    <mergeCell ref="C26:C27"/>
    <mergeCell ref="D26:D27"/>
    <mergeCell ref="E26:E27"/>
    <mergeCell ref="T26:T27"/>
    <mergeCell ref="A24:A25"/>
    <mergeCell ref="B24:B25"/>
    <mergeCell ref="C24:C25"/>
    <mergeCell ref="D24:D25"/>
    <mergeCell ref="E24:E25"/>
    <mergeCell ref="T24:T25"/>
    <mergeCell ref="A30:A31"/>
    <mergeCell ref="B30:B31"/>
    <mergeCell ref="C30:C31"/>
    <mergeCell ref="D30:D31"/>
    <mergeCell ref="E30:E31"/>
    <mergeCell ref="T30:T31"/>
    <mergeCell ref="A28:A29"/>
    <mergeCell ref="B28:B29"/>
    <mergeCell ref="C28:C29"/>
    <mergeCell ref="D28:D29"/>
    <mergeCell ref="E28:E29"/>
    <mergeCell ref="T28:T29"/>
    <mergeCell ref="A34:A35"/>
    <mergeCell ref="B34:B35"/>
    <mergeCell ref="C34:C35"/>
    <mergeCell ref="D34:D35"/>
    <mergeCell ref="E34:E35"/>
    <mergeCell ref="T34:T35"/>
    <mergeCell ref="A32:A33"/>
    <mergeCell ref="B32:B33"/>
    <mergeCell ref="C32:C33"/>
    <mergeCell ref="D32:D33"/>
    <mergeCell ref="E32:E33"/>
    <mergeCell ref="T32:T33"/>
    <mergeCell ref="A38:A39"/>
    <mergeCell ref="B38:B39"/>
    <mergeCell ref="C38:C39"/>
    <mergeCell ref="D38:D39"/>
    <mergeCell ref="E38:E39"/>
    <mergeCell ref="T38:T39"/>
    <mergeCell ref="A36:A37"/>
    <mergeCell ref="B36:B37"/>
    <mergeCell ref="C36:C37"/>
    <mergeCell ref="D36:D37"/>
    <mergeCell ref="E36:E37"/>
    <mergeCell ref="T36:T37"/>
    <mergeCell ref="A42:A43"/>
    <mergeCell ref="B42:B43"/>
    <mergeCell ref="C42:C43"/>
    <mergeCell ref="D42:D43"/>
    <mergeCell ref="E42:E43"/>
    <mergeCell ref="T42:T43"/>
    <mergeCell ref="A40:A41"/>
    <mergeCell ref="B40:B41"/>
    <mergeCell ref="C40:C41"/>
    <mergeCell ref="D40:D41"/>
    <mergeCell ref="E40:E41"/>
    <mergeCell ref="T40:T41"/>
    <mergeCell ref="A46:A47"/>
    <mergeCell ref="B46:B47"/>
    <mergeCell ref="C46:C47"/>
    <mergeCell ref="D46:D47"/>
    <mergeCell ref="E46:E47"/>
    <mergeCell ref="T46:T47"/>
    <mergeCell ref="A44:A45"/>
    <mergeCell ref="B44:B45"/>
    <mergeCell ref="C44:C45"/>
    <mergeCell ref="D44:D45"/>
    <mergeCell ref="E44:E45"/>
    <mergeCell ref="T44:T45"/>
    <mergeCell ref="A50:A51"/>
    <mergeCell ref="B50:B51"/>
    <mergeCell ref="C50:C51"/>
    <mergeCell ref="D50:D51"/>
    <mergeCell ref="E50:E51"/>
    <mergeCell ref="T50:T51"/>
    <mergeCell ref="A48:A49"/>
    <mergeCell ref="B48:B49"/>
    <mergeCell ref="C48:C49"/>
    <mergeCell ref="D48:D49"/>
    <mergeCell ref="E48:E49"/>
    <mergeCell ref="T48:T49"/>
    <mergeCell ref="A54:A55"/>
    <mergeCell ref="B54:B55"/>
    <mergeCell ref="C54:C55"/>
    <mergeCell ref="D54:D55"/>
    <mergeCell ref="E54:E55"/>
    <mergeCell ref="T54:T55"/>
    <mergeCell ref="A52:A53"/>
    <mergeCell ref="B52:B53"/>
    <mergeCell ref="C52:C53"/>
    <mergeCell ref="D52:D53"/>
    <mergeCell ref="E52:E53"/>
    <mergeCell ref="T52:T53"/>
  </mergeCells>
  <phoneticPr fontId="2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BDF6-2221-475B-90B4-59F633C2D0F5}">
  <dimension ref="A2:Z60"/>
  <sheetViews>
    <sheetView workbookViewId="0">
      <pane ySplit="3" topLeftCell="A20" activePane="bottomLeft" state="frozen"/>
      <selection pane="bottomLeft" activeCell="A20" sqref="A20"/>
    </sheetView>
  </sheetViews>
  <sheetFormatPr defaultRowHeight="14.4"/>
  <cols>
    <col min="1" max="1" width="5.6640625" style="5" customWidth="1"/>
    <col min="2" max="2" width="22.88671875" customWidth="1"/>
    <col min="4" max="6" width="11.6640625" customWidth="1"/>
    <col min="7" max="7" width="15.109375" customWidth="1"/>
    <col min="8" max="18" width="12.6640625" customWidth="1"/>
    <col min="19" max="19" width="14.33203125" customWidth="1"/>
    <col min="20" max="20" width="20.6640625" customWidth="1"/>
    <col min="24" max="26" width="21" style="5" customWidth="1"/>
  </cols>
  <sheetData>
    <row r="2" spans="1:26"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6"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c r="X3" s="78" t="s">
        <v>124</v>
      </c>
      <c r="Y3" s="78" t="s">
        <v>125</v>
      </c>
      <c r="Z3" s="78" t="s">
        <v>126</v>
      </c>
    </row>
    <row r="4" spans="1:26" s="1" customFormat="1" ht="28.5" customHeight="1">
      <c r="A4" s="275">
        <v>1</v>
      </c>
      <c r="B4" s="277" t="s">
        <v>20</v>
      </c>
      <c r="C4" s="275" t="s">
        <v>21</v>
      </c>
      <c r="D4" s="269">
        <v>0</v>
      </c>
      <c r="E4" s="269">
        <v>0</v>
      </c>
      <c r="F4" s="31" t="s">
        <v>112</v>
      </c>
      <c r="G4" s="52">
        <v>0</v>
      </c>
      <c r="H4" s="53">
        <v>7</v>
      </c>
      <c r="I4" s="53">
        <v>60</v>
      </c>
      <c r="J4" s="53">
        <v>7</v>
      </c>
      <c r="K4" s="53">
        <v>0</v>
      </c>
      <c r="L4" s="53">
        <v>0</v>
      </c>
      <c r="M4" s="53">
        <v>0</v>
      </c>
      <c r="N4" s="53">
        <v>0</v>
      </c>
      <c r="O4" s="53">
        <v>0</v>
      </c>
      <c r="P4" s="53">
        <v>0</v>
      </c>
      <c r="Q4" s="53">
        <v>0</v>
      </c>
      <c r="R4" s="53">
        <v>23</v>
      </c>
      <c r="S4" s="27">
        <f t="shared" ref="S4:S13" si="0">SUM(G4:R4)</f>
        <v>97</v>
      </c>
      <c r="T4" s="273">
        <f>S5/S4</f>
        <v>0.4329896907216495</v>
      </c>
      <c r="V4" s="47">
        <f>AVERAGE(S4,S6,S8,S10,S12,S14,S16,S18,S20,S22)</f>
        <v>162.55555555555554</v>
      </c>
      <c r="X4" s="5">
        <v>91</v>
      </c>
      <c r="Y4" s="5">
        <v>5</v>
      </c>
      <c r="Z4" s="5">
        <v>1</v>
      </c>
    </row>
    <row r="5" spans="1:26" s="24" customFormat="1" ht="28.5" customHeight="1">
      <c r="A5" s="276"/>
      <c r="B5" s="278"/>
      <c r="C5" s="276"/>
      <c r="D5" s="270"/>
      <c r="E5" s="270"/>
      <c r="F5" s="23" t="s">
        <v>18</v>
      </c>
      <c r="G5" s="33">
        <v>0</v>
      </c>
      <c r="H5" s="34">
        <v>6</v>
      </c>
      <c r="I5" s="34">
        <v>30</v>
      </c>
      <c r="J5" s="34">
        <v>6</v>
      </c>
      <c r="K5" s="34">
        <v>0</v>
      </c>
      <c r="L5" s="34">
        <v>0</v>
      </c>
      <c r="M5" s="34">
        <v>0</v>
      </c>
      <c r="N5" s="34">
        <v>0</v>
      </c>
      <c r="O5" s="34">
        <v>0</v>
      </c>
      <c r="P5" s="34">
        <v>0</v>
      </c>
      <c r="Q5" s="34">
        <v>0</v>
      </c>
      <c r="R5" s="34">
        <v>0</v>
      </c>
      <c r="S5" s="27">
        <f t="shared" si="0"/>
        <v>42</v>
      </c>
      <c r="T5" s="274"/>
      <c r="V5" s="24">
        <f>AVERAGE(S5,S7,S9,S11,S13,S15,S17,S19,S21,S23)</f>
        <v>59.584333333333333</v>
      </c>
      <c r="X5" s="79"/>
      <c r="Y5" s="79"/>
      <c r="Z5" s="79"/>
    </row>
    <row r="6" spans="1:26" s="1" customFormat="1" ht="28.5" customHeight="1">
      <c r="A6" s="275">
        <v>2</v>
      </c>
      <c r="B6" s="277" t="s">
        <v>24</v>
      </c>
      <c r="C6" s="275" t="s">
        <v>21</v>
      </c>
      <c r="D6" s="269">
        <v>0</v>
      </c>
      <c r="E6" s="269">
        <v>0</v>
      </c>
      <c r="F6" s="20" t="s">
        <v>112</v>
      </c>
      <c r="G6" s="52">
        <v>0</v>
      </c>
      <c r="H6" s="53">
        <v>0</v>
      </c>
      <c r="I6" s="53">
        <v>6</v>
      </c>
      <c r="J6" s="53">
        <v>40</v>
      </c>
      <c r="K6" s="53">
        <v>0</v>
      </c>
      <c r="L6" s="53">
        <v>0</v>
      </c>
      <c r="M6" s="53">
        <v>0</v>
      </c>
      <c r="N6" s="53">
        <v>0</v>
      </c>
      <c r="O6" s="53">
        <v>0</v>
      </c>
      <c r="P6" s="53">
        <v>0</v>
      </c>
      <c r="Q6" s="53">
        <v>0</v>
      </c>
      <c r="R6" s="53">
        <v>1</v>
      </c>
      <c r="S6" s="27">
        <f t="shared" si="0"/>
        <v>47</v>
      </c>
      <c r="T6" s="273">
        <f>S7/S6</f>
        <v>0.17572340425531915</v>
      </c>
      <c r="V6" s="24">
        <f>V5/V4</f>
        <v>0.36654750512645251</v>
      </c>
      <c r="X6" s="5">
        <v>47</v>
      </c>
      <c r="Y6" s="5">
        <v>0</v>
      </c>
      <c r="Z6" s="5">
        <v>0</v>
      </c>
    </row>
    <row r="7" spans="1:26" s="24" customFormat="1" ht="28.5" customHeight="1">
      <c r="A7" s="276"/>
      <c r="B7" s="278"/>
      <c r="C7" s="276"/>
      <c r="D7" s="270"/>
      <c r="E7" s="270"/>
      <c r="F7" s="23" t="s">
        <v>18</v>
      </c>
      <c r="G7" s="33" t="s">
        <v>114</v>
      </c>
      <c r="H7" s="34" t="s">
        <v>114</v>
      </c>
      <c r="I7" s="34" t="s">
        <v>114</v>
      </c>
      <c r="J7" s="34">
        <v>8</v>
      </c>
      <c r="K7" s="34" t="s">
        <v>114</v>
      </c>
      <c r="L7" s="34" t="s">
        <v>114</v>
      </c>
      <c r="M7" s="34">
        <v>0.25900000000000001</v>
      </c>
      <c r="N7" s="34" t="s">
        <v>114</v>
      </c>
      <c r="O7" s="34" t="s">
        <v>114</v>
      </c>
      <c r="P7" s="34" t="s">
        <v>114</v>
      </c>
      <c r="Q7" s="34" t="s">
        <v>114</v>
      </c>
      <c r="R7" s="34" t="s">
        <v>114</v>
      </c>
      <c r="S7" s="67">
        <f t="shared" si="0"/>
        <v>8.2590000000000003</v>
      </c>
      <c r="T7" s="274"/>
      <c r="X7" s="79"/>
      <c r="Y7" s="79"/>
      <c r="Z7" s="79"/>
    </row>
    <row r="8" spans="1:26" s="1" customFormat="1" ht="28.5" customHeight="1">
      <c r="A8" s="275">
        <v>3</v>
      </c>
      <c r="B8" s="277" t="s">
        <v>27</v>
      </c>
      <c r="C8" s="275" t="s">
        <v>21</v>
      </c>
      <c r="D8" s="269">
        <v>0</v>
      </c>
      <c r="E8" s="269">
        <v>0</v>
      </c>
      <c r="F8" s="20" t="s">
        <v>112</v>
      </c>
      <c r="G8" s="68">
        <v>0</v>
      </c>
      <c r="H8" s="69">
        <v>0</v>
      </c>
      <c r="I8" s="69">
        <v>16</v>
      </c>
      <c r="J8" s="69">
        <v>158</v>
      </c>
      <c r="K8" s="69">
        <v>0</v>
      </c>
      <c r="L8" s="69">
        <v>0</v>
      </c>
      <c r="M8" s="69">
        <v>0</v>
      </c>
      <c r="N8" s="69">
        <v>0</v>
      </c>
      <c r="O8" s="69">
        <v>0</v>
      </c>
      <c r="P8" s="69">
        <v>0</v>
      </c>
      <c r="Q8" s="69">
        <v>0</v>
      </c>
      <c r="R8" s="69">
        <v>0</v>
      </c>
      <c r="S8" s="27">
        <f t="shared" si="0"/>
        <v>174</v>
      </c>
      <c r="T8" s="273">
        <f>S9/S8</f>
        <v>0.25862068965517243</v>
      </c>
      <c r="X8" s="5"/>
      <c r="Y8" s="5"/>
      <c r="Z8" s="5"/>
    </row>
    <row r="9" spans="1:26" s="1" customFormat="1" ht="28.5" customHeight="1">
      <c r="A9" s="276"/>
      <c r="B9" s="278"/>
      <c r="C9" s="276"/>
      <c r="D9" s="270"/>
      <c r="E9" s="270"/>
      <c r="F9" s="20" t="s">
        <v>18</v>
      </c>
      <c r="G9" s="70"/>
      <c r="H9" s="71"/>
      <c r="I9" s="71">
        <v>30</v>
      </c>
      <c r="J9" s="71">
        <v>15</v>
      </c>
      <c r="K9" s="71"/>
      <c r="L9" s="71"/>
      <c r="M9" s="71"/>
      <c r="N9" s="71"/>
      <c r="O9" s="71"/>
      <c r="P9" s="71"/>
      <c r="Q9" s="71"/>
      <c r="R9" s="71"/>
      <c r="S9" s="27">
        <f t="shared" si="0"/>
        <v>45</v>
      </c>
      <c r="T9" s="274"/>
      <c r="X9" s="5"/>
      <c r="Y9" s="5"/>
      <c r="Z9" s="5"/>
    </row>
    <row r="10" spans="1:26" s="1" customFormat="1" ht="28.5" customHeight="1">
      <c r="A10" s="275">
        <v>4</v>
      </c>
      <c r="B10" s="277" t="s">
        <v>30</v>
      </c>
      <c r="C10" s="275" t="s">
        <v>21</v>
      </c>
      <c r="D10" s="269">
        <v>0</v>
      </c>
      <c r="E10" s="269">
        <v>0</v>
      </c>
      <c r="F10" s="20" t="s">
        <v>112</v>
      </c>
      <c r="G10" s="52">
        <v>0</v>
      </c>
      <c r="H10" s="53">
        <v>0</v>
      </c>
      <c r="I10" s="53">
        <v>0</v>
      </c>
      <c r="J10" s="53">
        <v>59</v>
      </c>
      <c r="K10" s="53">
        <v>0</v>
      </c>
      <c r="L10" s="53">
        <v>0</v>
      </c>
      <c r="M10" s="53">
        <v>0</v>
      </c>
      <c r="N10" s="53">
        <v>0</v>
      </c>
      <c r="O10" s="53">
        <v>0</v>
      </c>
      <c r="P10" s="53">
        <v>0</v>
      </c>
      <c r="Q10" s="53">
        <v>0</v>
      </c>
      <c r="R10" s="53">
        <v>0</v>
      </c>
      <c r="S10" s="27">
        <f t="shared" si="0"/>
        <v>59</v>
      </c>
      <c r="T10" s="273">
        <f>S11/S10</f>
        <v>0.30508474576271188</v>
      </c>
      <c r="X10" s="5"/>
      <c r="Y10" s="5"/>
      <c r="Z10" s="5"/>
    </row>
    <row r="11" spans="1:26" s="24" customFormat="1" ht="28.5" customHeight="1">
      <c r="A11" s="276"/>
      <c r="B11" s="278"/>
      <c r="C11" s="276"/>
      <c r="D11" s="270"/>
      <c r="E11" s="270"/>
      <c r="F11" s="23" t="s">
        <v>18</v>
      </c>
      <c r="G11" s="33"/>
      <c r="H11" s="34"/>
      <c r="I11" s="34"/>
      <c r="J11" s="34">
        <v>18</v>
      </c>
      <c r="K11" s="34"/>
      <c r="L11" s="34"/>
      <c r="M11" s="34"/>
      <c r="N11" s="34"/>
      <c r="O11" s="34"/>
      <c r="P11" s="34"/>
      <c r="Q11" s="34"/>
      <c r="R11" s="34"/>
      <c r="S11" s="67">
        <f t="shared" si="0"/>
        <v>18</v>
      </c>
      <c r="T11" s="274"/>
      <c r="X11" s="79"/>
      <c r="Y11" s="79"/>
      <c r="Z11" s="79"/>
    </row>
    <row r="12" spans="1:26" s="1" customFormat="1" ht="28.5" customHeight="1">
      <c r="A12" s="113">
        <v>5</v>
      </c>
      <c r="B12" s="277" t="s">
        <v>33</v>
      </c>
      <c r="C12" s="275" t="s">
        <v>21</v>
      </c>
      <c r="D12" s="269">
        <v>0</v>
      </c>
      <c r="E12" s="269">
        <v>0</v>
      </c>
      <c r="F12" s="20" t="s">
        <v>112</v>
      </c>
      <c r="G12" s="72">
        <v>0</v>
      </c>
      <c r="H12" s="73">
        <v>0</v>
      </c>
      <c r="I12" s="73">
        <v>0</v>
      </c>
      <c r="J12" s="73">
        <v>232</v>
      </c>
      <c r="K12" s="73">
        <v>0</v>
      </c>
      <c r="L12" s="73">
        <v>0</v>
      </c>
      <c r="M12" s="72">
        <v>0</v>
      </c>
      <c r="N12" s="73">
        <v>0</v>
      </c>
      <c r="O12" s="73">
        <v>0</v>
      </c>
      <c r="P12" s="73">
        <v>0</v>
      </c>
      <c r="Q12" s="73">
        <v>0</v>
      </c>
      <c r="R12" s="73">
        <v>0</v>
      </c>
      <c r="S12" s="27">
        <f t="shared" si="0"/>
        <v>232</v>
      </c>
      <c r="T12" s="273">
        <f>S13/S12</f>
        <v>0.18534482758620691</v>
      </c>
      <c r="X12" s="5"/>
      <c r="Y12" s="5"/>
      <c r="Z12" s="5"/>
    </row>
    <row r="13" spans="1:26" s="24" customFormat="1" ht="28.5" customHeight="1">
      <c r="A13" s="114"/>
      <c r="B13" s="278"/>
      <c r="C13" s="276"/>
      <c r="D13" s="270"/>
      <c r="E13" s="270"/>
      <c r="F13" s="23" t="s">
        <v>18</v>
      </c>
      <c r="G13" s="26"/>
      <c r="H13" s="27"/>
      <c r="I13" s="27">
        <v>19</v>
      </c>
      <c r="J13" s="27">
        <v>24</v>
      </c>
      <c r="K13" s="27"/>
      <c r="L13" s="27"/>
      <c r="M13" s="27"/>
      <c r="N13" s="27"/>
      <c r="O13" s="27"/>
      <c r="P13" s="27"/>
      <c r="Q13" s="27"/>
      <c r="R13" s="27"/>
      <c r="S13" s="67">
        <f t="shared" si="0"/>
        <v>43</v>
      </c>
      <c r="T13" s="274"/>
      <c r="X13" s="79"/>
      <c r="Y13" s="79"/>
      <c r="Z13" s="79"/>
    </row>
    <row r="14" spans="1:26" s="1" customFormat="1" ht="28.5" customHeight="1">
      <c r="A14" s="275">
        <v>7</v>
      </c>
      <c r="B14" s="277" t="s">
        <v>36</v>
      </c>
      <c r="C14" s="275" t="s">
        <v>21</v>
      </c>
      <c r="D14" s="269">
        <v>0</v>
      </c>
      <c r="E14" s="269">
        <v>0</v>
      </c>
      <c r="F14" s="20" t="s">
        <v>112</v>
      </c>
      <c r="G14" s="45"/>
      <c r="H14" s="45"/>
      <c r="I14" s="45"/>
      <c r="J14" s="45"/>
      <c r="K14" s="45"/>
      <c r="L14" s="45"/>
      <c r="M14" s="45"/>
      <c r="N14" s="45"/>
      <c r="O14" s="45"/>
      <c r="P14" s="45"/>
      <c r="Q14" s="45"/>
      <c r="R14" s="45"/>
      <c r="S14" s="27"/>
      <c r="T14" s="273"/>
      <c r="X14" s="5"/>
      <c r="Y14" s="5"/>
      <c r="Z14" s="5"/>
    </row>
    <row r="15" spans="1:26" s="24" customFormat="1" ht="28.5" customHeight="1">
      <c r="A15" s="276"/>
      <c r="B15" s="278"/>
      <c r="C15" s="276"/>
      <c r="D15" s="270"/>
      <c r="E15" s="270"/>
      <c r="F15" s="23" t="s">
        <v>18</v>
      </c>
      <c r="G15" s="45"/>
      <c r="H15" s="45"/>
      <c r="I15" s="45"/>
      <c r="J15" s="45"/>
      <c r="K15" s="45"/>
      <c r="L15" s="45"/>
      <c r="M15" s="45"/>
      <c r="N15" s="45"/>
      <c r="O15" s="45"/>
      <c r="P15" s="45"/>
      <c r="Q15" s="45"/>
      <c r="R15" s="45"/>
      <c r="S15" s="27"/>
      <c r="T15" s="274"/>
      <c r="X15" s="79"/>
      <c r="Y15" s="79"/>
      <c r="Z15" s="79"/>
    </row>
    <row r="16" spans="1:26" s="1" customFormat="1" ht="28.5" customHeight="1">
      <c r="A16" s="275">
        <v>8</v>
      </c>
      <c r="B16" s="277" t="s">
        <v>39</v>
      </c>
      <c r="C16" s="275" t="s">
        <v>21</v>
      </c>
      <c r="D16" s="269">
        <v>0</v>
      </c>
      <c r="E16" s="269">
        <v>0</v>
      </c>
      <c r="F16" s="20" t="s">
        <v>112</v>
      </c>
      <c r="G16" s="72">
        <v>0</v>
      </c>
      <c r="H16" s="73">
        <v>4</v>
      </c>
      <c r="I16" s="73">
        <v>8</v>
      </c>
      <c r="J16" s="73">
        <v>49</v>
      </c>
      <c r="K16" s="73">
        <v>0</v>
      </c>
      <c r="L16" s="73">
        <v>0</v>
      </c>
      <c r="M16" s="72">
        <v>0</v>
      </c>
      <c r="N16" s="73">
        <v>0</v>
      </c>
      <c r="O16" s="73">
        <v>0</v>
      </c>
      <c r="P16" s="73">
        <v>0</v>
      </c>
      <c r="Q16" s="73">
        <v>0</v>
      </c>
      <c r="R16" s="73">
        <v>0</v>
      </c>
      <c r="S16" s="27">
        <f t="shared" ref="S16:S23" si="1">SUM(G16:R16)</f>
        <v>61</v>
      </c>
      <c r="T16" s="289">
        <f>S17/S16</f>
        <v>0.14754098360655737</v>
      </c>
      <c r="X16" s="5"/>
      <c r="Y16" s="5"/>
      <c r="Z16" s="5"/>
    </row>
    <row r="17" spans="1:26" s="24" customFormat="1" ht="28.5" customHeight="1">
      <c r="A17" s="276"/>
      <c r="B17" s="278"/>
      <c r="C17" s="276"/>
      <c r="D17" s="270"/>
      <c r="E17" s="270"/>
      <c r="F17" s="23" t="s">
        <v>18</v>
      </c>
      <c r="G17" s="26"/>
      <c r="H17" s="27">
        <v>2</v>
      </c>
      <c r="I17" s="27">
        <v>3</v>
      </c>
      <c r="J17" s="27">
        <v>4</v>
      </c>
      <c r="K17" s="27"/>
      <c r="L17" s="27"/>
      <c r="M17" s="27"/>
      <c r="N17" s="27"/>
      <c r="O17" s="27"/>
      <c r="P17" s="27"/>
      <c r="Q17" s="27"/>
      <c r="R17" s="27"/>
      <c r="S17" s="27">
        <f t="shared" si="1"/>
        <v>9</v>
      </c>
      <c r="T17" s="290"/>
      <c r="X17" s="79"/>
      <c r="Y17" s="79"/>
      <c r="Z17" s="79"/>
    </row>
    <row r="18" spans="1:26" s="1" customFormat="1" ht="28.5" customHeight="1">
      <c r="A18" s="275">
        <v>9</v>
      </c>
      <c r="B18" s="277" t="s">
        <v>42</v>
      </c>
      <c r="C18" s="275" t="s">
        <v>21</v>
      </c>
      <c r="D18" s="269">
        <v>0</v>
      </c>
      <c r="E18" s="269">
        <v>1</v>
      </c>
      <c r="F18" s="20" t="s">
        <v>112</v>
      </c>
      <c r="G18" s="74">
        <v>0</v>
      </c>
      <c r="H18" s="75">
        <v>0</v>
      </c>
      <c r="I18" s="75">
        <v>7</v>
      </c>
      <c r="J18" s="75">
        <v>109</v>
      </c>
      <c r="K18" s="75">
        <v>5</v>
      </c>
      <c r="L18" s="75">
        <v>0</v>
      </c>
      <c r="M18" s="75">
        <v>0</v>
      </c>
      <c r="N18" s="75">
        <v>0</v>
      </c>
      <c r="O18" s="75">
        <v>0</v>
      </c>
      <c r="P18" s="75">
        <v>0</v>
      </c>
      <c r="Q18" s="75">
        <v>0</v>
      </c>
      <c r="R18" s="75">
        <v>33</v>
      </c>
      <c r="S18" s="27">
        <f t="shared" si="1"/>
        <v>154</v>
      </c>
      <c r="T18" s="289">
        <f>S19/S18</f>
        <v>1.3311688311688312</v>
      </c>
      <c r="X18" s="5"/>
      <c r="Y18" s="5"/>
      <c r="Z18" s="5"/>
    </row>
    <row r="19" spans="1:26" s="24" customFormat="1" ht="28.5" customHeight="1">
      <c r="A19" s="276"/>
      <c r="B19" s="278"/>
      <c r="C19" s="276"/>
      <c r="D19" s="270"/>
      <c r="E19" s="270"/>
      <c r="F19" s="23" t="s">
        <v>18</v>
      </c>
      <c r="G19" s="60"/>
      <c r="H19" s="59"/>
      <c r="I19" s="59">
        <v>50</v>
      </c>
      <c r="J19" s="59">
        <v>120</v>
      </c>
      <c r="K19" s="58">
        <v>20</v>
      </c>
      <c r="L19" s="58">
        <v>10</v>
      </c>
      <c r="M19" s="58">
        <v>5</v>
      </c>
      <c r="N19" s="58"/>
      <c r="O19" s="58"/>
      <c r="P19" s="58"/>
      <c r="Q19" s="58"/>
      <c r="R19" s="59"/>
      <c r="S19" s="27">
        <f t="shared" si="1"/>
        <v>205</v>
      </c>
      <c r="T19" s="290"/>
      <c r="X19" s="79"/>
      <c r="Y19" s="79"/>
      <c r="Z19" s="79"/>
    </row>
    <row r="20" spans="1:26" s="1" customFormat="1" ht="28.5" customHeight="1">
      <c r="A20" s="275">
        <v>10</v>
      </c>
      <c r="B20" s="277" t="s">
        <v>45</v>
      </c>
      <c r="C20" s="275" t="s">
        <v>21</v>
      </c>
      <c r="D20" s="269">
        <v>0</v>
      </c>
      <c r="E20" s="269">
        <v>0</v>
      </c>
      <c r="F20" s="20" t="s">
        <v>112</v>
      </c>
      <c r="G20" s="74">
        <v>0</v>
      </c>
      <c r="H20" s="75">
        <v>0</v>
      </c>
      <c r="I20" s="75">
        <v>29</v>
      </c>
      <c r="J20" s="75">
        <v>535</v>
      </c>
      <c r="K20" s="75">
        <v>0</v>
      </c>
      <c r="L20" s="75">
        <v>0</v>
      </c>
      <c r="M20" s="75">
        <v>0</v>
      </c>
      <c r="N20" s="75">
        <v>0</v>
      </c>
      <c r="O20" s="75">
        <v>0</v>
      </c>
      <c r="P20" s="75">
        <v>0</v>
      </c>
      <c r="Q20" s="75">
        <v>0</v>
      </c>
      <c r="R20" s="75">
        <v>0</v>
      </c>
      <c r="S20" s="27">
        <f t="shared" si="1"/>
        <v>564</v>
      </c>
      <c r="T20" s="289">
        <f>S21/S20</f>
        <v>0.26595744680851063</v>
      </c>
      <c r="X20" s="5"/>
      <c r="Y20" s="5"/>
      <c r="Z20" s="5"/>
    </row>
    <row r="21" spans="1:26" s="24" customFormat="1" ht="28.5" customHeight="1">
      <c r="A21" s="276"/>
      <c r="B21" s="278"/>
      <c r="C21" s="276"/>
      <c r="D21" s="270"/>
      <c r="E21" s="270"/>
      <c r="F21" s="23" t="s">
        <v>18</v>
      </c>
      <c r="G21" s="60"/>
      <c r="H21" s="59" t="s">
        <v>127</v>
      </c>
      <c r="I21" s="59">
        <v>30</v>
      </c>
      <c r="J21" s="59">
        <v>120</v>
      </c>
      <c r="K21" s="58"/>
      <c r="L21" s="58"/>
      <c r="M21" s="58"/>
      <c r="N21" s="58"/>
      <c r="O21" s="58"/>
      <c r="P21" s="58"/>
      <c r="Q21" s="58"/>
      <c r="R21" s="58"/>
      <c r="S21" s="27">
        <f t="shared" si="1"/>
        <v>150</v>
      </c>
      <c r="T21" s="290"/>
      <c r="X21" s="79"/>
      <c r="Y21" s="79"/>
      <c r="Z21" s="79"/>
    </row>
    <row r="22" spans="1:26" s="1" customFormat="1" ht="28.5" customHeight="1">
      <c r="A22" s="275">
        <v>11</v>
      </c>
      <c r="B22" s="277" t="s">
        <v>48</v>
      </c>
      <c r="C22" s="275" t="s">
        <v>21</v>
      </c>
      <c r="D22" s="269">
        <v>0</v>
      </c>
      <c r="E22" s="269">
        <v>0</v>
      </c>
      <c r="F22" s="20" t="s">
        <v>112</v>
      </c>
      <c r="G22" s="52">
        <v>0</v>
      </c>
      <c r="H22" s="53">
        <v>0</v>
      </c>
      <c r="I22" s="53">
        <v>18</v>
      </c>
      <c r="J22" s="53">
        <v>38</v>
      </c>
      <c r="K22" s="53">
        <v>0</v>
      </c>
      <c r="L22" s="53">
        <v>11</v>
      </c>
      <c r="M22" s="53">
        <v>0</v>
      </c>
      <c r="N22" s="53">
        <v>0</v>
      </c>
      <c r="O22" s="53">
        <v>0</v>
      </c>
      <c r="P22" s="53">
        <v>0</v>
      </c>
      <c r="Q22" s="53">
        <v>0</v>
      </c>
      <c r="R22" s="53">
        <v>8</v>
      </c>
      <c r="S22" s="27">
        <f t="shared" si="1"/>
        <v>75</v>
      </c>
      <c r="T22" s="289">
        <f>S23/S22</f>
        <v>0.21333333333333335</v>
      </c>
      <c r="X22" s="5">
        <v>33</v>
      </c>
      <c r="Y22" s="5">
        <v>17</v>
      </c>
      <c r="Z22" s="5">
        <v>22</v>
      </c>
    </row>
    <row r="23" spans="1:26" s="24" customFormat="1" ht="28.5" customHeight="1">
      <c r="A23" s="276"/>
      <c r="B23" s="278"/>
      <c r="C23" s="276"/>
      <c r="D23" s="270"/>
      <c r="E23" s="270"/>
      <c r="F23" s="23" t="s">
        <v>18</v>
      </c>
      <c r="G23" s="33" t="s">
        <v>114</v>
      </c>
      <c r="H23" s="34" t="s">
        <v>114</v>
      </c>
      <c r="I23" s="34">
        <v>10</v>
      </c>
      <c r="J23" s="34">
        <v>6</v>
      </c>
      <c r="K23" s="34" t="s">
        <v>114</v>
      </c>
      <c r="L23" s="34" t="s">
        <v>114</v>
      </c>
      <c r="M23" s="34" t="s">
        <v>114</v>
      </c>
      <c r="N23" s="34" t="s">
        <v>114</v>
      </c>
      <c r="O23" s="34" t="s">
        <v>114</v>
      </c>
      <c r="P23" s="34" t="s">
        <v>114</v>
      </c>
      <c r="Q23" s="34" t="s">
        <v>114</v>
      </c>
      <c r="R23" s="34" t="s">
        <v>114</v>
      </c>
      <c r="S23" s="27">
        <f t="shared" si="1"/>
        <v>16</v>
      </c>
      <c r="T23" s="290"/>
      <c r="X23" s="79"/>
      <c r="Y23" s="79"/>
      <c r="Z23" s="79"/>
    </row>
    <row r="24" spans="1:26" s="1" customFormat="1" ht="28.5" customHeight="1">
      <c r="A24" s="275">
        <v>12</v>
      </c>
      <c r="B24" s="277" t="s">
        <v>50</v>
      </c>
      <c r="C24" s="275" t="s">
        <v>51</v>
      </c>
      <c r="D24" s="269">
        <v>0</v>
      </c>
      <c r="E24" s="269">
        <v>0</v>
      </c>
      <c r="F24" s="20" t="s">
        <v>112</v>
      </c>
      <c r="G24" s="61">
        <v>0</v>
      </c>
      <c r="H24" s="62">
        <v>0</v>
      </c>
      <c r="I24" s="62">
        <v>10</v>
      </c>
      <c r="J24" s="62">
        <v>28</v>
      </c>
      <c r="K24" s="62">
        <v>0</v>
      </c>
      <c r="L24" s="62">
        <v>0</v>
      </c>
      <c r="M24" s="62">
        <v>0</v>
      </c>
      <c r="N24" s="62">
        <v>0</v>
      </c>
      <c r="O24" s="62">
        <v>0</v>
      </c>
      <c r="P24" s="62">
        <v>0</v>
      </c>
      <c r="Q24" s="62">
        <v>0</v>
      </c>
      <c r="R24" s="62">
        <v>0</v>
      </c>
      <c r="S24" s="27">
        <v>38</v>
      </c>
      <c r="T24" s="289">
        <f>S25/S24</f>
        <v>0.5</v>
      </c>
      <c r="U24" s="47">
        <f>AVERAGE(S24,S26,S28,S30,S32,S34)</f>
        <v>110</v>
      </c>
      <c r="X24" s="5"/>
      <c r="Y24" s="5"/>
      <c r="Z24" s="5"/>
    </row>
    <row r="25" spans="1:26" s="24" customFormat="1" ht="28.5" customHeight="1">
      <c r="A25" s="276"/>
      <c r="B25" s="278"/>
      <c r="C25" s="276"/>
      <c r="D25" s="270"/>
      <c r="E25" s="270"/>
      <c r="F25" s="23" t="s">
        <v>18</v>
      </c>
      <c r="G25" s="35"/>
      <c r="H25" s="27"/>
      <c r="I25" s="27">
        <v>10</v>
      </c>
      <c r="J25" s="27">
        <v>9</v>
      </c>
      <c r="K25" s="27"/>
      <c r="L25" s="27"/>
      <c r="M25" s="37"/>
      <c r="N25" s="27"/>
      <c r="O25" s="32"/>
      <c r="P25" s="27"/>
      <c r="Q25" s="27"/>
      <c r="R25" s="27"/>
      <c r="S25" s="32">
        <v>19</v>
      </c>
      <c r="T25" s="290"/>
      <c r="U25" s="24">
        <f>AVERAGE(S25,S27,S29,S31,S33,S35)</f>
        <v>50.833333333333336</v>
      </c>
      <c r="X25" s="79"/>
      <c r="Y25" s="79"/>
      <c r="Z25" s="79"/>
    </row>
    <row r="26" spans="1:26" s="1" customFormat="1" ht="28.5" customHeight="1">
      <c r="A26" s="269">
        <v>13</v>
      </c>
      <c r="B26" s="277" t="s">
        <v>54</v>
      </c>
      <c r="C26" s="275" t="s">
        <v>51</v>
      </c>
      <c r="D26" s="269">
        <v>10</v>
      </c>
      <c r="E26" s="269">
        <v>0</v>
      </c>
      <c r="F26" s="20" t="s">
        <v>112</v>
      </c>
      <c r="G26" s="61">
        <v>0</v>
      </c>
      <c r="H26" s="62">
        <v>0</v>
      </c>
      <c r="I26" s="62">
        <v>21</v>
      </c>
      <c r="J26" s="62">
        <v>52</v>
      </c>
      <c r="K26" s="62">
        <v>0</v>
      </c>
      <c r="L26" s="62">
        <v>22</v>
      </c>
      <c r="M26" s="62">
        <v>0</v>
      </c>
      <c r="N26" s="62">
        <v>0</v>
      </c>
      <c r="O26" s="62">
        <v>0</v>
      </c>
      <c r="P26" s="62">
        <v>0</v>
      </c>
      <c r="Q26" s="62">
        <v>0</v>
      </c>
      <c r="R26" s="62">
        <v>0</v>
      </c>
      <c r="S26" s="27">
        <v>95</v>
      </c>
      <c r="T26" s="289">
        <f>S27/S26</f>
        <v>0.21052631578947367</v>
      </c>
      <c r="U26" s="24">
        <f>U25/U24</f>
        <v>0.46212121212121215</v>
      </c>
      <c r="X26" s="5"/>
      <c r="Y26" s="5"/>
      <c r="Z26" s="5"/>
    </row>
    <row r="27" spans="1:26" s="24" customFormat="1" ht="28.5" customHeight="1">
      <c r="A27" s="270"/>
      <c r="B27" s="281"/>
      <c r="C27" s="276"/>
      <c r="D27" s="270"/>
      <c r="E27" s="270"/>
      <c r="F27" s="23" t="s">
        <v>18</v>
      </c>
      <c r="G27" s="35"/>
      <c r="H27" s="27"/>
      <c r="I27" s="27">
        <v>4</v>
      </c>
      <c r="J27" s="27">
        <v>11</v>
      </c>
      <c r="K27" s="27"/>
      <c r="L27" s="27">
        <v>5</v>
      </c>
      <c r="M27" s="37"/>
      <c r="N27" s="27"/>
      <c r="O27" s="32"/>
      <c r="P27" s="27"/>
      <c r="Q27" s="27"/>
      <c r="R27" s="27"/>
      <c r="S27" s="27">
        <f>SUM(G27:R27)</f>
        <v>20</v>
      </c>
      <c r="T27" s="290"/>
      <c r="X27" s="79"/>
      <c r="Y27" s="79"/>
      <c r="Z27" s="79"/>
    </row>
    <row r="28" spans="1:26" s="1" customFormat="1" ht="28.5" customHeight="1">
      <c r="A28" s="275">
        <v>14</v>
      </c>
      <c r="B28" s="282" t="s">
        <v>57</v>
      </c>
      <c r="C28" s="275" t="s">
        <v>51</v>
      </c>
      <c r="D28" s="269">
        <v>74</v>
      </c>
      <c r="E28" s="269">
        <v>4</v>
      </c>
      <c r="F28" s="20" t="s">
        <v>112</v>
      </c>
      <c r="G28" s="52">
        <v>0</v>
      </c>
      <c r="H28" s="53">
        <v>0</v>
      </c>
      <c r="I28" s="53">
        <v>38</v>
      </c>
      <c r="J28" s="53">
        <v>2</v>
      </c>
      <c r="K28" s="53">
        <v>0</v>
      </c>
      <c r="L28" s="53">
        <v>0</v>
      </c>
      <c r="M28" s="53">
        <v>0</v>
      </c>
      <c r="N28" s="53">
        <v>0</v>
      </c>
      <c r="O28" s="53">
        <v>0</v>
      </c>
      <c r="P28" s="53">
        <v>0</v>
      </c>
      <c r="Q28" s="53">
        <v>0</v>
      </c>
      <c r="R28" s="53">
        <v>0</v>
      </c>
      <c r="S28" s="27">
        <v>40</v>
      </c>
      <c r="T28" s="289">
        <f>S29/S28</f>
        <v>0.55000000000000004</v>
      </c>
      <c r="X28" s="5"/>
      <c r="Y28" s="5"/>
      <c r="Z28" s="5"/>
    </row>
    <row r="29" spans="1:26" s="24" customFormat="1" ht="28.5" customHeight="1">
      <c r="A29" s="276"/>
      <c r="B29" s="282"/>
      <c r="C29" s="276"/>
      <c r="D29" s="270"/>
      <c r="E29" s="270"/>
      <c r="F29" s="23" t="s">
        <v>18</v>
      </c>
      <c r="G29" s="33"/>
      <c r="H29" s="34"/>
      <c r="I29" s="34">
        <v>15</v>
      </c>
      <c r="J29" s="34">
        <v>7</v>
      </c>
      <c r="K29" s="34"/>
      <c r="L29" s="34"/>
      <c r="M29" s="34"/>
      <c r="N29" s="34"/>
      <c r="O29" s="34"/>
      <c r="P29" s="34"/>
      <c r="Q29" s="34"/>
      <c r="R29" s="34"/>
      <c r="S29" s="27">
        <v>22</v>
      </c>
      <c r="T29" s="290"/>
      <c r="X29" s="79"/>
      <c r="Y29" s="79"/>
      <c r="Z29" s="79"/>
    </row>
    <row r="30" spans="1:26" s="1" customFormat="1" ht="28.5" customHeight="1">
      <c r="A30" s="275">
        <v>15</v>
      </c>
      <c r="B30" s="281" t="s">
        <v>60</v>
      </c>
      <c r="C30" s="275" t="s">
        <v>51</v>
      </c>
      <c r="D30" s="269">
        <v>0</v>
      </c>
      <c r="E30" s="269">
        <v>0</v>
      </c>
      <c r="F30" s="20" t="s">
        <v>112</v>
      </c>
      <c r="G30" s="52">
        <v>0</v>
      </c>
      <c r="H30" s="53">
        <v>0</v>
      </c>
      <c r="I30" s="53">
        <v>59</v>
      </c>
      <c r="J30" s="53">
        <v>93</v>
      </c>
      <c r="K30" s="53">
        <v>0</v>
      </c>
      <c r="L30" s="53">
        <v>0</v>
      </c>
      <c r="M30" s="53">
        <v>0</v>
      </c>
      <c r="N30" s="53">
        <v>0</v>
      </c>
      <c r="O30" s="53">
        <v>0</v>
      </c>
      <c r="P30" s="53">
        <v>0</v>
      </c>
      <c r="Q30" s="53">
        <v>0</v>
      </c>
      <c r="R30" s="53">
        <v>0</v>
      </c>
      <c r="S30" s="27">
        <v>152</v>
      </c>
      <c r="T30" s="289">
        <f>S31/S30</f>
        <v>0.625</v>
      </c>
      <c r="X30" s="5"/>
      <c r="Y30" s="5"/>
      <c r="Z30" s="5"/>
    </row>
    <row r="31" spans="1:26" s="25" customFormat="1" ht="28.5" customHeight="1">
      <c r="A31" s="276"/>
      <c r="B31" s="278"/>
      <c r="C31" s="276"/>
      <c r="D31" s="270"/>
      <c r="E31" s="270"/>
      <c r="F31" s="30" t="s">
        <v>18</v>
      </c>
      <c r="G31" s="43"/>
      <c r="H31" s="44"/>
      <c r="I31" s="44">
        <v>30</v>
      </c>
      <c r="J31" s="44">
        <v>65</v>
      </c>
      <c r="K31" s="44"/>
      <c r="L31" s="44"/>
      <c r="M31" s="44"/>
      <c r="N31" s="44"/>
      <c r="O31" s="44"/>
      <c r="P31" s="44"/>
      <c r="Q31" s="44"/>
      <c r="R31" s="44"/>
      <c r="S31" s="26">
        <f>SUM(G31:R31)</f>
        <v>95</v>
      </c>
      <c r="T31" s="290"/>
      <c r="X31" s="79"/>
      <c r="Y31" s="79"/>
      <c r="Z31" s="79"/>
    </row>
    <row r="32" spans="1:26" ht="28.5" customHeight="1">
      <c r="A32" s="275">
        <v>16</v>
      </c>
      <c r="B32" s="277" t="s">
        <v>63</v>
      </c>
      <c r="C32" s="275" t="s">
        <v>51</v>
      </c>
      <c r="D32" s="269">
        <v>14</v>
      </c>
      <c r="E32" s="269">
        <v>10</v>
      </c>
      <c r="F32" s="20" t="s">
        <v>112</v>
      </c>
      <c r="G32" s="61">
        <v>0</v>
      </c>
      <c r="H32" s="62">
        <v>0</v>
      </c>
      <c r="I32" s="62">
        <v>33</v>
      </c>
      <c r="J32" s="62">
        <v>30</v>
      </c>
      <c r="K32" s="62">
        <v>0</v>
      </c>
      <c r="L32" s="62">
        <v>95</v>
      </c>
      <c r="M32" s="62">
        <v>0</v>
      </c>
      <c r="N32" s="62">
        <v>0</v>
      </c>
      <c r="O32" s="62">
        <v>0</v>
      </c>
      <c r="P32" s="62">
        <v>0</v>
      </c>
      <c r="Q32" s="62">
        <v>0</v>
      </c>
      <c r="R32" s="62">
        <v>0</v>
      </c>
      <c r="S32" s="26">
        <f>SUM(G32:R32)</f>
        <v>158</v>
      </c>
      <c r="T32" s="289">
        <f>S33/S32</f>
        <v>0.38607594936708861</v>
      </c>
    </row>
    <row r="33" spans="1:26" s="25" customFormat="1" ht="28.5" customHeight="1">
      <c r="A33" s="276"/>
      <c r="B33" s="278"/>
      <c r="C33" s="276"/>
      <c r="D33" s="270"/>
      <c r="E33" s="270"/>
      <c r="F33" s="23" t="s">
        <v>18</v>
      </c>
      <c r="G33" s="26"/>
      <c r="H33" s="27">
        <v>10</v>
      </c>
      <c r="I33" s="27">
        <v>20</v>
      </c>
      <c r="J33" s="27">
        <v>10</v>
      </c>
      <c r="K33" s="27">
        <v>5</v>
      </c>
      <c r="L33" s="27">
        <v>15</v>
      </c>
      <c r="M33" s="26">
        <v>1</v>
      </c>
      <c r="N33" s="27"/>
      <c r="O33" s="27"/>
      <c r="P33" s="27"/>
      <c r="Q33" s="27"/>
      <c r="R33" s="27"/>
      <c r="S33" s="26">
        <f>SUM(G33:R33)</f>
        <v>61</v>
      </c>
      <c r="T33" s="290"/>
      <c r="X33" s="79"/>
      <c r="Y33" s="79"/>
      <c r="Z33" s="79"/>
    </row>
    <row r="34" spans="1:26" ht="28.5" customHeight="1">
      <c r="A34" s="275">
        <v>17</v>
      </c>
      <c r="B34" s="277" t="s">
        <v>66</v>
      </c>
      <c r="C34" s="275" t="s">
        <v>51</v>
      </c>
      <c r="D34" s="269">
        <v>6</v>
      </c>
      <c r="E34" s="269">
        <v>10</v>
      </c>
      <c r="F34" s="20" t="s">
        <v>112</v>
      </c>
      <c r="G34" s="61"/>
      <c r="H34" s="62">
        <v>11</v>
      </c>
      <c r="I34" s="62">
        <v>18</v>
      </c>
      <c r="J34" s="62">
        <v>66</v>
      </c>
      <c r="K34" s="62"/>
      <c r="L34" s="62">
        <v>82</v>
      </c>
      <c r="M34" s="62"/>
      <c r="N34" s="62"/>
      <c r="O34" s="62"/>
      <c r="P34" s="62"/>
      <c r="Q34" s="62"/>
      <c r="R34" s="62"/>
      <c r="S34" s="26">
        <f t="shared" ref="S34:S43" si="2">SUM(G34:R34)</f>
        <v>177</v>
      </c>
      <c r="T34" s="289">
        <f>S35/S34</f>
        <v>0.49717514124293788</v>
      </c>
    </row>
    <row r="35" spans="1:26" s="25" customFormat="1" ht="28.5" customHeight="1">
      <c r="A35" s="276"/>
      <c r="B35" s="278"/>
      <c r="C35" s="276"/>
      <c r="D35" s="270"/>
      <c r="E35" s="270"/>
      <c r="F35" s="23" t="s">
        <v>18</v>
      </c>
      <c r="G35" s="26"/>
      <c r="H35" s="27">
        <v>20</v>
      </c>
      <c r="I35" s="27">
        <v>40</v>
      </c>
      <c r="J35" s="27">
        <v>15</v>
      </c>
      <c r="K35" s="27">
        <v>1</v>
      </c>
      <c r="L35" s="27">
        <v>12</v>
      </c>
      <c r="M35" s="26"/>
      <c r="N35" s="27"/>
      <c r="O35" s="27"/>
      <c r="P35" s="27"/>
      <c r="Q35" s="27"/>
      <c r="R35" s="27"/>
      <c r="S35" s="26">
        <f t="shared" si="2"/>
        <v>88</v>
      </c>
      <c r="T35" s="290"/>
      <c r="X35" s="79"/>
      <c r="Y35" s="79"/>
      <c r="Z35" s="79"/>
    </row>
    <row r="36" spans="1:26" ht="28.5" customHeight="1">
      <c r="A36" s="275">
        <v>18</v>
      </c>
      <c r="B36" s="277" t="s">
        <v>69</v>
      </c>
      <c r="C36" s="275" t="s">
        <v>70</v>
      </c>
      <c r="D36" s="269">
        <v>0</v>
      </c>
      <c r="E36" s="269">
        <v>0</v>
      </c>
      <c r="F36" s="20" t="s">
        <v>112</v>
      </c>
      <c r="G36" s="61">
        <v>0</v>
      </c>
      <c r="H36" s="62">
        <v>0</v>
      </c>
      <c r="I36" s="62">
        <v>10</v>
      </c>
      <c r="J36" s="62">
        <v>27</v>
      </c>
      <c r="K36" s="62">
        <v>0</v>
      </c>
      <c r="L36" s="62">
        <v>0</v>
      </c>
      <c r="M36" s="62">
        <v>0</v>
      </c>
      <c r="N36" s="62">
        <v>0</v>
      </c>
      <c r="O36" s="62">
        <v>0</v>
      </c>
      <c r="P36" s="62">
        <v>0</v>
      </c>
      <c r="Q36" s="62">
        <v>0</v>
      </c>
      <c r="R36" s="62">
        <v>5</v>
      </c>
      <c r="S36" s="26">
        <f t="shared" si="2"/>
        <v>42</v>
      </c>
      <c r="T36" s="289">
        <f>S37/S36</f>
        <v>0.4642857142857143</v>
      </c>
      <c r="U36" s="51">
        <f>AVERAGE(S36,S38,S40,S42,S44,S46,S48,S50,S52,S54)</f>
        <v>48.5</v>
      </c>
      <c r="V36" s="25">
        <f>U37/U36</f>
        <v>0.28886597938144332</v>
      </c>
    </row>
    <row r="37" spans="1:26" s="25" customFormat="1" ht="28.5" customHeight="1">
      <c r="A37" s="276"/>
      <c r="B37" s="278"/>
      <c r="C37" s="276"/>
      <c r="D37" s="270"/>
      <c r="E37" s="270"/>
      <c r="F37" s="23" t="s">
        <v>18</v>
      </c>
      <c r="G37" s="26"/>
      <c r="H37" s="27"/>
      <c r="I37" s="32">
        <v>7.5</v>
      </c>
      <c r="J37" s="27">
        <v>10</v>
      </c>
      <c r="K37" s="27"/>
      <c r="L37" s="27"/>
      <c r="M37" s="26"/>
      <c r="N37" s="27"/>
      <c r="O37" s="27"/>
      <c r="P37" s="27"/>
      <c r="Q37" s="27"/>
      <c r="R37" s="27">
        <v>2</v>
      </c>
      <c r="S37" s="26">
        <f t="shared" si="2"/>
        <v>19.5</v>
      </c>
      <c r="T37" s="290"/>
      <c r="U37" s="25">
        <f>AVERAGE(S37,S39,S41,S43,S45,S47,S49,S51,S53,S55)</f>
        <v>14.01</v>
      </c>
      <c r="X37" s="79"/>
      <c r="Y37" s="79"/>
      <c r="Z37" s="79"/>
    </row>
    <row r="38" spans="1:26" ht="28.5" customHeight="1">
      <c r="A38" s="275">
        <v>19</v>
      </c>
      <c r="B38" s="277" t="s">
        <v>73</v>
      </c>
      <c r="C38" s="275" t="s">
        <v>70</v>
      </c>
      <c r="D38" s="269">
        <v>0</v>
      </c>
      <c r="E38" s="269">
        <v>5</v>
      </c>
      <c r="F38" s="20" t="s">
        <v>112</v>
      </c>
      <c r="G38" s="61">
        <v>0</v>
      </c>
      <c r="H38" s="62">
        <v>0</v>
      </c>
      <c r="I38" s="62">
        <v>16</v>
      </c>
      <c r="J38" s="62">
        <v>11</v>
      </c>
      <c r="K38" s="62">
        <v>0</v>
      </c>
      <c r="L38" s="62">
        <v>4</v>
      </c>
      <c r="M38" s="62">
        <v>0</v>
      </c>
      <c r="N38" s="62">
        <v>0</v>
      </c>
      <c r="O38" s="62">
        <v>0</v>
      </c>
      <c r="P38" s="62">
        <v>0</v>
      </c>
      <c r="Q38" s="62">
        <v>0</v>
      </c>
      <c r="R38" s="62">
        <v>0</v>
      </c>
      <c r="S38" s="26">
        <f t="shared" si="2"/>
        <v>31</v>
      </c>
      <c r="T38" s="289">
        <f>S39/S38</f>
        <v>0.29032258064516131</v>
      </c>
    </row>
    <row r="39" spans="1:26" s="25" customFormat="1" ht="28.5" customHeight="1">
      <c r="A39" s="276"/>
      <c r="B39" s="278"/>
      <c r="C39" s="276"/>
      <c r="D39" s="270"/>
      <c r="E39" s="270"/>
      <c r="F39" s="23" t="s">
        <v>18</v>
      </c>
      <c r="G39" s="26"/>
      <c r="H39" s="27"/>
      <c r="I39" s="27">
        <v>3</v>
      </c>
      <c r="J39" s="27">
        <v>6</v>
      </c>
      <c r="K39" s="27"/>
      <c r="L39" s="27"/>
      <c r="M39" s="26"/>
      <c r="N39" s="27"/>
      <c r="O39" s="27"/>
      <c r="P39" s="27"/>
      <c r="Q39" s="27"/>
      <c r="R39" s="27"/>
      <c r="S39" s="26">
        <f t="shared" si="2"/>
        <v>9</v>
      </c>
      <c r="T39" s="290"/>
      <c r="X39" s="79"/>
      <c r="Y39" s="79"/>
      <c r="Z39" s="79"/>
    </row>
    <row r="40" spans="1:26" ht="28.5" customHeight="1">
      <c r="A40" s="275">
        <v>20</v>
      </c>
      <c r="B40" s="277" t="s">
        <v>76</v>
      </c>
      <c r="C40" s="275" t="s">
        <v>70</v>
      </c>
      <c r="D40" s="269">
        <v>0</v>
      </c>
      <c r="E40" s="269">
        <v>0</v>
      </c>
      <c r="F40" s="20" t="s">
        <v>112</v>
      </c>
      <c r="G40" s="61">
        <v>0</v>
      </c>
      <c r="H40" s="62">
        <v>0</v>
      </c>
      <c r="I40" s="62">
        <v>6</v>
      </c>
      <c r="J40" s="62">
        <v>111</v>
      </c>
      <c r="K40" s="62">
        <v>0</v>
      </c>
      <c r="L40" s="62">
        <v>0</v>
      </c>
      <c r="M40" s="62">
        <v>0</v>
      </c>
      <c r="N40" s="62">
        <v>0</v>
      </c>
      <c r="O40" s="62">
        <v>0</v>
      </c>
      <c r="P40" s="62">
        <v>0</v>
      </c>
      <c r="Q40" s="62">
        <v>0</v>
      </c>
      <c r="R40" s="62">
        <v>0</v>
      </c>
      <c r="S40" s="26">
        <f t="shared" si="2"/>
        <v>117</v>
      </c>
      <c r="T40" s="289">
        <f>S41/S40</f>
        <v>8.9743589743589744E-2</v>
      </c>
    </row>
    <row r="41" spans="1:26" s="25" customFormat="1" ht="28.5" customHeight="1">
      <c r="A41" s="276"/>
      <c r="B41" s="278"/>
      <c r="C41" s="276"/>
      <c r="D41" s="270"/>
      <c r="E41" s="270"/>
      <c r="F41" s="23" t="s">
        <v>18</v>
      </c>
      <c r="G41" s="26"/>
      <c r="H41" s="27"/>
      <c r="I41" s="27">
        <v>2.5</v>
      </c>
      <c r="J41" s="27">
        <v>8</v>
      </c>
      <c r="K41" s="27"/>
      <c r="L41" s="27"/>
      <c r="M41" s="26"/>
      <c r="N41" s="27"/>
      <c r="O41" s="27"/>
      <c r="P41" s="27"/>
      <c r="Q41" s="27"/>
      <c r="R41" s="27"/>
      <c r="S41" s="26">
        <f t="shared" si="2"/>
        <v>10.5</v>
      </c>
      <c r="T41" s="290"/>
      <c r="X41" s="79"/>
      <c r="Y41" s="79"/>
      <c r="Z41" s="79"/>
    </row>
    <row r="42" spans="1:26" ht="28.5" customHeight="1">
      <c r="A42" s="275">
        <v>21</v>
      </c>
      <c r="B42" s="277" t="s">
        <v>79</v>
      </c>
      <c r="C42" s="275" t="s">
        <v>70</v>
      </c>
      <c r="D42" s="269">
        <v>14</v>
      </c>
      <c r="E42" s="269">
        <v>1</v>
      </c>
      <c r="F42" s="20" t="s">
        <v>112</v>
      </c>
      <c r="G42" s="61">
        <v>0</v>
      </c>
      <c r="H42" s="62">
        <v>0</v>
      </c>
      <c r="I42" s="62">
        <v>7</v>
      </c>
      <c r="J42" s="62">
        <v>36</v>
      </c>
      <c r="K42" s="62">
        <v>0</v>
      </c>
      <c r="L42" s="62">
        <v>3</v>
      </c>
      <c r="M42" s="62">
        <v>0</v>
      </c>
      <c r="N42" s="62">
        <v>0</v>
      </c>
      <c r="O42" s="62">
        <v>0</v>
      </c>
      <c r="P42" s="62">
        <v>0</v>
      </c>
      <c r="Q42" s="62">
        <v>0</v>
      </c>
      <c r="R42" s="62">
        <v>4</v>
      </c>
      <c r="S42" s="26">
        <f t="shared" si="2"/>
        <v>50</v>
      </c>
      <c r="T42" s="289">
        <f>S43/S42</f>
        <v>0.24</v>
      </c>
    </row>
    <row r="43" spans="1:26" s="25" customFormat="1" ht="28.5" customHeight="1">
      <c r="A43" s="276"/>
      <c r="B43" s="278"/>
      <c r="C43" s="276"/>
      <c r="D43" s="270"/>
      <c r="E43" s="270"/>
      <c r="F43" s="23" t="s">
        <v>18</v>
      </c>
      <c r="G43" s="26"/>
      <c r="H43" s="27"/>
      <c r="I43" s="27">
        <v>6</v>
      </c>
      <c r="J43" s="27">
        <v>6</v>
      </c>
      <c r="K43" s="27"/>
      <c r="L43" s="27"/>
      <c r="M43" s="26"/>
      <c r="N43" s="27"/>
      <c r="O43" s="27"/>
      <c r="P43" s="27"/>
      <c r="Q43" s="27"/>
      <c r="R43" s="27"/>
      <c r="S43" s="26">
        <f t="shared" si="2"/>
        <v>12</v>
      </c>
      <c r="T43" s="290"/>
      <c r="X43" s="79"/>
      <c r="Y43" s="79"/>
      <c r="Z43" s="79"/>
    </row>
    <row r="44" spans="1:26" ht="28.5" customHeight="1">
      <c r="A44" s="275">
        <v>22</v>
      </c>
      <c r="B44" s="277" t="s">
        <v>82</v>
      </c>
      <c r="C44" s="275" t="s">
        <v>70</v>
      </c>
      <c r="D44" s="269">
        <v>0</v>
      </c>
      <c r="E44" s="269">
        <v>0</v>
      </c>
      <c r="F44" s="20" t="s">
        <v>112</v>
      </c>
      <c r="G44" s="61">
        <v>0</v>
      </c>
      <c r="H44" s="62">
        <v>0</v>
      </c>
      <c r="I44" s="62">
        <v>21</v>
      </c>
      <c r="J44" s="62">
        <v>46</v>
      </c>
      <c r="K44" s="62">
        <v>2</v>
      </c>
      <c r="L44" s="62">
        <v>1</v>
      </c>
      <c r="M44" s="62">
        <v>5</v>
      </c>
      <c r="N44" s="62">
        <v>0</v>
      </c>
      <c r="O44" s="62">
        <v>9</v>
      </c>
      <c r="P44" s="62">
        <v>0</v>
      </c>
      <c r="Q44" s="62">
        <v>0</v>
      </c>
      <c r="R44" s="62">
        <v>0</v>
      </c>
      <c r="S44" s="26">
        <f t="shared" ref="S44:S55" si="3">SUM(G44:R44)</f>
        <v>84</v>
      </c>
      <c r="T44" s="289">
        <f>S45/S44</f>
        <v>0.6785714285714286</v>
      </c>
    </row>
    <row r="45" spans="1:26" s="25" customFormat="1" ht="28.5" customHeight="1">
      <c r="A45" s="276"/>
      <c r="B45" s="278"/>
      <c r="C45" s="276"/>
      <c r="D45" s="270"/>
      <c r="E45" s="270"/>
      <c r="F45" s="23" t="s">
        <v>18</v>
      </c>
      <c r="G45" s="26"/>
      <c r="H45" s="27"/>
      <c r="I45" s="27">
        <v>5</v>
      </c>
      <c r="J45" s="27">
        <v>10</v>
      </c>
      <c r="K45" s="27"/>
      <c r="L45" s="27"/>
      <c r="M45" s="26">
        <v>2</v>
      </c>
      <c r="N45" s="27"/>
      <c r="O45" s="27">
        <v>30</v>
      </c>
      <c r="P45" s="27"/>
      <c r="Q45" s="27"/>
      <c r="R45" s="27">
        <v>10</v>
      </c>
      <c r="S45" s="26">
        <f t="shared" si="3"/>
        <v>57</v>
      </c>
      <c r="T45" s="290"/>
      <c r="X45" s="79"/>
      <c r="Y45" s="79"/>
      <c r="Z45" s="79"/>
    </row>
    <row r="46" spans="1:26" ht="28.5" customHeight="1">
      <c r="A46" s="275">
        <v>23</v>
      </c>
      <c r="B46" s="277" t="s">
        <v>85</v>
      </c>
      <c r="C46" s="275" t="s">
        <v>70</v>
      </c>
      <c r="D46" s="269">
        <v>0</v>
      </c>
      <c r="E46" s="269">
        <v>0</v>
      </c>
      <c r="F46" s="20" t="s">
        <v>112</v>
      </c>
      <c r="G46" s="61">
        <v>0</v>
      </c>
      <c r="H46" s="62">
        <v>0</v>
      </c>
      <c r="I46" s="62">
        <v>0</v>
      </c>
      <c r="J46" s="62">
        <v>26</v>
      </c>
      <c r="K46" s="62">
        <v>0</v>
      </c>
      <c r="L46" s="62">
        <v>0</v>
      </c>
      <c r="M46" s="62">
        <v>0</v>
      </c>
      <c r="N46" s="62">
        <v>0</v>
      </c>
      <c r="O46" s="62">
        <v>0</v>
      </c>
      <c r="P46" s="62">
        <v>0</v>
      </c>
      <c r="Q46" s="62">
        <v>0</v>
      </c>
      <c r="R46" s="62">
        <v>0</v>
      </c>
      <c r="S46" s="26">
        <f t="shared" si="3"/>
        <v>26</v>
      </c>
      <c r="T46" s="289">
        <f>S47/S46</f>
        <v>0.20384615384615384</v>
      </c>
    </row>
    <row r="47" spans="1:26" s="25" customFormat="1" ht="28.5" customHeight="1">
      <c r="A47" s="276"/>
      <c r="B47" s="278"/>
      <c r="C47" s="276"/>
      <c r="D47" s="270"/>
      <c r="E47" s="270"/>
      <c r="F47" s="23" t="s">
        <v>18</v>
      </c>
      <c r="G47" s="26"/>
      <c r="H47" s="27"/>
      <c r="I47" s="32"/>
      <c r="J47" s="32">
        <v>5.3</v>
      </c>
      <c r="K47" s="27"/>
      <c r="L47" s="27"/>
      <c r="M47" s="26"/>
      <c r="N47" s="27"/>
      <c r="O47" s="27"/>
      <c r="P47" s="27"/>
      <c r="Q47" s="27"/>
      <c r="R47" s="27"/>
      <c r="S47" s="26">
        <f t="shared" si="3"/>
        <v>5.3</v>
      </c>
      <c r="T47" s="290"/>
      <c r="X47" s="79"/>
      <c r="Y47" s="79"/>
      <c r="Z47" s="79"/>
    </row>
    <row r="48" spans="1:26" ht="29.25" customHeight="1">
      <c r="A48" s="275">
        <v>24</v>
      </c>
      <c r="B48" s="277" t="s">
        <v>86</v>
      </c>
      <c r="C48" s="275" t="s">
        <v>70</v>
      </c>
      <c r="D48" s="269">
        <v>2</v>
      </c>
      <c r="E48" s="269">
        <v>0</v>
      </c>
      <c r="F48" s="20" t="s">
        <v>112</v>
      </c>
      <c r="G48" s="61">
        <v>0</v>
      </c>
      <c r="H48" s="62">
        <v>0</v>
      </c>
      <c r="I48" s="62">
        <v>3</v>
      </c>
      <c r="J48" s="62">
        <v>9</v>
      </c>
      <c r="K48" s="62">
        <v>0</v>
      </c>
      <c r="L48" s="62">
        <v>4</v>
      </c>
      <c r="M48" s="62">
        <v>0</v>
      </c>
      <c r="N48" s="62">
        <v>0</v>
      </c>
      <c r="O48" s="62">
        <v>0</v>
      </c>
      <c r="P48" s="62">
        <v>0</v>
      </c>
      <c r="Q48" s="62">
        <v>0</v>
      </c>
      <c r="R48" s="62">
        <v>20</v>
      </c>
      <c r="S48" s="26">
        <f t="shared" si="3"/>
        <v>36</v>
      </c>
      <c r="T48" s="289">
        <f>S49/S48</f>
        <v>0.18333333333333332</v>
      </c>
    </row>
    <row r="49" spans="1:26" s="25" customFormat="1" ht="28.5" customHeight="1">
      <c r="A49" s="276"/>
      <c r="B49" s="278"/>
      <c r="C49" s="276"/>
      <c r="D49" s="270"/>
      <c r="E49" s="270"/>
      <c r="F49" s="23" t="s">
        <v>18</v>
      </c>
      <c r="G49" s="26"/>
      <c r="H49" s="27"/>
      <c r="I49" s="32"/>
      <c r="J49" s="32">
        <v>2.9</v>
      </c>
      <c r="K49" s="27">
        <v>3.7</v>
      </c>
      <c r="L49" s="27"/>
      <c r="M49" s="26"/>
      <c r="N49" s="27"/>
      <c r="O49" s="27"/>
      <c r="P49" s="27"/>
      <c r="Q49" s="27"/>
      <c r="R49" s="27"/>
      <c r="S49" s="26">
        <f t="shared" si="3"/>
        <v>6.6</v>
      </c>
      <c r="T49" s="290"/>
      <c r="X49" s="79"/>
      <c r="Y49" s="79"/>
      <c r="Z49" s="79"/>
    </row>
    <row r="50" spans="1:26" ht="28.5" customHeight="1">
      <c r="A50" s="275">
        <v>25</v>
      </c>
      <c r="B50" s="277" t="s">
        <v>88</v>
      </c>
      <c r="C50" s="275" t="s">
        <v>70</v>
      </c>
      <c r="D50" s="269">
        <v>0</v>
      </c>
      <c r="E50" s="269">
        <v>0</v>
      </c>
      <c r="F50" s="20" t="s">
        <v>112</v>
      </c>
      <c r="G50" s="61">
        <v>0</v>
      </c>
      <c r="H50" s="62">
        <v>0</v>
      </c>
      <c r="I50" s="62">
        <v>0</v>
      </c>
      <c r="J50" s="62">
        <v>47</v>
      </c>
      <c r="K50" s="62">
        <v>0</v>
      </c>
      <c r="L50" s="62">
        <v>0</v>
      </c>
      <c r="M50" s="62">
        <v>0</v>
      </c>
      <c r="N50" s="62">
        <v>0</v>
      </c>
      <c r="O50" s="62">
        <v>0</v>
      </c>
      <c r="P50" s="62">
        <v>0</v>
      </c>
      <c r="Q50" s="62">
        <v>0</v>
      </c>
      <c r="R50" s="62">
        <v>0</v>
      </c>
      <c r="S50" s="26">
        <f t="shared" si="3"/>
        <v>47</v>
      </c>
      <c r="T50" s="289">
        <f>S51/S50</f>
        <v>0.14893617021276595</v>
      </c>
    </row>
    <row r="51" spans="1:26" s="25" customFormat="1" ht="28.5" customHeight="1">
      <c r="A51" s="276"/>
      <c r="B51" s="278"/>
      <c r="C51" s="276"/>
      <c r="D51" s="270"/>
      <c r="E51" s="270"/>
      <c r="F51" s="23" t="s">
        <v>18</v>
      </c>
      <c r="G51" s="26">
        <v>0</v>
      </c>
      <c r="H51" s="27">
        <v>0</v>
      </c>
      <c r="I51" s="27">
        <v>0</v>
      </c>
      <c r="J51" s="27">
        <v>7</v>
      </c>
      <c r="K51" s="27">
        <v>0</v>
      </c>
      <c r="L51" s="27">
        <v>0</v>
      </c>
      <c r="M51" s="26">
        <v>0</v>
      </c>
      <c r="N51" s="27">
        <v>0</v>
      </c>
      <c r="O51" s="27">
        <v>0</v>
      </c>
      <c r="P51" s="27">
        <v>0</v>
      </c>
      <c r="Q51" s="27">
        <v>0</v>
      </c>
      <c r="R51" s="27">
        <v>0</v>
      </c>
      <c r="S51" s="26">
        <f t="shared" si="3"/>
        <v>7</v>
      </c>
      <c r="T51" s="290"/>
      <c r="X51" s="79"/>
      <c r="Y51" s="79"/>
      <c r="Z51" s="79"/>
    </row>
    <row r="52" spans="1:26" ht="28.5" customHeight="1">
      <c r="A52" s="275">
        <v>26</v>
      </c>
      <c r="B52" s="277" t="s">
        <v>90</v>
      </c>
      <c r="C52" s="275" t="s">
        <v>70</v>
      </c>
      <c r="D52" s="269">
        <v>0</v>
      </c>
      <c r="E52" s="269">
        <v>0</v>
      </c>
      <c r="F52" s="20" t="s">
        <v>112</v>
      </c>
      <c r="G52" s="61">
        <v>0</v>
      </c>
      <c r="H52" s="62">
        <v>0</v>
      </c>
      <c r="I52" s="62">
        <v>4</v>
      </c>
      <c r="J52" s="62">
        <v>16</v>
      </c>
      <c r="K52" s="62">
        <v>0</v>
      </c>
      <c r="L52" s="62">
        <v>0</v>
      </c>
      <c r="M52" s="62">
        <v>6</v>
      </c>
      <c r="N52" s="62">
        <v>0</v>
      </c>
      <c r="O52" s="62">
        <v>0</v>
      </c>
      <c r="P52" s="62">
        <v>0</v>
      </c>
      <c r="Q52" s="62">
        <v>0</v>
      </c>
      <c r="R52" s="62">
        <v>0</v>
      </c>
      <c r="S52" s="26">
        <f t="shared" si="3"/>
        <v>26</v>
      </c>
      <c r="T52" s="289">
        <f>S53/S52</f>
        <v>0.43076923076923074</v>
      </c>
    </row>
    <row r="53" spans="1:26" s="25" customFormat="1" ht="28.5" customHeight="1">
      <c r="A53" s="276"/>
      <c r="B53" s="278"/>
      <c r="C53" s="276"/>
      <c r="D53" s="270"/>
      <c r="E53" s="270"/>
      <c r="F53" s="23" t="s">
        <v>18</v>
      </c>
      <c r="G53" s="26"/>
      <c r="H53" s="27"/>
      <c r="I53" s="27">
        <v>1</v>
      </c>
      <c r="J53" s="27">
        <v>9</v>
      </c>
      <c r="K53" s="27"/>
      <c r="L53" s="27"/>
      <c r="M53" s="26">
        <v>1.2</v>
      </c>
      <c r="N53" s="27"/>
      <c r="O53" s="27"/>
      <c r="P53" s="27"/>
      <c r="Q53" s="27"/>
      <c r="R53" s="27"/>
      <c r="S53" s="26">
        <f t="shared" si="3"/>
        <v>11.2</v>
      </c>
      <c r="T53" s="290"/>
      <c r="X53" s="79"/>
      <c r="Y53" s="79"/>
      <c r="Z53" s="79"/>
    </row>
    <row r="54" spans="1:26" ht="28.5" customHeight="1">
      <c r="B54" s="277" t="s">
        <v>92</v>
      </c>
      <c r="C54" s="275" t="s">
        <v>70</v>
      </c>
      <c r="D54" s="269">
        <v>0</v>
      </c>
      <c r="E54" s="269">
        <v>0</v>
      </c>
      <c r="F54" s="20" t="s">
        <v>112</v>
      </c>
      <c r="G54" s="61">
        <v>0</v>
      </c>
      <c r="H54" s="62">
        <v>0</v>
      </c>
      <c r="I54" s="62">
        <v>14</v>
      </c>
      <c r="J54" s="62">
        <v>12</v>
      </c>
      <c r="K54" s="62">
        <v>0</v>
      </c>
      <c r="L54" s="62">
        <v>0</v>
      </c>
      <c r="M54" s="62">
        <v>0</v>
      </c>
      <c r="N54" s="62">
        <v>0</v>
      </c>
      <c r="O54" s="62">
        <v>0</v>
      </c>
      <c r="P54" s="62">
        <v>0</v>
      </c>
      <c r="Q54" s="62">
        <v>0</v>
      </c>
      <c r="R54" s="62">
        <v>0</v>
      </c>
      <c r="S54" s="26">
        <f t="shared" si="3"/>
        <v>26</v>
      </c>
      <c r="T54" s="289">
        <f>S55/S54</f>
        <v>7.6923076923076927E-2</v>
      </c>
    </row>
    <row r="55" spans="1:26" s="25" customFormat="1" ht="28.5" customHeight="1">
      <c r="A55" s="5"/>
      <c r="B55" s="278"/>
      <c r="C55" s="276"/>
      <c r="D55" s="270"/>
      <c r="E55" s="270"/>
      <c r="F55" s="23" t="s">
        <v>18</v>
      </c>
      <c r="G55" s="26"/>
      <c r="H55" s="27"/>
      <c r="I55" s="27">
        <v>0.9</v>
      </c>
      <c r="J55" s="27">
        <v>1.1000000000000001</v>
      </c>
      <c r="K55" s="27"/>
      <c r="L55" s="27"/>
      <c r="M55" s="26"/>
      <c r="N55" s="27"/>
      <c r="O55" s="27"/>
      <c r="P55" s="27"/>
      <c r="Q55" s="27"/>
      <c r="R55" s="27"/>
      <c r="S55" s="26">
        <f t="shared" si="3"/>
        <v>2</v>
      </c>
      <c r="T55" s="290"/>
      <c r="X55" s="79"/>
      <c r="Y55" s="79"/>
      <c r="Z55" s="79"/>
    </row>
    <row r="56" spans="1:26">
      <c r="R56" t="s">
        <v>128</v>
      </c>
      <c r="S56" s="110">
        <f>S5+S7+S9+S11+S13+S17+S19+S21+S23+S25+S27+S29+S31+S33+S35+S37+S39+S41+S43+S45+S47+S49+S51+S53+S55</f>
        <v>981.35900000000004</v>
      </c>
    </row>
    <row r="57" spans="1:26">
      <c r="H57" t="s">
        <v>129</v>
      </c>
      <c r="I57" t="s">
        <v>130</v>
      </c>
      <c r="J57" t="s">
        <v>131</v>
      </c>
      <c r="K57" t="s">
        <v>132</v>
      </c>
      <c r="L57" t="s">
        <v>133</v>
      </c>
    </row>
    <row r="58" spans="1:26">
      <c r="G58" s="48" t="s">
        <v>134</v>
      </c>
      <c r="H58" s="48">
        <v>121</v>
      </c>
      <c r="I58" s="48">
        <v>178</v>
      </c>
      <c r="J58" s="48">
        <v>249</v>
      </c>
      <c r="K58" s="77">
        <v>0.73299999999999998</v>
      </c>
      <c r="L58" s="76">
        <v>0.52</v>
      </c>
    </row>
    <row r="59" spans="1:26">
      <c r="G59" s="48"/>
      <c r="H59" s="48">
        <v>111</v>
      </c>
      <c r="I59" s="48">
        <v>243</v>
      </c>
      <c r="J59" s="48">
        <v>341</v>
      </c>
      <c r="K59" s="76">
        <v>0.6</v>
      </c>
      <c r="L59" s="76">
        <v>0.43</v>
      </c>
    </row>
    <row r="60" spans="1:26">
      <c r="G60" s="48"/>
      <c r="H60" s="48">
        <v>99</v>
      </c>
      <c r="I60" s="48">
        <v>104</v>
      </c>
      <c r="J60" s="48">
        <v>145</v>
      </c>
      <c r="K60" s="77">
        <v>0.96099999999999997</v>
      </c>
      <c r="L60" s="76">
        <v>0.72</v>
      </c>
    </row>
  </sheetData>
  <autoFilter ref="A3:Z3" xr:uid="{C259BDF6-2221-475B-90B4-59F633C2D0F5}">
    <filterColumn colId="4" showButton="0"/>
  </autoFilter>
  <mergeCells count="158">
    <mergeCell ref="A52:A53"/>
    <mergeCell ref="B54:B55"/>
    <mergeCell ref="C54:C55"/>
    <mergeCell ref="D54:D55"/>
    <mergeCell ref="E54:E55"/>
    <mergeCell ref="T54:T55"/>
    <mergeCell ref="A50:A51"/>
    <mergeCell ref="B52:B53"/>
    <mergeCell ref="C52:C53"/>
    <mergeCell ref="D52:D53"/>
    <mergeCell ref="E52:E53"/>
    <mergeCell ref="T52:T53"/>
    <mergeCell ref="A48:A49"/>
    <mergeCell ref="B50:B51"/>
    <mergeCell ref="C50:C51"/>
    <mergeCell ref="D50:D51"/>
    <mergeCell ref="E50:E51"/>
    <mergeCell ref="T50:T51"/>
    <mergeCell ref="A46:A47"/>
    <mergeCell ref="B48:B49"/>
    <mergeCell ref="C48:C49"/>
    <mergeCell ref="D48:D49"/>
    <mergeCell ref="E48:E49"/>
    <mergeCell ref="T48:T49"/>
    <mergeCell ref="A44:A45"/>
    <mergeCell ref="B46:B47"/>
    <mergeCell ref="C46:C47"/>
    <mergeCell ref="D46:D47"/>
    <mergeCell ref="E46:E47"/>
    <mergeCell ref="T46:T47"/>
    <mergeCell ref="A42:A43"/>
    <mergeCell ref="B44:B45"/>
    <mergeCell ref="C44:C45"/>
    <mergeCell ref="D44:D45"/>
    <mergeCell ref="E44:E45"/>
    <mergeCell ref="T44:T45"/>
    <mergeCell ref="A40:A41"/>
    <mergeCell ref="B42:B43"/>
    <mergeCell ref="C42:C43"/>
    <mergeCell ref="D42:D43"/>
    <mergeCell ref="E42:E43"/>
    <mergeCell ref="T42:T43"/>
    <mergeCell ref="A38:A39"/>
    <mergeCell ref="B40:B41"/>
    <mergeCell ref="C40:C41"/>
    <mergeCell ref="D40:D41"/>
    <mergeCell ref="E40:E41"/>
    <mergeCell ref="T40:T41"/>
    <mergeCell ref="A36:A37"/>
    <mergeCell ref="B38:B39"/>
    <mergeCell ref="C38:C39"/>
    <mergeCell ref="D38:D39"/>
    <mergeCell ref="E38:E39"/>
    <mergeCell ref="T38:T39"/>
    <mergeCell ref="A34:A35"/>
    <mergeCell ref="B36:B37"/>
    <mergeCell ref="C36:C37"/>
    <mergeCell ref="D36:D37"/>
    <mergeCell ref="E36:E37"/>
    <mergeCell ref="T36:T37"/>
    <mergeCell ref="A32:A33"/>
    <mergeCell ref="B34:B35"/>
    <mergeCell ref="C34:C35"/>
    <mergeCell ref="D34:D35"/>
    <mergeCell ref="E34:E35"/>
    <mergeCell ref="T34:T35"/>
    <mergeCell ref="A30:A31"/>
    <mergeCell ref="B32:B33"/>
    <mergeCell ref="C32:C33"/>
    <mergeCell ref="D32:D33"/>
    <mergeCell ref="E32:E33"/>
    <mergeCell ref="T32:T33"/>
    <mergeCell ref="A28:A29"/>
    <mergeCell ref="B30:B31"/>
    <mergeCell ref="C30:C31"/>
    <mergeCell ref="D30:D31"/>
    <mergeCell ref="E30:E31"/>
    <mergeCell ref="T30:T31"/>
    <mergeCell ref="A26:A27"/>
    <mergeCell ref="B28:B29"/>
    <mergeCell ref="C28:C29"/>
    <mergeCell ref="D28:D29"/>
    <mergeCell ref="E28:E29"/>
    <mergeCell ref="T28:T29"/>
    <mergeCell ref="A24:A25"/>
    <mergeCell ref="B26:B27"/>
    <mergeCell ref="C26:C27"/>
    <mergeCell ref="D26:D27"/>
    <mergeCell ref="E26:E27"/>
    <mergeCell ref="T26:T27"/>
    <mergeCell ref="A22:A23"/>
    <mergeCell ref="B24:B25"/>
    <mergeCell ref="C24:C25"/>
    <mergeCell ref="D24:D25"/>
    <mergeCell ref="E24:E25"/>
    <mergeCell ref="T24:T25"/>
    <mergeCell ref="A20:A21"/>
    <mergeCell ref="B22:B23"/>
    <mergeCell ref="C22:C23"/>
    <mergeCell ref="D22:D23"/>
    <mergeCell ref="E22:E23"/>
    <mergeCell ref="T22:T23"/>
    <mergeCell ref="A18:A19"/>
    <mergeCell ref="B20:B21"/>
    <mergeCell ref="C20:C21"/>
    <mergeCell ref="D20:D21"/>
    <mergeCell ref="E20:E21"/>
    <mergeCell ref="T20:T21"/>
    <mergeCell ref="A16:A17"/>
    <mergeCell ref="B18:B19"/>
    <mergeCell ref="C18:C19"/>
    <mergeCell ref="D18:D19"/>
    <mergeCell ref="E18:E19"/>
    <mergeCell ref="T18:T19"/>
    <mergeCell ref="A14:A15"/>
    <mergeCell ref="B16:B17"/>
    <mergeCell ref="C16:C17"/>
    <mergeCell ref="D16:D17"/>
    <mergeCell ref="E16:E17"/>
    <mergeCell ref="T16:T17"/>
    <mergeCell ref="B14:B15"/>
    <mergeCell ref="C14:C15"/>
    <mergeCell ref="D14:D15"/>
    <mergeCell ref="E14:E15"/>
    <mergeCell ref="T14:T15"/>
    <mergeCell ref="B12:B13"/>
    <mergeCell ref="C12:C13"/>
    <mergeCell ref="D12:D13"/>
    <mergeCell ref="E12:E13"/>
    <mergeCell ref="T12:T13"/>
    <mergeCell ref="A10:A11"/>
    <mergeCell ref="B10:B11"/>
    <mergeCell ref="C10:C11"/>
    <mergeCell ref="D10:D11"/>
    <mergeCell ref="E10:E11"/>
    <mergeCell ref="T10:T11"/>
    <mergeCell ref="A8:A9"/>
    <mergeCell ref="B8:B9"/>
    <mergeCell ref="C8:C9"/>
    <mergeCell ref="D8:D9"/>
    <mergeCell ref="E8:E9"/>
    <mergeCell ref="T8:T9"/>
    <mergeCell ref="A6:A7"/>
    <mergeCell ref="B6:B7"/>
    <mergeCell ref="C6:C7"/>
    <mergeCell ref="D6:D7"/>
    <mergeCell ref="E6:E7"/>
    <mergeCell ref="T6:T7"/>
    <mergeCell ref="D2:F2"/>
    <mergeCell ref="G2:R2"/>
    <mergeCell ref="S2:T2"/>
    <mergeCell ref="E3:F3"/>
    <mergeCell ref="A4:A5"/>
    <mergeCell ref="B4:B5"/>
    <mergeCell ref="C4:C5"/>
    <mergeCell ref="D4:D5"/>
    <mergeCell ref="E4:E5"/>
    <mergeCell ref="T4:T5"/>
  </mergeCells>
  <phoneticPr fontId="2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759E-B584-49D6-AA00-4B6C43F064F0}">
  <dimension ref="A2:Z56"/>
  <sheetViews>
    <sheetView workbookViewId="0">
      <pane ySplit="3" topLeftCell="A20" activePane="bottomLeft" state="frozen"/>
      <selection pane="bottomLeft" activeCell="A20" sqref="A20"/>
    </sheetView>
  </sheetViews>
  <sheetFormatPr defaultRowHeight="14.4"/>
  <cols>
    <col min="1" max="1" width="5.6640625" style="5" customWidth="1"/>
    <col min="2" max="2" width="20.33203125" bestFit="1" customWidth="1"/>
    <col min="3" max="3" width="6.44140625" bestFit="1" customWidth="1"/>
    <col min="4" max="5" width="9.6640625" customWidth="1"/>
    <col min="6" max="6" width="10.6640625" bestFit="1" customWidth="1"/>
    <col min="7" max="7" width="15.109375" customWidth="1"/>
    <col min="8" max="11" width="12.6640625" customWidth="1"/>
    <col min="12" max="18" width="12.6640625" hidden="1" customWidth="1"/>
    <col min="19" max="19" width="14.33203125" customWidth="1"/>
    <col min="20" max="20" width="20.6640625" customWidth="1"/>
    <col min="24" max="26" width="21" style="5" customWidth="1"/>
  </cols>
  <sheetData>
    <row r="2" spans="1:26"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6"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c r="X3" s="78" t="s">
        <v>124</v>
      </c>
      <c r="Y3" s="78" t="s">
        <v>125</v>
      </c>
      <c r="Z3" s="78" t="s">
        <v>126</v>
      </c>
    </row>
    <row r="4" spans="1:26" s="1" customFormat="1" ht="28.5" customHeight="1">
      <c r="A4" s="275">
        <v>1</v>
      </c>
      <c r="B4" s="277" t="s">
        <v>20</v>
      </c>
      <c r="C4" s="275" t="s">
        <v>21</v>
      </c>
      <c r="D4" s="269">
        <v>8</v>
      </c>
      <c r="E4" s="269">
        <v>1</v>
      </c>
      <c r="F4" s="31" t="s">
        <v>112</v>
      </c>
      <c r="G4" s="52">
        <v>0</v>
      </c>
      <c r="H4" s="53">
        <v>0</v>
      </c>
      <c r="I4" s="53">
        <v>140</v>
      </c>
      <c r="J4" s="53">
        <v>39</v>
      </c>
      <c r="K4" s="53">
        <v>0</v>
      </c>
      <c r="L4" s="53">
        <v>2</v>
      </c>
      <c r="M4" s="53">
        <v>0</v>
      </c>
      <c r="N4" s="53">
        <v>0</v>
      </c>
      <c r="O4" s="53">
        <v>0</v>
      </c>
      <c r="P4" s="53">
        <v>0</v>
      </c>
      <c r="Q4" s="53">
        <v>0</v>
      </c>
      <c r="R4" s="53">
        <v>34</v>
      </c>
      <c r="S4" s="27">
        <f t="shared" ref="S4:S32" si="0">SUM(G4:R4)</f>
        <v>215</v>
      </c>
      <c r="T4" s="273">
        <f>S5/S4</f>
        <v>0.36279069767441863</v>
      </c>
      <c r="V4" s="47">
        <f>AVERAGE(S4,S6,S8,S10,S12,S14,S16,S18,S20,S22)</f>
        <v>339.1</v>
      </c>
      <c r="X4" s="5">
        <v>91</v>
      </c>
      <c r="Y4" s="5">
        <v>5</v>
      </c>
      <c r="Z4" s="5">
        <v>1</v>
      </c>
    </row>
    <row r="5" spans="1:26" s="24" customFormat="1" ht="28.5" customHeight="1">
      <c r="A5" s="276"/>
      <c r="B5" s="278"/>
      <c r="C5" s="276"/>
      <c r="D5" s="270"/>
      <c r="E5" s="270"/>
      <c r="F5" s="23" t="s">
        <v>18</v>
      </c>
      <c r="G5" s="33">
        <v>0</v>
      </c>
      <c r="H5" s="34">
        <v>6</v>
      </c>
      <c r="I5" s="34">
        <v>30</v>
      </c>
      <c r="J5" s="34">
        <v>28</v>
      </c>
      <c r="K5" s="34">
        <v>8</v>
      </c>
      <c r="L5" s="34">
        <v>0</v>
      </c>
      <c r="M5" s="34">
        <v>1</v>
      </c>
      <c r="N5" s="34">
        <v>0</v>
      </c>
      <c r="O5" s="34">
        <v>0</v>
      </c>
      <c r="P5" s="34">
        <v>5</v>
      </c>
      <c r="Q5" s="34">
        <v>0</v>
      </c>
      <c r="R5" s="34">
        <v>0</v>
      </c>
      <c r="S5" s="27">
        <f t="shared" si="0"/>
        <v>78</v>
      </c>
      <c r="T5" s="274"/>
      <c r="V5" s="24">
        <f>AVERAGE(S5,S7,S9,S11,S13,S15,S17,S19,S21,S23)</f>
        <v>77.302500000000009</v>
      </c>
      <c r="X5" s="79"/>
      <c r="Y5" s="79"/>
      <c r="Z5" s="79"/>
    </row>
    <row r="6" spans="1:26" s="1" customFormat="1" ht="28.5" customHeight="1">
      <c r="A6" s="275">
        <v>2</v>
      </c>
      <c r="B6" s="277" t="s">
        <v>24</v>
      </c>
      <c r="C6" s="275" t="s">
        <v>21</v>
      </c>
      <c r="D6" s="269">
        <v>12</v>
      </c>
      <c r="E6" s="269">
        <v>1</v>
      </c>
      <c r="F6" s="20" t="s">
        <v>112</v>
      </c>
      <c r="G6" s="82">
        <v>0</v>
      </c>
      <c r="H6" s="83">
        <v>0</v>
      </c>
      <c r="I6" s="83">
        <v>22</v>
      </c>
      <c r="J6" s="83">
        <v>133</v>
      </c>
      <c r="K6" s="83">
        <v>0</v>
      </c>
      <c r="L6" s="83">
        <v>0</v>
      </c>
      <c r="M6" s="83">
        <v>0</v>
      </c>
      <c r="N6" s="83">
        <v>0</v>
      </c>
      <c r="O6" s="83">
        <v>0</v>
      </c>
      <c r="P6" s="83">
        <v>0</v>
      </c>
      <c r="Q6" s="83">
        <v>0</v>
      </c>
      <c r="R6" s="83">
        <v>20</v>
      </c>
      <c r="S6" s="27">
        <f t="shared" si="0"/>
        <v>175</v>
      </c>
      <c r="T6" s="273">
        <f>S7/S6</f>
        <v>0.34309142857142855</v>
      </c>
      <c r="V6" s="24">
        <f>V5/V4</f>
        <v>0.22796372751400767</v>
      </c>
      <c r="X6" s="5">
        <v>47</v>
      </c>
      <c r="Y6" s="5">
        <v>0</v>
      </c>
      <c r="Z6" s="5">
        <v>0</v>
      </c>
    </row>
    <row r="7" spans="1:26" s="24" customFormat="1" ht="28.5" customHeight="1">
      <c r="A7" s="276"/>
      <c r="B7" s="278"/>
      <c r="C7" s="276"/>
      <c r="D7" s="270"/>
      <c r="E7" s="270"/>
      <c r="F7" s="23" t="s">
        <v>18</v>
      </c>
      <c r="G7" s="80" t="s">
        <v>114</v>
      </c>
      <c r="H7" s="81" t="s">
        <v>114</v>
      </c>
      <c r="I7" s="81">
        <v>7</v>
      </c>
      <c r="J7" s="81">
        <v>50.5</v>
      </c>
      <c r="K7" s="81" t="s">
        <v>114</v>
      </c>
      <c r="L7" s="81" t="s">
        <v>114</v>
      </c>
      <c r="M7" s="81">
        <v>0.54100000000000004</v>
      </c>
      <c r="N7" s="81" t="s">
        <v>114</v>
      </c>
      <c r="O7" s="81" t="s">
        <v>114</v>
      </c>
      <c r="P7" s="81">
        <v>2</v>
      </c>
      <c r="Q7" s="81" t="s">
        <v>114</v>
      </c>
      <c r="R7" s="81" t="s">
        <v>114</v>
      </c>
      <c r="S7" s="67">
        <f t="shared" si="0"/>
        <v>60.040999999999997</v>
      </c>
      <c r="T7" s="274"/>
      <c r="X7" s="79"/>
      <c r="Y7" s="79"/>
      <c r="Z7" s="79"/>
    </row>
    <row r="8" spans="1:26" s="1" customFormat="1" ht="28.5" customHeight="1">
      <c r="A8" s="275">
        <v>3</v>
      </c>
      <c r="B8" s="277" t="s">
        <v>27</v>
      </c>
      <c r="C8" s="275" t="s">
        <v>21</v>
      </c>
      <c r="D8" s="269"/>
      <c r="E8" s="269">
        <v>0</v>
      </c>
      <c r="F8" s="20" t="s">
        <v>112</v>
      </c>
      <c r="G8" s="68">
        <v>0</v>
      </c>
      <c r="H8" s="69">
        <v>0</v>
      </c>
      <c r="I8" s="69">
        <v>17</v>
      </c>
      <c r="J8" s="69">
        <v>214</v>
      </c>
      <c r="K8" s="69">
        <v>0</v>
      </c>
      <c r="L8" s="69">
        <v>0</v>
      </c>
      <c r="M8" s="69">
        <v>0</v>
      </c>
      <c r="N8" s="69">
        <v>0</v>
      </c>
      <c r="O8" s="69">
        <v>0</v>
      </c>
      <c r="P8" s="69">
        <v>0</v>
      </c>
      <c r="Q8" s="69">
        <v>0</v>
      </c>
      <c r="R8" s="69">
        <v>0</v>
      </c>
      <c r="S8" s="27">
        <f t="shared" si="0"/>
        <v>231</v>
      </c>
      <c r="T8" s="273">
        <f>S9/S8</f>
        <v>0.19480519480519481</v>
      </c>
      <c r="V8" s="47">
        <f>S4+S6+S8+S10+S12+S14+S16+S18+S20+S22</f>
        <v>3391</v>
      </c>
      <c r="X8" s="5"/>
      <c r="Y8" s="5"/>
      <c r="Z8" s="5"/>
    </row>
    <row r="9" spans="1:26" s="1" customFormat="1" ht="28.5" customHeight="1">
      <c r="A9" s="276"/>
      <c r="B9" s="278"/>
      <c r="C9" s="276"/>
      <c r="D9" s="270"/>
      <c r="E9" s="270"/>
      <c r="F9" s="20" t="s">
        <v>18</v>
      </c>
      <c r="G9" s="70" t="s">
        <v>135</v>
      </c>
      <c r="H9" s="71" t="s">
        <v>135</v>
      </c>
      <c r="I9" s="71">
        <v>30</v>
      </c>
      <c r="J9" s="71">
        <v>15</v>
      </c>
      <c r="K9" s="71" t="s">
        <v>135</v>
      </c>
      <c r="L9" s="71" t="s">
        <v>135</v>
      </c>
      <c r="M9" s="71" t="s">
        <v>135</v>
      </c>
      <c r="N9" s="71" t="s">
        <v>135</v>
      </c>
      <c r="O9" s="71" t="s">
        <v>135</v>
      </c>
      <c r="P9" s="71" t="s">
        <v>135</v>
      </c>
      <c r="Q9" s="71" t="s">
        <v>135</v>
      </c>
      <c r="R9" s="71" t="s">
        <v>135</v>
      </c>
      <c r="S9" s="27">
        <f t="shared" si="0"/>
        <v>45</v>
      </c>
      <c r="T9" s="274"/>
      <c r="X9" s="5"/>
      <c r="Y9" s="5"/>
      <c r="Z9" s="5"/>
    </row>
    <row r="10" spans="1:26" s="1" customFormat="1" ht="28.5" customHeight="1">
      <c r="A10" s="275">
        <v>4</v>
      </c>
      <c r="B10" s="277" t="s">
        <v>30</v>
      </c>
      <c r="C10" s="275" t="s">
        <v>21</v>
      </c>
      <c r="D10" s="269"/>
      <c r="E10" s="269">
        <v>0</v>
      </c>
      <c r="F10" s="20" t="s">
        <v>112</v>
      </c>
      <c r="G10" s="52">
        <v>0</v>
      </c>
      <c r="H10" s="53">
        <v>0</v>
      </c>
      <c r="I10" s="53">
        <v>3</v>
      </c>
      <c r="J10" s="53">
        <v>112</v>
      </c>
      <c r="K10" s="53">
        <v>0</v>
      </c>
      <c r="L10" s="53">
        <v>1</v>
      </c>
      <c r="M10" s="53">
        <v>0</v>
      </c>
      <c r="N10" s="53">
        <v>0</v>
      </c>
      <c r="O10" s="53">
        <v>0</v>
      </c>
      <c r="P10" s="53">
        <v>0</v>
      </c>
      <c r="Q10" s="53">
        <v>0</v>
      </c>
      <c r="R10" s="53">
        <v>0</v>
      </c>
      <c r="S10" s="27">
        <f t="shared" si="0"/>
        <v>116</v>
      </c>
      <c r="T10" s="273">
        <f>S11/S10</f>
        <v>0.31960344827586207</v>
      </c>
      <c r="X10" s="5"/>
      <c r="Y10" s="5"/>
      <c r="Z10" s="5"/>
    </row>
    <row r="11" spans="1:26" s="24" customFormat="1" ht="28.5" customHeight="1">
      <c r="A11" s="276"/>
      <c r="B11" s="278"/>
      <c r="C11" s="276"/>
      <c r="D11" s="270"/>
      <c r="E11" s="270"/>
      <c r="F11" s="23" t="s">
        <v>18</v>
      </c>
      <c r="G11" s="33" t="s">
        <v>114</v>
      </c>
      <c r="H11" s="34" t="s">
        <v>114</v>
      </c>
      <c r="I11" s="88" t="s">
        <v>136</v>
      </c>
      <c r="J11" s="34">
        <v>37.073999999999998</v>
      </c>
      <c r="K11" s="34" t="s">
        <v>114</v>
      </c>
      <c r="L11" s="34" t="s">
        <v>114</v>
      </c>
      <c r="M11" s="34" t="s">
        <v>114</v>
      </c>
      <c r="N11" s="34" t="s">
        <v>114</v>
      </c>
      <c r="O11" s="34" t="s">
        <v>114</v>
      </c>
      <c r="P11" s="34" t="s">
        <v>114</v>
      </c>
      <c r="Q11" s="34" t="s">
        <v>114</v>
      </c>
      <c r="R11" s="34" t="s">
        <v>114</v>
      </c>
      <c r="S11" s="67">
        <f t="shared" si="0"/>
        <v>37.073999999999998</v>
      </c>
      <c r="T11" s="274"/>
      <c r="X11" s="79"/>
      <c r="Y11" s="79"/>
      <c r="Z11" s="79"/>
    </row>
    <row r="12" spans="1:26" s="1" customFormat="1" ht="28.5" customHeight="1">
      <c r="A12" s="113">
        <v>5</v>
      </c>
      <c r="B12" s="277" t="s">
        <v>33</v>
      </c>
      <c r="C12" s="275" t="s">
        <v>21</v>
      </c>
      <c r="D12" s="269">
        <v>5</v>
      </c>
      <c r="E12" s="269">
        <v>7</v>
      </c>
      <c r="F12" s="20" t="s">
        <v>112</v>
      </c>
      <c r="G12" s="72">
        <v>0</v>
      </c>
      <c r="H12" s="73">
        <v>0</v>
      </c>
      <c r="I12" s="73">
        <v>0</v>
      </c>
      <c r="J12" s="73">
        <v>347</v>
      </c>
      <c r="K12" s="73">
        <v>0</v>
      </c>
      <c r="L12" s="73">
        <v>0</v>
      </c>
      <c r="M12" s="72">
        <v>0</v>
      </c>
      <c r="N12" s="73">
        <v>0</v>
      </c>
      <c r="O12" s="73">
        <v>0</v>
      </c>
      <c r="P12" s="73">
        <v>0</v>
      </c>
      <c r="Q12" s="73">
        <v>0</v>
      </c>
      <c r="R12" s="73">
        <v>0</v>
      </c>
      <c r="S12" s="27">
        <f t="shared" si="0"/>
        <v>347</v>
      </c>
      <c r="T12" s="273">
        <f>S13/S12</f>
        <v>0.1239193083573487</v>
      </c>
      <c r="X12" s="5"/>
      <c r="Y12" s="5"/>
      <c r="Z12" s="5"/>
    </row>
    <row r="13" spans="1:26" s="24" customFormat="1" ht="28.5" customHeight="1">
      <c r="A13" s="275">
        <v>6</v>
      </c>
      <c r="B13" s="278"/>
      <c r="C13" s="276"/>
      <c r="D13" s="270"/>
      <c r="E13" s="270"/>
      <c r="F13" s="23" t="s">
        <v>18</v>
      </c>
      <c r="G13" s="26"/>
      <c r="H13" s="27"/>
      <c r="I13" s="27">
        <v>19</v>
      </c>
      <c r="J13" s="27">
        <v>24</v>
      </c>
      <c r="K13" s="27"/>
      <c r="L13" s="27"/>
      <c r="M13" s="27"/>
      <c r="N13" s="27"/>
      <c r="O13" s="27"/>
      <c r="P13" s="27"/>
      <c r="Q13" s="27"/>
      <c r="R13" s="27"/>
      <c r="S13" s="67">
        <f t="shared" si="0"/>
        <v>43</v>
      </c>
      <c r="T13" s="274"/>
      <c r="X13" s="79"/>
      <c r="Y13" s="79"/>
      <c r="Z13" s="79"/>
    </row>
    <row r="14" spans="1:26" s="1" customFormat="1" ht="28.5" customHeight="1">
      <c r="A14" s="276"/>
      <c r="B14" s="277" t="s">
        <v>36</v>
      </c>
      <c r="C14" s="275" t="s">
        <v>21</v>
      </c>
      <c r="D14" s="269"/>
      <c r="E14" s="269"/>
      <c r="F14" s="20" t="s">
        <v>112</v>
      </c>
      <c r="G14" s="52">
        <v>0</v>
      </c>
      <c r="H14" s="53">
        <v>0</v>
      </c>
      <c r="I14" s="53">
        <v>48</v>
      </c>
      <c r="J14" s="53">
        <v>142</v>
      </c>
      <c r="K14" s="53">
        <v>0</v>
      </c>
      <c r="L14" s="53">
        <v>0</v>
      </c>
      <c r="M14" s="53">
        <v>0</v>
      </c>
      <c r="N14" s="53">
        <v>0</v>
      </c>
      <c r="O14" s="53">
        <v>0</v>
      </c>
      <c r="P14" s="53">
        <v>0</v>
      </c>
      <c r="Q14" s="53">
        <v>0</v>
      </c>
      <c r="R14" s="53">
        <v>0</v>
      </c>
      <c r="S14" s="27">
        <f t="shared" si="0"/>
        <v>190</v>
      </c>
      <c r="T14" s="273">
        <f>S15/S14</f>
        <v>0.20899999999999999</v>
      </c>
      <c r="X14" s="5"/>
      <c r="Y14" s="5"/>
      <c r="Z14" s="5"/>
    </row>
    <row r="15" spans="1:26" s="24" customFormat="1" ht="28.5" customHeight="1">
      <c r="A15" s="275">
        <v>7</v>
      </c>
      <c r="B15" s="278"/>
      <c r="C15" s="276"/>
      <c r="D15" s="270"/>
      <c r="E15" s="270"/>
      <c r="F15" s="23" t="s">
        <v>18</v>
      </c>
      <c r="G15" s="33" t="s">
        <v>114</v>
      </c>
      <c r="H15" s="34" t="s">
        <v>114</v>
      </c>
      <c r="I15" s="40">
        <v>10.5</v>
      </c>
      <c r="J15" s="40">
        <v>29.21</v>
      </c>
      <c r="K15" s="34" t="s">
        <v>114</v>
      </c>
      <c r="L15" s="34" t="s">
        <v>114</v>
      </c>
      <c r="M15" s="34" t="s">
        <v>114</v>
      </c>
      <c r="N15" s="34" t="s">
        <v>114</v>
      </c>
      <c r="O15" s="34" t="s">
        <v>114</v>
      </c>
      <c r="P15" s="34" t="s">
        <v>114</v>
      </c>
      <c r="Q15" s="34" t="s">
        <v>114</v>
      </c>
      <c r="R15" s="34" t="s">
        <v>114</v>
      </c>
      <c r="S15" s="67">
        <f t="shared" si="0"/>
        <v>39.71</v>
      </c>
      <c r="T15" s="274"/>
      <c r="X15" s="79"/>
      <c r="Y15" s="79"/>
      <c r="Z15" s="79"/>
    </row>
    <row r="16" spans="1:26" s="1" customFormat="1" ht="28.5" customHeight="1">
      <c r="A16" s="276"/>
      <c r="B16" s="277" t="s">
        <v>39</v>
      </c>
      <c r="C16" s="275" t="s">
        <v>21</v>
      </c>
      <c r="D16" s="269">
        <v>0</v>
      </c>
      <c r="E16" s="269">
        <v>6</v>
      </c>
      <c r="F16" s="20" t="s">
        <v>112</v>
      </c>
      <c r="G16" s="72">
        <v>0</v>
      </c>
      <c r="H16" s="73">
        <v>4</v>
      </c>
      <c r="I16" s="73">
        <v>10</v>
      </c>
      <c r="J16" s="73">
        <v>422</v>
      </c>
      <c r="K16" s="73">
        <v>0</v>
      </c>
      <c r="L16" s="73">
        <v>8</v>
      </c>
      <c r="M16" s="72">
        <v>0</v>
      </c>
      <c r="N16" s="73">
        <v>0</v>
      </c>
      <c r="O16" s="73">
        <v>0</v>
      </c>
      <c r="P16" s="73">
        <v>0</v>
      </c>
      <c r="Q16" s="73">
        <v>0</v>
      </c>
      <c r="R16" s="73">
        <v>20</v>
      </c>
      <c r="S16" s="27">
        <f t="shared" si="0"/>
        <v>464</v>
      </c>
      <c r="T16" s="289">
        <f>S17/S16</f>
        <v>0.21551724137931033</v>
      </c>
      <c r="X16" s="5"/>
      <c r="Y16" s="5"/>
      <c r="Z16" s="5"/>
    </row>
    <row r="17" spans="1:26" s="24" customFormat="1" ht="28.5" customHeight="1">
      <c r="A17" s="275">
        <v>8</v>
      </c>
      <c r="B17" s="278"/>
      <c r="C17" s="276"/>
      <c r="D17" s="270"/>
      <c r="E17" s="270"/>
      <c r="F17" s="23" t="s">
        <v>18</v>
      </c>
      <c r="G17" s="26"/>
      <c r="H17" s="27">
        <v>19</v>
      </c>
      <c r="I17" s="27">
        <v>5</v>
      </c>
      <c r="J17" s="27">
        <v>74</v>
      </c>
      <c r="K17" s="27"/>
      <c r="L17" s="27">
        <v>2</v>
      </c>
      <c r="M17" s="27"/>
      <c r="N17" s="27"/>
      <c r="O17" s="27"/>
      <c r="P17" s="27"/>
      <c r="Q17" s="27"/>
      <c r="R17" s="27"/>
      <c r="S17" s="27">
        <f t="shared" si="0"/>
        <v>100</v>
      </c>
      <c r="T17" s="290"/>
      <c r="X17" s="79"/>
      <c r="Y17" s="79"/>
      <c r="Z17" s="79"/>
    </row>
    <row r="18" spans="1:26" s="1" customFormat="1" ht="28.5" customHeight="1">
      <c r="A18" s="276"/>
      <c r="B18" s="277" t="s">
        <v>42</v>
      </c>
      <c r="C18" s="275" t="s">
        <v>21</v>
      </c>
      <c r="D18" s="269">
        <v>0</v>
      </c>
      <c r="E18" s="269">
        <v>9</v>
      </c>
      <c r="F18" s="20" t="s">
        <v>112</v>
      </c>
      <c r="G18" s="74">
        <v>0</v>
      </c>
      <c r="H18" s="75">
        <v>0</v>
      </c>
      <c r="I18" s="75">
        <v>48</v>
      </c>
      <c r="J18" s="75">
        <v>633</v>
      </c>
      <c r="K18" s="75">
        <v>0</v>
      </c>
      <c r="L18" s="75">
        <v>9</v>
      </c>
      <c r="M18" s="75">
        <v>0</v>
      </c>
      <c r="N18" s="75">
        <v>0</v>
      </c>
      <c r="O18" s="75">
        <v>0</v>
      </c>
      <c r="P18" s="75">
        <v>0</v>
      </c>
      <c r="Q18" s="75">
        <v>0</v>
      </c>
      <c r="R18" s="75">
        <v>20</v>
      </c>
      <c r="S18" s="27">
        <f t="shared" si="0"/>
        <v>710</v>
      </c>
      <c r="T18" s="289">
        <f>S19/S18</f>
        <v>0.21126760563380281</v>
      </c>
      <c r="X18" s="5"/>
      <c r="Y18" s="5"/>
      <c r="Z18" s="5"/>
    </row>
    <row r="19" spans="1:26" s="24" customFormat="1" ht="28.5" customHeight="1">
      <c r="A19" s="275">
        <v>9</v>
      </c>
      <c r="B19" s="278"/>
      <c r="C19" s="276"/>
      <c r="D19" s="270"/>
      <c r="E19" s="270"/>
      <c r="F19" s="23" t="s">
        <v>18</v>
      </c>
      <c r="G19" s="60"/>
      <c r="H19" s="59"/>
      <c r="I19" s="59">
        <v>50</v>
      </c>
      <c r="J19" s="59">
        <v>93</v>
      </c>
      <c r="K19" s="58"/>
      <c r="L19" s="58">
        <v>5</v>
      </c>
      <c r="M19" s="58"/>
      <c r="N19" s="58"/>
      <c r="O19" s="58"/>
      <c r="P19" s="58"/>
      <c r="Q19" s="58"/>
      <c r="R19" s="59">
        <v>2</v>
      </c>
      <c r="S19" s="27">
        <f t="shared" si="0"/>
        <v>150</v>
      </c>
      <c r="T19" s="290"/>
      <c r="X19" s="79"/>
      <c r="Y19" s="79"/>
      <c r="Z19" s="79"/>
    </row>
    <row r="20" spans="1:26" s="1" customFormat="1" ht="28.5" customHeight="1">
      <c r="A20" s="276"/>
      <c r="B20" s="277" t="s">
        <v>45</v>
      </c>
      <c r="C20" s="275" t="s">
        <v>21</v>
      </c>
      <c r="D20" s="269">
        <v>0</v>
      </c>
      <c r="E20" s="269">
        <v>1</v>
      </c>
      <c r="F20" s="20" t="s">
        <v>112</v>
      </c>
      <c r="G20" s="74">
        <v>0</v>
      </c>
      <c r="H20" s="75">
        <v>0</v>
      </c>
      <c r="I20" s="75">
        <v>55</v>
      </c>
      <c r="J20" s="75">
        <v>618</v>
      </c>
      <c r="K20" s="75">
        <v>0</v>
      </c>
      <c r="L20" s="75">
        <v>0</v>
      </c>
      <c r="M20" s="75">
        <v>0</v>
      </c>
      <c r="N20" s="75">
        <v>0</v>
      </c>
      <c r="O20" s="75">
        <v>0</v>
      </c>
      <c r="P20" s="75">
        <v>0</v>
      </c>
      <c r="Q20" s="75">
        <v>0</v>
      </c>
      <c r="R20" s="75">
        <v>0</v>
      </c>
      <c r="S20" s="27">
        <f t="shared" si="0"/>
        <v>673</v>
      </c>
      <c r="T20" s="289">
        <f>S21/S20</f>
        <v>0.26300148588410105</v>
      </c>
      <c r="X20" s="5"/>
      <c r="Y20" s="5"/>
      <c r="Z20" s="5"/>
    </row>
    <row r="21" spans="1:26" s="24" customFormat="1" ht="28.5" customHeight="1">
      <c r="A21" s="275">
        <v>10</v>
      </c>
      <c r="B21" s="278"/>
      <c r="C21" s="276"/>
      <c r="D21" s="270"/>
      <c r="E21" s="270"/>
      <c r="F21" s="23" t="s">
        <v>18</v>
      </c>
      <c r="G21" s="60" t="s">
        <v>137</v>
      </c>
      <c r="H21" s="59" t="s">
        <v>137</v>
      </c>
      <c r="I21" s="59">
        <v>50</v>
      </c>
      <c r="J21" s="59">
        <v>120</v>
      </c>
      <c r="K21" s="59">
        <v>7</v>
      </c>
      <c r="L21" s="58" t="s">
        <v>137</v>
      </c>
      <c r="M21" s="58" t="s">
        <v>137</v>
      </c>
      <c r="N21" s="58" t="s">
        <v>137</v>
      </c>
      <c r="O21" s="58" t="s">
        <v>137</v>
      </c>
      <c r="P21" s="58" t="s">
        <v>137</v>
      </c>
      <c r="Q21" s="58" t="s">
        <v>137</v>
      </c>
      <c r="R21" s="58" t="s">
        <v>137</v>
      </c>
      <c r="S21" s="27">
        <f t="shared" si="0"/>
        <v>177</v>
      </c>
      <c r="T21" s="290"/>
      <c r="X21" s="79"/>
      <c r="Y21" s="79"/>
      <c r="Z21" s="79"/>
    </row>
    <row r="22" spans="1:26" s="1" customFormat="1" ht="28.5" customHeight="1">
      <c r="A22" s="276"/>
      <c r="B22" s="277" t="s">
        <v>48</v>
      </c>
      <c r="C22" s="275" t="s">
        <v>21</v>
      </c>
      <c r="D22" s="269"/>
      <c r="E22" s="269"/>
      <c r="F22" s="20" t="s">
        <v>112</v>
      </c>
      <c r="G22" s="52">
        <v>0</v>
      </c>
      <c r="H22" s="53">
        <v>0</v>
      </c>
      <c r="I22" s="86">
        <v>22</v>
      </c>
      <c r="J22" s="87">
        <v>167</v>
      </c>
      <c r="K22" s="53">
        <v>0</v>
      </c>
      <c r="L22" s="53">
        <v>4</v>
      </c>
      <c r="M22" s="53">
        <v>0</v>
      </c>
      <c r="N22" s="53">
        <v>0</v>
      </c>
      <c r="O22" s="53">
        <v>0</v>
      </c>
      <c r="P22" s="53">
        <v>0</v>
      </c>
      <c r="Q22" s="53">
        <v>0</v>
      </c>
      <c r="R22" s="53">
        <v>77</v>
      </c>
      <c r="S22" s="27">
        <f t="shared" si="0"/>
        <v>270</v>
      </c>
      <c r="T22" s="289">
        <f>S23/S22</f>
        <v>0.16</v>
      </c>
      <c r="X22" s="5">
        <v>33</v>
      </c>
      <c r="Y22" s="5">
        <v>17</v>
      </c>
      <c r="Z22" s="5">
        <v>22</v>
      </c>
    </row>
    <row r="23" spans="1:26" s="24" customFormat="1" ht="28.5" customHeight="1">
      <c r="A23" s="275">
        <v>11</v>
      </c>
      <c r="B23" s="278"/>
      <c r="C23" s="276"/>
      <c r="D23" s="270"/>
      <c r="E23" s="270"/>
      <c r="F23" s="23" t="s">
        <v>18</v>
      </c>
      <c r="G23" s="33" t="s">
        <v>114</v>
      </c>
      <c r="H23" s="40">
        <v>5</v>
      </c>
      <c r="I23" s="84" t="s">
        <v>114</v>
      </c>
      <c r="J23" s="85">
        <v>33.200000000000003</v>
      </c>
      <c r="K23" s="40">
        <v>5</v>
      </c>
      <c r="L23" s="34" t="s">
        <v>114</v>
      </c>
      <c r="M23" s="34" t="s">
        <v>114</v>
      </c>
      <c r="N23" s="34" t="s">
        <v>114</v>
      </c>
      <c r="O23" s="34" t="s">
        <v>114</v>
      </c>
      <c r="P23" s="34" t="s">
        <v>114</v>
      </c>
      <c r="Q23" s="34" t="s">
        <v>114</v>
      </c>
      <c r="R23" s="34" t="s">
        <v>114</v>
      </c>
      <c r="S23" s="27">
        <f t="shared" si="0"/>
        <v>43.2</v>
      </c>
      <c r="T23" s="290"/>
      <c r="X23" s="79"/>
      <c r="Y23" s="79"/>
      <c r="Z23" s="79"/>
    </row>
    <row r="24" spans="1:26" s="1" customFormat="1" ht="28.5" customHeight="1">
      <c r="A24" s="276"/>
      <c r="B24" s="277" t="s">
        <v>50</v>
      </c>
      <c r="C24" s="275" t="s">
        <v>51</v>
      </c>
      <c r="D24" s="269">
        <v>51</v>
      </c>
      <c r="E24" s="269">
        <v>4</v>
      </c>
      <c r="F24" s="20" t="s">
        <v>112</v>
      </c>
      <c r="G24" s="61"/>
      <c r="H24" s="62"/>
      <c r="I24" s="62">
        <v>4</v>
      </c>
      <c r="J24" s="62">
        <v>173</v>
      </c>
      <c r="K24" s="62"/>
      <c r="L24" s="62"/>
      <c r="M24" s="62"/>
      <c r="N24" s="62"/>
      <c r="O24" s="62"/>
      <c r="P24" s="62"/>
      <c r="Q24" s="62"/>
      <c r="R24" s="62"/>
      <c r="S24" s="27">
        <f t="shared" si="0"/>
        <v>177</v>
      </c>
      <c r="T24" s="289">
        <f>S25/S24</f>
        <v>0.23954802259887004</v>
      </c>
      <c r="U24" s="47">
        <f>AVERAGE(S24,S26,S28,S30,S32,S34)</f>
        <v>190.83333333333334</v>
      </c>
      <c r="X24" s="5"/>
      <c r="Y24" s="5"/>
      <c r="Z24" s="5"/>
    </row>
    <row r="25" spans="1:26" s="24" customFormat="1" ht="28.5" customHeight="1">
      <c r="A25" s="275">
        <v>12</v>
      </c>
      <c r="B25" s="278"/>
      <c r="C25" s="276"/>
      <c r="D25" s="270"/>
      <c r="E25" s="270"/>
      <c r="F25" s="23" t="s">
        <v>18</v>
      </c>
      <c r="G25" s="35"/>
      <c r="H25" s="27">
        <v>2.5</v>
      </c>
      <c r="I25" s="27">
        <v>9.4</v>
      </c>
      <c r="J25" s="27">
        <v>25.5</v>
      </c>
      <c r="K25" s="27"/>
      <c r="L25" s="27"/>
      <c r="M25" s="37">
        <v>1</v>
      </c>
      <c r="N25" s="27"/>
      <c r="O25" s="32">
        <v>4</v>
      </c>
      <c r="P25" s="27"/>
      <c r="Q25" s="27"/>
      <c r="R25" s="27"/>
      <c r="S25" s="27">
        <f t="shared" si="0"/>
        <v>42.4</v>
      </c>
      <c r="T25" s="290"/>
      <c r="U25" s="24">
        <f>AVERAGE(S25,S27,S29,S31,S33,S35)</f>
        <v>61.566666666666663</v>
      </c>
      <c r="X25" s="79"/>
      <c r="Y25" s="79"/>
      <c r="Z25" s="79"/>
    </row>
    <row r="26" spans="1:26" s="1" customFormat="1" ht="28.5" customHeight="1">
      <c r="A26" s="276"/>
      <c r="B26" s="277" t="s">
        <v>54</v>
      </c>
      <c r="C26" s="275" t="s">
        <v>51</v>
      </c>
      <c r="D26" s="269">
        <v>162</v>
      </c>
      <c r="E26" s="269">
        <v>6</v>
      </c>
      <c r="F26" s="20" t="s">
        <v>112</v>
      </c>
      <c r="G26" s="61"/>
      <c r="H26" s="62"/>
      <c r="I26" s="62">
        <v>16</v>
      </c>
      <c r="J26" s="62">
        <v>176</v>
      </c>
      <c r="K26" s="62"/>
      <c r="L26" s="62">
        <v>14</v>
      </c>
      <c r="M26" s="62"/>
      <c r="N26" s="62"/>
      <c r="O26" s="62"/>
      <c r="P26" s="62"/>
      <c r="Q26" s="62"/>
      <c r="R26" s="62"/>
      <c r="S26" s="27">
        <f t="shared" si="0"/>
        <v>206</v>
      </c>
      <c r="T26" s="289">
        <f>S27/S26</f>
        <v>0.41262135922330095</v>
      </c>
      <c r="U26" s="24">
        <f>U25/U24</f>
        <v>0.32262008733624453</v>
      </c>
      <c r="X26" s="5"/>
      <c r="Y26" s="5"/>
      <c r="Z26" s="5"/>
    </row>
    <row r="27" spans="1:26" s="24" customFormat="1" ht="28.5" customHeight="1">
      <c r="A27" s="269">
        <v>13</v>
      </c>
      <c r="B27" s="281"/>
      <c r="C27" s="276"/>
      <c r="D27" s="270"/>
      <c r="E27" s="270"/>
      <c r="F27" s="23" t="s">
        <v>18</v>
      </c>
      <c r="G27" s="35"/>
      <c r="H27" s="27">
        <v>8</v>
      </c>
      <c r="I27" s="27">
        <v>12</v>
      </c>
      <c r="J27" s="27">
        <v>62</v>
      </c>
      <c r="K27" s="27"/>
      <c r="L27" s="27">
        <v>3</v>
      </c>
      <c r="M27" s="37"/>
      <c r="N27" s="27"/>
      <c r="O27" s="32"/>
      <c r="P27" s="27"/>
      <c r="Q27" s="27"/>
      <c r="R27" s="27"/>
      <c r="S27" s="27">
        <f t="shared" si="0"/>
        <v>85</v>
      </c>
      <c r="T27" s="290"/>
      <c r="X27" s="79"/>
      <c r="Y27" s="79"/>
      <c r="Z27" s="79"/>
    </row>
    <row r="28" spans="1:26" s="1" customFormat="1" ht="28.5" customHeight="1">
      <c r="A28" s="270"/>
      <c r="B28" s="282" t="s">
        <v>57</v>
      </c>
      <c r="C28" s="275" t="s">
        <v>51</v>
      </c>
      <c r="D28" s="269">
        <v>172</v>
      </c>
      <c r="E28" s="269">
        <v>5</v>
      </c>
      <c r="F28" s="20" t="s">
        <v>112</v>
      </c>
      <c r="G28" s="52"/>
      <c r="H28" s="53"/>
      <c r="I28" s="53">
        <v>22</v>
      </c>
      <c r="J28" s="53">
        <v>137</v>
      </c>
      <c r="K28" s="53"/>
      <c r="L28" s="53"/>
      <c r="M28" s="53"/>
      <c r="N28" s="53"/>
      <c r="O28" s="53"/>
      <c r="P28" s="53"/>
      <c r="Q28" s="53"/>
      <c r="R28" s="53"/>
      <c r="S28" s="27">
        <f t="shared" si="0"/>
        <v>159</v>
      </c>
      <c r="T28" s="289">
        <f>S29/S28</f>
        <v>0.39622641509433965</v>
      </c>
      <c r="X28" s="5"/>
      <c r="Y28" s="5"/>
      <c r="Z28" s="5"/>
    </row>
    <row r="29" spans="1:26" s="24" customFormat="1" ht="28.5" customHeight="1">
      <c r="A29" s="275">
        <v>14</v>
      </c>
      <c r="B29" s="282"/>
      <c r="C29" s="276"/>
      <c r="D29" s="270"/>
      <c r="E29" s="270"/>
      <c r="F29" s="23" t="s">
        <v>18</v>
      </c>
      <c r="G29" s="33"/>
      <c r="H29" s="34"/>
      <c r="I29" s="34">
        <v>15</v>
      </c>
      <c r="J29" s="34">
        <v>48</v>
      </c>
      <c r="K29" s="34"/>
      <c r="L29" s="34"/>
      <c r="M29" s="34"/>
      <c r="N29" s="34"/>
      <c r="O29" s="34"/>
      <c r="P29" s="34"/>
      <c r="Q29" s="34"/>
      <c r="R29" s="34"/>
      <c r="S29" s="27">
        <f t="shared" si="0"/>
        <v>63</v>
      </c>
      <c r="T29" s="290"/>
      <c r="X29" s="79"/>
      <c r="Y29" s="79"/>
      <c r="Z29" s="79"/>
    </row>
    <row r="30" spans="1:26" s="1" customFormat="1" ht="28.5" customHeight="1">
      <c r="A30" s="276"/>
      <c r="B30" s="281" t="s">
        <v>60</v>
      </c>
      <c r="C30" s="275" t="s">
        <v>51</v>
      </c>
      <c r="D30" s="269">
        <v>299</v>
      </c>
      <c r="E30" s="269">
        <v>8</v>
      </c>
      <c r="F30" s="20" t="s">
        <v>112</v>
      </c>
      <c r="G30" s="52"/>
      <c r="H30" s="53"/>
      <c r="I30" s="53">
        <f>27+37</f>
        <v>64</v>
      </c>
      <c r="J30" s="53">
        <f>81+49</f>
        <v>130</v>
      </c>
      <c r="K30" s="53"/>
      <c r="L30" s="53"/>
      <c r="M30" s="53"/>
      <c r="N30" s="53"/>
      <c r="O30" s="53"/>
      <c r="P30" s="53"/>
      <c r="Q30" s="53"/>
      <c r="R30" s="53"/>
      <c r="S30" s="26">
        <f t="shared" si="0"/>
        <v>194</v>
      </c>
      <c r="T30" s="289">
        <f>S31/S30</f>
        <v>0.21134020618556701</v>
      </c>
      <c r="X30" s="5"/>
      <c r="Y30" s="5"/>
      <c r="Z30" s="5"/>
    </row>
    <row r="31" spans="1:26" s="25" customFormat="1" ht="28.5" customHeight="1">
      <c r="A31" s="275">
        <v>15</v>
      </c>
      <c r="B31" s="278"/>
      <c r="C31" s="276"/>
      <c r="D31" s="270"/>
      <c r="E31" s="270"/>
      <c r="F31" s="30" t="s">
        <v>18</v>
      </c>
      <c r="G31" s="43"/>
      <c r="H31" s="44">
        <v>4</v>
      </c>
      <c r="I31" s="44">
        <v>9</v>
      </c>
      <c r="J31" s="44">
        <v>28</v>
      </c>
      <c r="K31" s="44"/>
      <c r="L31" s="44"/>
      <c r="M31" s="44"/>
      <c r="N31" s="44"/>
      <c r="O31" s="44"/>
      <c r="P31" s="44"/>
      <c r="Q31" s="44"/>
      <c r="R31" s="44"/>
      <c r="S31" s="26">
        <f t="shared" si="0"/>
        <v>41</v>
      </c>
      <c r="T31" s="290"/>
      <c r="X31" s="79"/>
      <c r="Y31" s="79"/>
      <c r="Z31" s="79"/>
    </row>
    <row r="32" spans="1:26" ht="28.5" customHeight="1">
      <c r="A32" s="276"/>
      <c r="B32" s="277" t="s">
        <v>63</v>
      </c>
      <c r="C32" s="275" t="s">
        <v>51</v>
      </c>
      <c r="D32" s="269">
        <v>50</v>
      </c>
      <c r="E32" s="269">
        <v>10</v>
      </c>
      <c r="F32" s="20" t="s">
        <v>112</v>
      </c>
      <c r="G32" s="61"/>
      <c r="H32" s="62"/>
      <c r="I32" s="62">
        <v>55</v>
      </c>
      <c r="J32" s="62">
        <v>157</v>
      </c>
      <c r="K32" s="62"/>
      <c r="L32" s="62">
        <v>15</v>
      </c>
      <c r="M32" s="62"/>
      <c r="N32" s="62"/>
      <c r="O32" s="62"/>
      <c r="P32" s="62"/>
      <c r="Q32" s="62"/>
      <c r="R32" s="62"/>
      <c r="S32" s="26">
        <f t="shared" si="0"/>
        <v>227</v>
      </c>
      <c r="T32" s="289">
        <f>S33/S32</f>
        <v>0.25991189427312777</v>
      </c>
    </row>
    <row r="33" spans="1:26" s="25" customFormat="1" ht="28.5" customHeight="1">
      <c r="A33" s="275">
        <v>16</v>
      </c>
      <c r="B33" s="278"/>
      <c r="C33" s="276"/>
      <c r="D33" s="270"/>
      <c r="E33" s="270"/>
      <c r="F33" s="23" t="s">
        <v>18</v>
      </c>
      <c r="G33" s="26">
        <v>7</v>
      </c>
      <c r="H33" s="27">
        <v>5</v>
      </c>
      <c r="I33" s="27">
        <v>20</v>
      </c>
      <c r="J33" s="27">
        <v>25</v>
      </c>
      <c r="K33" s="27"/>
      <c r="L33" s="27">
        <v>2</v>
      </c>
      <c r="M33" s="26"/>
      <c r="N33" s="27"/>
      <c r="O33" s="27"/>
      <c r="P33" s="27"/>
      <c r="Q33" s="27"/>
      <c r="R33" s="27"/>
      <c r="S33" s="26">
        <f>SUM(G33:R33)</f>
        <v>59</v>
      </c>
      <c r="T33" s="290"/>
      <c r="X33" s="79"/>
      <c r="Y33" s="79"/>
      <c r="Z33" s="79"/>
    </row>
    <row r="34" spans="1:26" ht="28.5" customHeight="1">
      <c r="A34" s="276"/>
      <c r="B34" s="277" t="s">
        <v>66</v>
      </c>
      <c r="C34" s="275" t="s">
        <v>51</v>
      </c>
      <c r="D34" s="269"/>
      <c r="E34" s="269">
        <v>9</v>
      </c>
      <c r="F34" s="20" t="s">
        <v>112</v>
      </c>
      <c r="G34" s="61"/>
      <c r="H34" s="62">
        <v>17</v>
      </c>
      <c r="I34" s="62">
        <v>36</v>
      </c>
      <c r="J34" s="62">
        <v>108</v>
      </c>
      <c r="K34" s="62"/>
      <c r="L34" s="62">
        <v>21</v>
      </c>
      <c r="M34" s="62"/>
      <c r="N34" s="62"/>
      <c r="O34" s="62"/>
      <c r="P34" s="62"/>
      <c r="Q34" s="62"/>
      <c r="R34" s="62"/>
      <c r="S34" s="26">
        <f t="shared" ref="S34:S43" si="1">SUM(G34:R34)</f>
        <v>182</v>
      </c>
      <c r="T34" s="289">
        <f>S35/S34</f>
        <v>0.43406593406593408</v>
      </c>
    </row>
    <row r="35" spans="1:26" s="25" customFormat="1" ht="28.5" customHeight="1">
      <c r="A35" s="275">
        <v>17</v>
      </c>
      <c r="B35" s="278"/>
      <c r="C35" s="276"/>
      <c r="D35" s="270"/>
      <c r="E35" s="270"/>
      <c r="F35" s="23" t="s">
        <v>18</v>
      </c>
      <c r="G35" s="26"/>
      <c r="H35" s="27">
        <v>20</v>
      </c>
      <c r="I35" s="27">
        <v>40</v>
      </c>
      <c r="J35" s="27">
        <v>15</v>
      </c>
      <c r="K35" s="27"/>
      <c r="L35" s="27">
        <v>4</v>
      </c>
      <c r="M35" s="26"/>
      <c r="N35" s="27"/>
      <c r="O35" s="27"/>
      <c r="P35" s="27"/>
      <c r="Q35" s="27"/>
      <c r="R35" s="27"/>
      <c r="S35" s="26">
        <f t="shared" si="1"/>
        <v>79</v>
      </c>
      <c r="T35" s="290"/>
      <c r="X35" s="79"/>
      <c r="Y35" s="79"/>
      <c r="Z35" s="79"/>
    </row>
    <row r="36" spans="1:26" ht="28.5" customHeight="1">
      <c r="A36" s="276"/>
      <c r="B36" s="277" t="s">
        <v>69</v>
      </c>
      <c r="C36" s="275" t="s">
        <v>70</v>
      </c>
      <c r="D36" s="269">
        <v>14</v>
      </c>
      <c r="E36" s="269">
        <v>4</v>
      </c>
      <c r="F36" s="20" t="s">
        <v>112</v>
      </c>
      <c r="G36" s="61">
        <v>0</v>
      </c>
      <c r="H36" s="62">
        <v>0</v>
      </c>
      <c r="I36" s="62">
        <v>17</v>
      </c>
      <c r="J36" s="62">
        <v>60</v>
      </c>
      <c r="K36" s="62">
        <v>0</v>
      </c>
      <c r="L36" s="62">
        <v>0</v>
      </c>
      <c r="M36" s="62">
        <v>0</v>
      </c>
      <c r="N36" s="62">
        <v>0</v>
      </c>
      <c r="O36" s="62">
        <v>0</v>
      </c>
      <c r="P36" s="62">
        <v>0</v>
      </c>
      <c r="Q36" s="62">
        <v>0</v>
      </c>
      <c r="R36" s="62">
        <v>6</v>
      </c>
      <c r="S36" s="26">
        <f t="shared" si="1"/>
        <v>83</v>
      </c>
      <c r="T36" s="289">
        <f>S37/S36</f>
        <v>0.20481927710843373</v>
      </c>
      <c r="U36" s="51">
        <f>AVERAGE(S36,S38,S40,S42,S44,S46,S48,S50,S52,S54)</f>
        <v>124.3</v>
      </c>
      <c r="V36" s="25">
        <f>U37/U36</f>
        <v>0.19238133547868058</v>
      </c>
    </row>
    <row r="37" spans="1:26" s="25" customFormat="1" ht="28.5" customHeight="1">
      <c r="A37" s="275">
        <v>18</v>
      </c>
      <c r="B37" s="278"/>
      <c r="C37" s="276"/>
      <c r="D37" s="270"/>
      <c r="E37" s="270"/>
      <c r="F37" s="23" t="s">
        <v>18</v>
      </c>
      <c r="G37" s="26"/>
      <c r="H37" s="27"/>
      <c r="I37" s="32">
        <v>5</v>
      </c>
      <c r="J37" s="27">
        <v>10</v>
      </c>
      <c r="K37" s="27"/>
      <c r="L37" s="27"/>
      <c r="M37" s="26"/>
      <c r="N37" s="27"/>
      <c r="O37" s="27"/>
      <c r="P37" s="27"/>
      <c r="Q37" s="27"/>
      <c r="R37" s="27">
        <v>2</v>
      </c>
      <c r="S37" s="26">
        <f t="shared" si="1"/>
        <v>17</v>
      </c>
      <c r="T37" s="290"/>
      <c r="U37" s="25">
        <f>AVERAGE(S37,S39,S41,S43,S45,S47,S49,S51,S53,S55)</f>
        <v>23.912999999999997</v>
      </c>
      <c r="X37" s="79"/>
      <c r="Y37" s="79"/>
      <c r="Z37" s="79"/>
    </row>
    <row r="38" spans="1:26" ht="28.5" customHeight="1">
      <c r="A38" s="276"/>
      <c r="B38" s="277" t="s">
        <v>73</v>
      </c>
      <c r="C38" s="275" t="s">
        <v>70</v>
      </c>
      <c r="D38" s="269">
        <v>6</v>
      </c>
      <c r="E38" s="269">
        <v>0</v>
      </c>
      <c r="F38" s="20" t="s">
        <v>112</v>
      </c>
      <c r="G38" s="61">
        <v>0</v>
      </c>
      <c r="H38" s="62">
        <v>0</v>
      </c>
      <c r="I38" s="62">
        <v>40</v>
      </c>
      <c r="J38" s="62">
        <v>116</v>
      </c>
      <c r="K38" s="62">
        <v>1</v>
      </c>
      <c r="L38" s="62">
        <v>7</v>
      </c>
      <c r="M38" s="62">
        <v>0</v>
      </c>
      <c r="N38" s="62">
        <v>0</v>
      </c>
      <c r="O38" s="62">
        <v>0</v>
      </c>
      <c r="P38" s="62">
        <v>0</v>
      </c>
      <c r="Q38" s="62">
        <v>0</v>
      </c>
      <c r="R38" s="62">
        <v>40</v>
      </c>
      <c r="S38" s="26">
        <f t="shared" si="1"/>
        <v>204</v>
      </c>
      <c r="T38" s="289">
        <f>S39/S38</f>
        <v>0.14362745098039217</v>
      </c>
    </row>
    <row r="39" spans="1:26" s="25" customFormat="1" ht="28.5" customHeight="1">
      <c r="A39" s="275">
        <v>19</v>
      </c>
      <c r="B39" s="278"/>
      <c r="C39" s="276"/>
      <c r="D39" s="270"/>
      <c r="E39" s="270"/>
      <c r="F39" s="23" t="s">
        <v>18</v>
      </c>
      <c r="G39" s="26"/>
      <c r="H39" s="27"/>
      <c r="I39" s="32">
        <v>3.3</v>
      </c>
      <c r="J39" s="32">
        <v>26</v>
      </c>
      <c r="K39" s="27"/>
      <c r="L39" s="27"/>
      <c r="M39" s="26"/>
      <c r="N39" s="27"/>
      <c r="O39" s="27"/>
      <c r="P39" s="27"/>
      <c r="Q39" s="27"/>
      <c r="R39" s="27"/>
      <c r="S39" s="26">
        <f t="shared" si="1"/>
        <v>29.3</v>
      </c>
      <c r="T39" s="290"/>
      <c r="X39" s="79"/>
      <c r="Y39" s="79"/>
      <c r="Z39" s="79"/>
    </row>
    <row r="40" spans="1:26" ht="28.5" customHeight="1">
      <c r="A40" s="276"/>
      <c r="B40" s="277" t="s">
        <v>76</v>
      </c>
      <c r="C40" s="275" t="s">
        <v>70</v>
      </c>
      <c r="D40" s="269">
        <v>26</v>
      </c>
      <c r="E40" s="269">
        <v>5</v>
      </c>
      <c r="F40" s="20" t="s">
        <v>112</v>
      </c>
      <c r="G40" s="61">
        <v>0</v>
      </c>
      <c r="H40" s="62">
        <v>0</v>
      </c>
      <c r="I40" s="62">
        <v>18</v>
      </c>
      <c r="J40" s="62">
        <v>163</v>
      </c>
      <c r="K40" s="62">
        <v>0</v>
      </c>
      <c r="L40" s="62">
        <v>0</v>
      </c>
      <c r="M40" s="62">
        <v>0</v>
      </c>
      <c r="N40" s="62">
        <v>0</v>
      </c>
      <c r="O40" s="62">
        <v>0</v>
      </c>
      <c r="P40" s="62">
        <v>0</v>
      </c>
      <c r="Q40" s="62">
        <v>0</v>
      </c>
      <c r="R40" s="62">
        <v>0</v>
      </c>
      <c r="S40" s="26">
        <f t="shared" si="1"/>
        <v>181</v>
      </c>
      <c r="T40" s="289">
        <f>S41/S40</f>
        <v>9.3535911602209948E-2</v>
      </c>
    </row>
    <row r="41" spans="1:26" s="25" customFormat="1" ht="28.5" customHeight="1">
      <c r="A41" s="275">
        <v>20</v>
      </c>
      <c r="B41" s="278"/>
      <c r="C41" s="276"/>
      <c r="D41" s="270"/>
      <c r="E41" s="270"/>
      <c r="F41" s="23" t="s">
        <v>18</v>
      </c>
      <c r="G41" s="26"/>
      <c r="H41" s="67">
        <v>1.43</v>
      </c>
      <c r="I41" s="32">
        <v>5</v>
      </c>
      <c r="J41" s="32">
        <v>10.5</v>
      </c>
      <c r="K41" s="27"/>
      <c r="L41" s="27"/>
      <c r="M41" s="26"/>
      <c r="N41" s="27"/>
      <c r="O41" s="27"/>
      <c r="P41" s="27"/>
      <c r="Q41" s="27"/>
      <c r="R41" s="27"/>
      <c r="S41" s="26">
        <f t="shared" si="1"/>
        <v>16.93</v>
      </c>
      <c r="T41" s="290"/>
      <c r="X41" s="79"/>
      <c r="Y41" s="79"/>
      <c r="Z41" s="79"/>
    </row>
    <row r="42" spans="1:26" ht="28.5" customHeight="1">
      <c r="A42" s="276"/>
      <c r="B42" s="277" t="s">
        <v>79</v>
      </c>
      <c r="C42" s="275" t="s">
        <v>70</v>
      </c>
      <c r="D42" s="269">
        <v>49</v>
      </c>
      <c r="E42" s="269">
        <v>3</v>
      </c>
      <c r="F42" s="20" t="s">
        <v>112</v>
      </c>
      <c r="G42" s="61">
        <v>4</v>
      </c>
      <c r="H42" s="62">
        <v>0</v>
      </c>
      <c r="I42" s="62">
        <v>11</v>
      </c>
      <c r="J42" s="62">
        <v>46</v>
      </c>
      <c r="K42" s="62">
        <v>0</v>
      </c>
      <c r="L42" s="62">
        <v>1</v>
      </c>
      <c r="M42" s="62">
        <v>0</v>
      </c>
      <c r="N42" s="62">
        <v>0</v>
      </c>
      <c r="O42" s="62">
        <v>0</v>
      </c>
      <c r="P42" s="62">
        <v>0</v>
      </c>
      <c r="Q42" s="62">
        <v>0</v>
      </c>
      <c r="R42" s="62">
        <v>51</v>
      </c>
      <c r="S42" s="26">
        <f t="shared" si="1"/>
        <v>113</v>
      </c>
      <c r="T42" s="289">
        <f>S43/S42</f>
        <v>0.16814159292035399</v>
      </c>
    </row>
    <row r="43" spans="1:26" s="25" customFormat="1" ht="28.5" customHeight="1">
      <c r="A43" s="275">
        <v>21</v>
      </c>
      <c r="B43" s="278"/>
      <c r="C43" s="276"/>
      <c r="D43" s="270"/>
      <c r="E43" s="270"/>
      <c r="F43" s="23" t="s">
        <v>18</v>
      </c>
      <c r="G43" s="26">
        <v>5</v>
      </c>
      <c r="H43" s="27"/>
      <c r="I43" s="27">
        <v>6</v>
      </c>
      <c r="J43" s="27">
        <v>8</v>
      </c>
      <c r="K43" s="27"/>
      <c r="L43" s="27"/>
      <c r="M43" s="26"/>
      <c r="N43" s="27"/>
      <c r="O43" s="27"/>
      <c r="P43" s="27"/>
      <c r="Q43" s="27"/>
      <c r="R43" s="27"/>
      <c r="S43" s="26">
        <f t="shared" si="1"/>
        <v>19</v>
      </c>
      <c r="T43" s="290"/>
      <c r="X43" s="79"/>
      <c r="Y43" s="79"/>
      <c r="Z43" s="79"/>
    </row>
    <row r="44" spans="1:26" ht="28.5" customHeight="1">
      <c r="A44" s="276"/>
      <c r="B44" s="277" t="s">
        <v>82</v>
      </c>
      <c r="C44" s="275" t="s">
        <v>70</v>
      </c>
      <c r="D44" s="269">
        <v>11</v>
      </c>
      <c r="E44" s="269">
        <v>14</v>
      </c>
      <c r="F44" s="20" t="s">
        <v>112</v>
      </c>
      <c r="G44" s="61">
        <v>16</v>
      </c>
      <c r="H44" s="62">
        <v>0</v>
      </c>
      <c r="I44" s="62">
        <v>28</v>
      </c>
      <c r="J44" s="62">
        <v>145</v>
      </c>
      <c r="K44" s="62">
        <v>2</v>
      </c>
      <c r="L44" s="62">
        <v>1</v>
      </c>
      <c r="M44" s="62">
        <v>5</v>
      </c>
      <c r="N44" s="62">
        <v>0</v>
      </c>
      <c r="O44" s="62">
        <v>10</v>
      </c>
      <c r="P44" s="62">
        <v>0</v>
      </c>
      <c r="Q44" s="62">
        <v>0</v>
      </c>
      <c r="R44" s="62">
        <v>0</v>
      </c>
      <c r="S44" s="26">
        <f t="shared" ref="S44:S55" si="2">SUM(G44:R44)</f>
        <v>207</v>
      </c>
      <c r="T44" s="289">
        <v>70</v>
      </c>
    </row>
    <row r="45" spans="1:26" s="25" customFormat="1" ht="28.5" customHeight="1">
      <c r="A45" s="275">
        <v>22</v>
      </c>
      <c r="B45" s="278"/>
      <c r="C45" s="276"/>
      <c r="D45" s="270"/>
      <c r="E45" s="270"/>
      <c r="F45" s="23" t="s">
        <v>18</v>
      </c>
      <c r="G45" s="26">
        <v>10</v>
      </c>
      <c r="H45" s="27"/>
      <c r="I45" s="27">
        <v>5</v>
      </c>
      <c r="J45" s="27">
        <v>23</v>
      </c>
      <c r="K45" s="27"/>
      <c r="L45" s="27"/>
      <c r="M45" s="26">
        <v>2</v>
      </c>
      <c r="N45" s="27"/>
      <c r="O45" s="27">
        <v>30</v>
      </c>
      <c r="P45" s="27"/>
      <c r="Q45" s="27"/>
      <c r="R45" s="27">
        <v>10</v>
      </c>
      <c r="S45" s="26">
        <f t="shared" si="2"/>
        <v>80</v>
      </c>
      <c r="T45" s="290"/>
      <c r="X45" s="79"/>
      <c r="Y45" s="79"/>
      <c r="Z45" s="79"/>
    </row>
    <row r="46" spans="1:26" ht="28.5" customHeight="1">
      <c r="A46" s="276"/>
      <c r="B46" s="277" t="s">
        <v>85</v>
      </c>
      <c r="C46" s="275" t="s">
        <v>70</v>
      </c>
      <c r="D46" s="269">
        <v>34</v>
      </c>
      <c r="E46" s="269">
        <v>11</v>
      </c>
      <c r="F46" s="20" t="s">
        <v>112</v>
      </c>
      <c r="G46" s="61">
        <v>0</v>
      </c>
      <c r="H46" s="62">
        <v>10</v>
      </c>
      <c r="I46" s="62">
        <v>9</v>
      </c>
      <c r="J46" s="62">
        <v>25</v>
      </c>
      <c r="K46" s="62">
        <v>3</v>
      </c>
      <c r="L46" s="62">
        <v>0</v>
      </c>
      <c r="M46" s="62">
        <v>0</v>
      </c>
      <c r="N46" s="62">
        <v>0</v>
      </c>
      <c r="O46" s="62">
        <v>0</v>
      </c>
      <c r="P46" s="62">
        <v>0</v>
      </c>
      <c r="Q46" s="62">
        <v>0</v>
      </c>
      <c r="R46" s="62">
        <v>0</v>
      </c>
      <c r="S46" s="26">
        <f t="shared" si="2"/>
        <v>47</v>
      </c>
      <c r="T46" s="289">
        <f>S47/S46</f>
        <v>0.21170212765957444</v>
      </c>
    </row>
    <row r="47" spans="1:26" s="25" customFormat="1" ht="28.5" customHeight="1">
      <c r="A47" s="275">
        <v>23</v>
      </c>
      <c r="B47" s="278"/>
      <c r="C47" s="276"/>
      <c r="D47" s="270"/>
      <c r="E47" s="270"/>
      <c r="F47" s="23" t="s">
        <v>18</v>
      </c>
      <c r="G47" s="26"/>
      <c r="H47" s="27">
        <v>1.5</v>
      </c>
      <c r="I47" s="32">
        <v>2.7</v>
      </c>
      <c r="J47" s="32">
        <v>5</v>
      </c>
      <c r="K47" s="27">
        <v>0.75</v>
      </c>
      <c r="L47" s="27"/>
      <c r="M47" s="26"/>
      <c r="N47" s="27"/>
      <c r="O47" s="27"/>
      <c r="P47" s="27"/>
      <c r="Q47" s="27"/>
      <c r="R47" s="27"/>
      <c r="S47" s="26">
        <f t="shared" si="2"/>
        <v>9.9499999999999993</v>
      </c>
      <c r="T47" s="290"/>
      <c r="X47" s="79"/>
      <c r="Y47" s="79"/>
      <c r="Z47" s="79"/>
    </row>
    <row r="48" spans="1:26" ht="29.25" customHeight="1">
      <c r="A48" s="276"/>
      <c r="B48" s="277" t="s">
        <v>86</v>
      </c>
      <c r="C48" s="275" t="s">
        <v>70</v>
      </c>
      <c r="D48" s="269">
        <v>14</v>
      </c>
      <c r="E48" s="269">
        <v>5</v>
      </c>
      <c r="F48" s="20" t="s">
        <v>112</v>
      </c>
      <c r="G48" s="61">
        <v>0</v>
      </c>
      <c r="H48" s="62">
        <v>0</v>
      </c>
      <c r="I48" s="62">
        <v>6</v>
      </c>
      <c r="J48" s="62">
        <v>32</v>
      </c>
      <c r="K48" s="62">
        <v>0</v>
      </c>
      <c r="L48" s="62">
        <v>12</v>
      </c>
      <c r="M48" s="62">
        <v>0</v>
      </c>
      <c r="N48" s="62">
        <v>0</v>
      </c>
      <c r="O48" s="62">
        <v>0</v>
      </c>
      <c r="P48" s="62">
        <v>0</v>
      </c>
      <c r="Q48" s="62">
        <v>0</v>
      </c>
      <c r="R48" s="62">
        <v>40</v>
      </c>
      <c r="S48" s="26">
        <f t="shared" si="2"/>
        <v>90</v>
      </c>
      <c r="T48" s="289">
        <f>S49/S48</f>
        <v>0.25444444444444442</v>
      </c>
    </row>
    <row r="49" spans="1:26" s="25" customFormat="1" ht="28.5" customHeight="1">
      <c r="A49" s="275">
        <v>24</v>
      </c>
      <c r="B49" s="278"/>
      <c r="C49" s="276"/>
      <c r="D49" s="270"/>
      <c r="E49" s="270"/>
      <c r="F49" s="23" t="s">
        <v>18</v>
      </c>
      <c r="G49" s="26"/>
      <c r="H49" s="27"/>
      <c r="I49" s="32"/>
      <c r="J49" s="32">
        <v>22</v>
      </c>
      <c r="K49" s="27"/>
      <c r="L49" s="27"/>
      <c r="M49" s="26">
        <v>0.9</v>
      </c>
      <c r="N49" s="27"/>
      <c r="O49" s="27"/>
      <c r="P49" s="27"/>
      <c r="Q49" s="27"/>
      <c r="R49" s="27"/>
      <c r="S49" s="26">
        <f t="shared" si="2"/>
        <v>22.9</v>
      </c>
      <c r="T49" s="290"/>
      <c r="X49" s="79"/>
      <c r="Y49" s="79"/>
      <c r="Z49" s="79"/>
    </row>
    <row r="50" spans="1:26" ht="28.5" customHeight="1">
      <c r="A50" s="276"/>
      <c r="B50" s="277" t="s">
        <v>88</v>
      </c>
      <c r="C50" s="275" t="s">
        <v>70</v>
      </c>
      <c r="D50" s="269">
        <v>0</v>
      </c>
      <c r="E50" s="269">
        <v>0</v>
      </c>
      <c r="F50" s="20" t="s">
        <v>112</v>
      </c>
      <c r="G50" s="61">
        <v>0</v>
      </c>
      <c r="H50" s="62">
        <v>8</v>
      </c>
      <c r="I50" s="62">
        <v>0</v>
      </c>
      <c r="J50" s="62">
        <v>110</v>
      </c>
      <c r="K50" s="62">
        <v>0</v>
      </c>
      <c r="L50" s="62">
        <v>0</v>
      </c>
      <c r="M50" s="62">
        <v>0</v>
      </c>
      <c r="N50" s="62">
        <v>0</v>
      </c>
      <c r="O50" s="62">
        <v>0</v>
      </c>
      <c r="P50" s="62">
        <v>0</v>
      </c>
      <c r="Q50" s="62">
        <v>0</v>
      </c>
      <c r="R50" s="62">
        <v>0</v>
      </c>
      <c r="S50" s="26">
        <f t="shared" si="2"/>
        <v>118</v>
      </c>
      <c r="T50" s="289">
        <f>S51/S50</f>
        <v>0.10169491525423729</v>
      </c>
    </row>
    <row r="51" spans="1:26" s="25" customFormat="1" ht="28.5" customHeight="1">
      <c r="A51" s="275">
        <v>25</v>
      </c>
      <c r="B51" s="278"/>
      <c r="C51" s="276"/>
      <c r="D51" s="270"/>
      <c r="E51" s="270"/>
      <c r="F51" s="23" t="s">
        <v>18</v>
      </c>
      <c r="G51" s="26">
        <v>0</v>
      </c>
      <c r="H51" s="27">
        <v>0</v>
      </c>
      <c r="I51" s="27">
        <v>0</v>
      </c>
      <c r="J51" s="27">
        <v>12</v>
      </c>
      <c r="K51" s="27">
        <v>0</v>
      </c>
      <c r="L51" s="27">
        <v>0</v>
      </c>
      <c r="M51" s="26">
        <v>0</v>
      </c>
      <c r="N51" s="27">
        <v>0</v>
      </c>
      <c r="O51" s="27">
        <v>0</v>
      </c>
      <c r="P51" s="27">
        <v>0</v>
      </c>
      <c r="Q51" s="27">
        <v>0</v>
      </c>
      <c r="R51" s="27">
        <v>0</v>
      </c>
      <c r="S51" s="26">
        <f t="shared" si="2"/>
        <v>12</v>
      </c>
      <c r="T51" s="290"/>
      <c r="X51" s="79"/>
      <c r="Y51" s="79"/>
      <c r="Z51" s="79"/>
    </row>
    <row r="52" spans="1:26" ht="28.5" customHeight="1">
      <c r="A52" s="276"/>
      <c r="B52" s="277" t="s">
        <v>90</v>
      </c>
      <c r="C52" s="275" t="s">
        <v>70</v>
      </c>
      <c r="D52" s="269">
        <v>23</v>
      </c>
      <c r="E52" s="269">
        <v>0</v>
      </c>
      <c r="F52" s="20" t="s">
        <v>112</v>
      </c>
      <c r="G52" s="61">
        <v>0</v>
      </c>
      <c r="H52" s="62">
        <v>0</v>
      </c>
      <c r="I52" s="62">
        <v>35</v>
      </c>
      <c r="J52" s="62">
        <v>65</v>
      </c>
      <c r="K52" s="62">
        <v>0</v>
      </c>
      <c r="L52" s="62">
        <v>0</v>
      </c>
      <c r="M52" s="62">
        <v>0</v>
      </c>
      <c r="N52" s="62">
        <v>0</v>
      </c>
      <c r="O52" s="62">
        <v>0</v>
      </c>
      <c r="P52" s="62">
        <v>0</v>
      </c>
      <c r="Q52" s="62">
        <v>0</v>
      </c>
      <c r="R52" s="62">
        <v>0</v>
      </c>
      <c r="S52" s="26">
        <f t="shared" si="2"/>
        <v>100</v>
      </c>
      <c r="T52" s="289">
        <f>S53/S52</f>
        <v>0.13699999999999998</v>
      </c>
    </row>
    <row r="53" spans="1:26" s="25" customFormat="1" ht="28.5" customHeight="1">
      <c r="A53" s="275">
        <v>26</v>
      </c>
      <c r="B53" s="278"/>
      <c r="C53" s="276"/>
      <c r="D53" s="270"/>
      <c r="E53" s="270"/>
      <c r="F53" s="23" t="s">
        <v>18</v>
      </c>
      <c r="G53" s="26"/>
      <c r="H53" s="27"/>
      <c r="I53" s="32">
        <v>3</v>
      </c>
      <c r="J53" s="32">
        <v>9.5</v>
      </c>
      <c r="K53" s="32"/>
      <c r="L53" s="32"/>
      <c r="M53" s="37">
        <v>1.2</v>
      </c>
      <c r="N53" s="32"/>
      <c r="O53" s="27"/>
      <c r="P53" s="27"/>
      <c r="Q53" s="27"/>
      <c r="R53" s="27"/>
      <c r="S53" s="26">
        <f t="shared" si="2"/>
        <v>13.7</v>
      </c>
      <c r="T53" s="290"/>
      <c r="X53" s="79"/>
      <c r="Y53" s="79"/>
      <c r="Z53" s="79"/>
    </row>
    <row r="54" spans="1:26" ht="28.5" customHeight="1">
      <c r="A54" s="276"/>
      <c r="B54" s="277" t="s">
        <v>92</v>
      </c>
      <c r="C54" s="275" t="s">
        <v>70</v>
      </c>
      <c r="D54" s="269">
        <v>31</v>
      </c>
      <c r="E54" s="269">
        <v>2</v>
      </c>
      <c r="F54" s="20" t="s">
        <v>112</v>
      </c>
      <c r="G54" s="61">
        <v>0</v>
      </c>
      <c r="H54" s="62">
        <v>0</v>
      </c>
      <c r="I54" s="62">
        <v>35</v>
      </c>
      <c r="J54" s="62">
        <v>61</v>
      </c>
      <c r="K54" s="62">
        <v>0</v>
      </c>
      <c r="L54" s="62">
        <v>0</v>
      </c>
      <c r="M54" s="62">
        <v>0</v>
      </c>
      <c r="N54" s="62">
        <v>0</v>
      </c>
      <c r="O54" s="62">
        <v>0</v>
      </c>
      <c r="P54" s="62">
        <v>0</v>
      </c>
      <c r="Q54" s="62">
        <v>0</v>
      </c>
      <c r="R54" s="62">
        <v>4</v>
      </c>
      <c r="S54" s="26">
        <f t="shared" si="2"/>
        <v>100</v>
      </c>
      <c r="T54" s="289">
        <f>S55/S54</f>
        <v>0.18350000000000002</v>
      </c>
    </row>
    <row r="55" spans="1:26" s="25" customFormat="1" ht="28.5" customHeight="1">
      <c r="A55" s="5"/>
      <c r="B55" s="278"/>
      <c r="C55" s="276"/>
      <c r="D55" s="270"/>
      <c r="E55" s="270"/>
      <c r="F55" s="23" t="s">
        <v>18</v>
      </c>
      <c r="G55" s="26"/>
      <c r="H55" s="27"/>
      <c r="I55" s="32">
        <v>5.45</v>
      </c>
      <c r="J55" s="32">
        <v>12.9</v>
      </c>
      <c r="K55" s="27"/>
      <c r="L55" s="27"/>
      <c r="M55" s="26"/>
      <c r="N55" s="27"/>
      <c r="O55" s="27"/>
      <c r="P55" s="27"/>
      <c r="Q55" s="27"/>
      <c r="R55" s="27" t="s">
        <v>136</v>
      </c>
      <c r="S55" s="26">
        <f t="shared" si="2"/>
        <v>18.350000000000001</v>
      </c>
      <c r="T55" s="290"/>
      <c r="X55" s="79"/>
      <c r="Y55" s="79"/>
      <c r="Z55" s="79"/>
    </row>
    <row r="56" spans="1:26">
      <c r="R56" t="s">
        <v>128</v>
      </c>
      <c r="S56" s="110">
        <f>S5+S7+S9+S11+S13+S15+S17+S19+S21+S23+S25+S27+S29+S31+S33+S35+S37+S39+S41+S43+S45+S47+S49+S51+S53+S55</f>
        <v>1381.5550000000003</v>
      </c>
    </row>
  </sheetData>
  <autoFilter ref="A3:Z56" xr:uid="{C259BDF6-2221-475B-90B4-59F633C2D0F5}">
    <filterColumn colId="4" showButton="0"/>
  </autoFilter>
  <mergeCells count="159">
    <mergeCell ref="A53:A54"/>
    <mergeCell ref="B54:B55"/>
    <mergeCell ref="C54:C55"/>
    <mergeCell ref="D54:D55"/>
    <mergeCell ref="E54:E55"/>
    <mergeCell ref="T54:T55"/>
    <mergeCell ref="A51:A52"/>
    <mergeCell ref="B52:B53"/>
    <mergeCell ref="C52:C53"/>
    <mergeCell ref="D52:D53"/>
    <mergeCell ref="E52:E53"/>
    <mergeCell ref="T52:T53"/>
    <mergeCell ref="A49:A50"/>
    <mergeCell ref="B50:B51"/>
    <mergeCell ref="C50:C51"/>
    <mergeCell ref="D50:D51"/>
    <mergeCell ref="E50:E51"/>
    <mergeCell ref="T50:T51"/>
    <mergeCell ref="A47:A48"/>
    <mergeCell ref="B48:B49"/>
    <mergeCell ref="C48:C49"/>
    <mergeCell ref="D48:D49"/>
    <mergeCell ref="E48:E49"/>
    <mergeCell ref="T48:T49"/>
    <mergeCell ref="A45:A46"/>
    <mergeCell ref="B46:B47"/>
    <mergeCell ref="C46:C47"/>
    <mergeCell ref="D46:D47"/>
    <mergeCell ref="E46:E47"/>
    <mergeCell ref="T46:T47"/>
    <mergeCell ref="A43:A44"/>
    <mergeCell ref="B44:B45"/>
    <mergeCell ref="C44:C45"/>
    <mergeCell ref="D44:D45"/>
    <mergeCell ref="E44:E45"/>
    <mergeCell ref="T44:T45"/>
    <mergeCell ref="A41:A42"/>
    <mergeCell ref="B42:B43"/>
    <mergeCell ref="C42:C43"/>
    <mergeCell ref="D42:D43"/>
    <mergeCell ref="E42:E43"/>
    <mergeCell ref="T42:T43"/>
    <mergeCell ref="A39:A40"/>
    <mergeCell ref="B40:B41"/>
    <mergeCell ref="C40:C41"/>
    <mergeCell ref="D40:D41"/>
    <mergeCell ref="E40:E41"/>
    <mergeCell ref="T40:T41"/>
    <mergeCell ref="A37:A38"/>
    <mergeCell ref="B38:B39"/>
    <mergeCell ref="C38:C39"/>
    <mergeCell ref="D38:D39"/>
    <mergeCell ref="E38:E39"/>
    <mergeCell ref="T38:T39"/>
    <mergeCell ref="A35:A36"/>
    <mergeCell ref="B36:B37"/>
    <mergeCell ref="C36:C37"/>
    <mergeCell ref="D36:D37"/>
    <mergeCell ref="E36:E37"/>
    <mergeCell ref="T36:T37"/>
    <mergeCell ref="A33:A34"/>
    <mergeCell ref="B34:B35"/>
    <mergeCell ref="C34:C35"/>
    <mergeCell ref="D34:D35"/>
    <mergeCell ref="E34:E35"/>
    <mergeCell ref="T34:T35"/>
    <mergeCell ref="A31:A32"/>
    <mergeCell ref="B32:B33"/>
    <mergeCell ref="C32:C33"/>
    <mergeCell ref="D32:D33"/>
    <mergeCell ref="E32:E33"/>
    <mergeCell ref="T32:T33"/>
    <mergeCell ref="A29:A30"/>
    <mergeCell ref="B30:B31"/>
    <mergeCell ref="C30:C31"/>
    <mergeCell ref="D30:D31"/>
    <mergeCell ref="E30:E31"/>
    <mergeCell ref="T30:T31"/>
    <mergeCell ref="A27:A28"/>
    <mergeCell ref="B28:B29"/>
    <mergeCell ref="C28:C29"/>
    <mergeCell ref="D28:D29"/>
    <mergeCell ref="E28:E29"/>
    <mergeCell ref="T28:T29"/>
    <mergeCell ref="A25:A26"/>
    <mergeCell ref="B26:B27"/>
    <mergeCell ref="C26:C27"/>
    <mergeCell ref="D26:D27"/>
    <mergeCell ref="E26:E27"/>
    <mergeCell ref="T26:T27"/>
    <mergeCell ref="A23:A24"/>
    <mergeCell ref="B24:B25"/>
    <mergeCell ref="C24:C25"/>
    <mergeCell ref="D24:D25"/>
    <mergeCell ref="E24:E25"/>
    <mergeCell ref="T24:T25"/>
    <mergeCell ref="A21:A22"/>
    <mergeCell ref="B22:B23"/>
    <mergeCell ref="C22:C23"/>
    <mergeCell ref="D22:D23"/>
    <mergeCell ref="E22:E23"/>
    <mergeCell ref="T22:T23"/>
    <mergeCell ref="A19:A20"/>
    <mergeCell ref="B20:B21"/>
    <mergeCell ref="C20:C21"/>
    <mergeCell ref="D20:D21"/>
    <mergeCell ref="E20:E21"/>
    <mergeCell ref="T20:T21"/>
    <mergeCell ref="A17:A18"/>
    <mergeCell ref="B18:B19"/>
    <mergeCell ref="C18:C19"/>
    <mergeCell ref="D18:D19"/>
    <mergeCell ref="E18:E19"/>
    <mergeCell ref="T18:T19"/>
    <mergeCell ref="A15:A16"/>
    <mergeCell ref="B16:B17"/>
    <mergeCell ref="C16:C17"/>
    <mergeCell ref="D16:D17"/>
    <mergeCell ref="E16:E17"/>
    <mergeCell ref="T16:T17"/>
    <mergeCell ref="A13:A14"/>
    <mergeCell ref="B14:B15"/>
    <mergeCell ref="C14:C15"/>
    <mergeCell ref="D14:D15"/>
    <mergeCell ref="E14:E15"/>
    <mergeCell ref="T14:T15"/>
    <mergeCell ref="B12:B13"/>
    <mergeCell ref="C12:C13"/>
    <mergeCell ref="D12:D13"/>
    <mergeCell ref="E12:E13"/>
    <mergeCell ref="T12:T13"/>
    <mergeCell ref="A10:A11"/>
    <mergeCell ref="B10:B11"/>
    <mergeCell ref="C10:C11"/>
    <mergeCell ref="D10:D11"/>
    <mergeCell ref="E10:E11"/>
    <mergeCell ref="T10:T11"/>
    <mergeCell ref="A8:A9"/>
    <mergeCell ref="B8:B9"/>
    <mergeCell ref="C8:C9"/>
    <mergeCell ref="D8:D9"/>
    <mergeCell ref="E8:E9"/>
    <mergeCell ref="T8:T9"/>
    <mergeCell ref="A6:A7"/>
    <mergeCell ref="B6:B7"/>
    <mergeCell ref="C6:C7"/>
    <mergeCell ref="D6:D7"/>
    <mergeCell ref="E6:E7"/>
    <mergeCell ref="T6:T7"/>
    <mergeCell ref="D2:F2"/>
    <mergeCell ref="G2:R2"/>
    <mergeCell ref="S2:T2"/>
    <mergeCell ref="E3:F3"/>
    <mergeCell ref="A4:A5"/>
    <mergeCell ref="B4:B5"/>
    <mergeCell ref="C4:C5"/>
    <mergeCell ref="D4:D5"/>
    <mergeCell ref="E4:E5"/>
    <mergeCell ref="T4:T5"/>
  </mergeCells>
  <phoneticPr fontId="25"/>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8DE75-38D6-45BA-8A2F-0CB1994BB3E3}">
  <dimension ref="A2:Z56"/>
  <sheetViews>
    <sheetView workbookViewId="0">
      <pane ySplit="3" topLeftCell="A20" activePane="bottomLeft" state="frozen"/>
      <selection pane="bottomLeft" activeCell="A20" sqref="A20"/>
    </sheetView>
  </sheetViews>
  <sheetFormatPr defaultRowHeight="14.4"/>
  <cols>
    <col min="1" max="1" width="5.6640625" style="5" customWidth="1"/>
    <col min="2" max="2" width="20.33203125" bestFit="1" customWidth="1"/>
    <col min="3" max="3" width="6.44140625" bestFit="1" customWidth="1"/>
    <col min="4" max="5" width="9.6640625" customWidth="1"/>
    <col min="6" max="6" width="10.6640625" bestFit="1" customWidth="1"/>
    <col min="7" max="7" width="15.109375" customWidth="1"/>
    <col min="8" max="18" width="12.6640625" customWidth="1"/>
    <col min="19" max="19" width="14.33203125" customWidth="1"/>
    <col min="20" max="20" width="20.6640625" customWidth="1"/>
    <col min="24" max="26" width="21" style="5" customWidth="1"/>
  </cols>
  <sheetData>
    <row r="2" spans="1:26"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6"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c r="X3" s="78" t="s">
        <v>124</v>
      </c>
      <c r="Y3" s="78" t="s">
        <v>125</v>
      </c>
      <c r="Z3" s="78" t="s">
        <v>126</v>
      </c>
    </row>
    <row r="4" spans="1:26" s="1" customFormat="1" ht="28.5" customHeight="1">
      <c r="A4" s="275">
        <v>1</v>
      </c>
      <c r="B4" s="277" t="s">
        <v>20</v>
      </c>
      <c r="C4" s="275" t="s">
        <v>21</v>
      </c>
      <c r="D4" s="269"/>
      <c r="E4" s="269"/>
      <c r="F4" s="31" t="s">
        <v>112</v>
      </c>
      <c r="G4" s="52">
        <v>0</v>
      </c>
      <c r="H4" s="53">
        <v>5</v>
      </c>
      <c r="I4" s="53">
        <v>119</v>
      </c>
      <c r="J4" s="53">
        <v>32</v>
      </c>
      <c r="K4" s="53">
        <v>0</v>
      </c>
      <c r="L4" s="53">
        <v>4</v>
      </c>
      <c r="M4" s="53">
        <v>0</v>
      </c>
      <c r="N4" s="53">
        <v>0</v>
      </c>
      <c r="O4" s="53">
        <v>0</v>
      </c>
      <c r="P4" s="53">
        <v>0</v>
      </c>
      <c r="Q4" s="53">
        <v>0</v>
      </c>
      <c r="R4" s="53">
        <v>39</v>
      </c>
      <c r="S4" s="27">
        <f t="shared" ref="S4:S32" si="0">SUM(G4:R4)</f>
        <v>199</v>
      </c>
      <c r="T4" s="273">
        <f>S5/S4</f>
        <v>0.57788944723618085</v>
      </c>
      <c r="V4" s="47">
        <f>AVERAGE(S4,S6,S8,S10,S12,S14,S16,S18,S20,S22)</f>
        <v>227.6</v>
      </c>
      <c r="X4" s="5">
        <v>91</v>
      </c>
      <c r="Y4" s="5">
        <v>5</v>
      </c>
      <c r="Z4" s="5">
        <v>1</v>
      </c>
    </row>
    <row r="5" spans="1:26" s="24" customFormat="1" ht="28.5" customHeight="1">
      <c r="A5" s="276"/>
      <c r="B5" s="278"/>
      <c r="C5" s="276"/>
      <c r="D5" s="270"/>
      <c r="E5" s="270"/>
      <c r="F5" s="23" t="s">
        <v>18</v>
      </c>
      <c r="G5" s="33">
        <v>0</v>
      </c>
      <c r="H5" s="34">
        <v>18</v>
      </c>
      <c r="I5" s="34">
        <v>30</v>
      </c>
      <c r="J5" s="34">
        <v>52</v>
      </c>
      <c r="K5" s="34">
        <v>8</v>
      </c>
      <c r="L5" s="34">
        <v>0</v>
      </c>
      <c r="M5" s="34">
        <v>2</v>
      </c>
      <c r="N5" s="34">
        <v>0</v>
      </c>
      <c r="O5" s="34">
        <v>0</v>
      </c>
      <c r="P5" s="34">
        <v>5</v>
      </c>
      <c r="Q5" s="34">
        <v>0</v>
      </c>
      <c r="R5" s="34">
        <v>0</v>
      </c>
      <c r="S5" s="27">
        <f t="shared" si="0"/>
        <v>115</v>
      </c>
      <c r="T5" s="274"/>
      <c r="V5" s="24">
        <f>AVERAGE(S5,S7,S9,S11,S13,S15,S17,S19,S21,S23)</f>
        <v>74.792100000000005</v>
      </c>
      <c r="X5" s="79"/>
      <c r="Y5" s="79"/>
      <c r="Z5" s="79"/>
    </row>
    <row r="6" spans="1:26" s="1" customFormat="1" ht="28.5" customHeight="1">
      <c r="A6" s="275">
        <v>2</v>
      </c>
      <c r="B6" s="277" t="s">
        <v>24</v>
      </c>
      <c r="C6" s="275" t="s">
        <v>21</v>
      </c>
      <c r="D6" s="269"/>
      <c r="E6" s="269"/>
      <c r="F6" s="20" t="s">
        <v>112</v>
      </c>
      <c r="G6" s="92">
        <v>0</v>
      </c>
      <c r="H6" s="93">
        <v>0</v>
      </c>
      <c r="I6" s="93">
        <v>3</v>
      </c>
      <c r="J6" s="93">
        <v>223</v>
      </c>
      <c r="K6" s="93">
        <v>0</v>
      </c>
      <c r="L6" s="93">
        <v>0</v>
      </c>
      <c r="M6" s="93">
        <v>0</v>
      </c>
      <c r="N6" s="93">
        <v>0</v>
      </c>
      <c r="O6" s="93">
        <v>0</v>
      </c>
      <c r="P6" s="93">
        <v>0</v>
      </c>
      <c r="Q6" s="93">
        <v>0</v>
      </c>
      <c r="R6" s="93">
        <v>78</v>
      </c>
      <c r="S6" s="27">
        <f t="shared" si="0"/>
        <v>304</v>
      </c>
      <c r="T6" s="273">
        <f>S7/S6</f>
        <v>0.19381907894736841</v>
      </c>
      <c r="V6" s="24">
        <f>V5/V4</f>
        <v>0.32861203866432342</v>
      </c>
      <c r="X6" s="5">
        <v>47</v>
      </c>
      <c r="Y6" s="5">
        <v>0</v>
      </c>
      <c r="Z6" s="5">
        <v>0</v>
      </c>
    </row>
    <row r="7" spans="1:26" s="24" customFormat="1" ht="28.5" customHeight="1">
      <c r="A7" s="276"/>
      <c r="B7" s="278"/>
      <c r="C7" s="276"/>
      <c r="D7" s="270"/>
      <c r="E7" s="270"/>
      <c r="F7" s="23" t="s">
        <v>18</v>
      </c>
      <c r="G7" s="89" t="s">
        <v>114</v>
      </c>
      <c r="H7" s="90">
        <v>8</v>
      </c>
      <c r="I7" s="90">
        <v>12</v>
      </c>
      <c r="J7" s="90">
        <v>35</v>
      </c>
      <c r="K7" s="90" t="s">
        <v>114</v>
      </c>
      <c r="L7" s="90" t="s">
        <v>114</v>
      </c>
      <c r="M7" s="90">
        <v>0.92100000000000004</v>
      </c>
      <c r="N7" s="91"/>
      <c r="O7" s="89" t="s">
        <v>114</v>
      </c>
      <c r="P7" s="90">
        <v>3</v>
      </c>
      <c r="Q7" s="90" t="s">
        <v>114</v>
      </c>
      <c r="R7" s="90" t="s">
        <v>114</v>
      </c>
      <c r="S7" s="67">
        <f t="shared" si="0"/>
        <v>58.920999999999999</v>
      </c>
      <c r="T7" s="274"/>
      <c r="X7" s="79"/>
      <c r="Y7" s="79"/>
      <c r="Z7" s="79"/>
    </row>
    <row r="8" spans="1:26" s="1" customFormat="1" ht="28.5" customHeight="1">
      <c r="A8" s="275">
        <v>3</v>
      </c>
      <c r="B8" s="277" t="s">
        <v>27</v>
      </c>
      <c r="C8" s="275" t="s">
        <v>21</v>
      </c>
      <c r="D8" s="269"/>
      <c r="E8" s="269"/>
      <c r="F8" s="20" t="s">
        <v>112</v>
      </c>
      <c r="G8" s="52">
        <v>0</v>
      </c>
      <c r="H8" s="53">
        <v>0</v>
      </c>
      <c r="I8" s="53">
        <v>60</v>
      </c>
      <c r="J8" s="53">
        <v>114</v>
      </c>
      <c r="K8" s="53">
        <v>0</v>
      </c>
      <c r="L8" s="53">
        <v>0</v>
      </c>
      <c r="M8" s="53">
        <v>0</v>
      </c>
      <c r="N8" s="53">
        <v>0</v>
      </c>
      <c r="O8" s="53">
        <v>0</v>
      </c>
      <c r="P8" s="53">
        <v>0</v>
      </c>
      <c r="Q8" s="53">
        <v>0</v>
      </c>
      <c r="R8" s="53">
        <v>0</v>
      </c>
      <c r="S8" s="27">
        <f t="shared" si="0"/>
        <v>174</v>
      </c>
      <c r="T8" s="273">
        <f>S9/S8</f>
        <v>0.25862068965517243</v>
      </c>
      <c r="V8" s="47">
        <f>S4+S6+S8+S10+S12+S14+S16+S18+S20+S22</f>
        <v>2276</v>
      </c>
      <c r="X8" s="5"/>
      <c r="Y8" s="5"/>
      <c r="Z8" s="5"/>
    </row>
    <row r="9" spans="1:26" s="1" customFormat="1" ht="28.5" customHeight="1">
      <c r="A9" s="276"/>
      <c r="B9" s="278"/>
      <c r="C9" s="276"/>
      <c r="D9" s="270"/>
      <c r="E9" s="270"/>
      <c r="F9" s="20" t="s">
        <v>18</v>
      </c>
      <c r="G9" s="33" t="s">
        <v>135</v>
      </c>
      <c r="H9" s="34" t="s">
        <v>135</v>
      </c>
      <c r="I9" s="34">
        <v>30</v>
      </c>
      <c r="J9" s="34">
        <v>15</v>
      </c>
      <c r="K9" s="34" t="s">
        <v>135</v>
      </c>
      <c r="L9" s="34" t="s">
        <v>135</v>
      </c>
      <c r="M9" s="34" t="s">
        <v>135</v>
      </c>
      <c r="N9" s="34" t="s">
        <v>135</v>
      </c>
      <c r="O9" s="34" t="s">
        <v>135</v>
      </c>
      <c r="P9" s="34" t="s">
        <v>135</v>
      </c>
      <c r="Q9" s="34" t="s">
        <v>135</v>
      </c>
      <c r="R9" s="34" t="s">
        <v>135</v>
      </c>
      <c r="S9" s="27">
        <f t="shared" si="0"/>
        <v>45</v>
      </c>
      <c r="T9" s="274"/>
      <c r="X9" s="5"/>
      <c r="Y9" s="5"/>
      <c r="Z9" s="5"/>
    </row>
    <row r="10" spans="1:26" s="1" customFormat="1" ht="28.5" customHeight="1">
      <c r="A10" s="275">
        <v>4</v>
      </c>
      <c r="B10" s="277" t="s">
        <v>30</v>
      </c>
      <c r="C10" s="275" t="s">
        <v>21</v>
      </c>
      <c r="D10" s="269"/>
      <c r="E10" s="269"/>
      <c r="F10" s="20" t="s">
        <v>112</v>
      </c>
      <c r="G10" s="52"/>
      <c r="H10" s="53"/>
      <c r="I10" s="53"/>
      <c r="J10" s="53"/>
      <c r="K10" s="53"/>
      <c r="L10" s="53"/>
      <c r="M10" s="53"/>
      <c r="N10" s="53"/>
      <c r="O10" s="53"/>
      <c r="P10" s="53"/>
      <c r="Q10" s="53"/>
      <c r="R10" s="53"/>
      <c r="S10" s="27">
        <f t="shared" si="0"/>
        <v>0</v>
      </c>
      <c r="T10" s="273" t="e">
        <f>S11/S10</f>
        <v>#DIV/0!</v>
      </c>
      <c r="X10" s="5"/>
      <c r="Y10" s="5"/>
      <c r="Z10" s="5"/>
    </row>
    <row r="11" spans="1:26" s="24" customFormat="1" ht="28.5" customHeight="1">
      <c r="A11" s="276"/>
      <c r="B11" s="278"/>
      <c r="C11" s="276"/>
      <c r="D11" s="270"/>
      <c r="E11" s="270"/>
      <c r="F11" s="23" t="s">
        <v>18</v>
      </c>
      <c r="G11" s="33"/>
      <c r="H11" s="34"/>
      <c r="I11" s="88"/>
      <c r="J11" s="34"/>
      <c r="K11" s="34"/>
      <c r="L11" s="34"/>
      <c r="M11" s="34"/>
      <c r="N11" s="34"/>
      <c r="O11" s="34"/>
      <c r="P11" s="34"/>
      <c r="Q11" s="34"/>
      <c r="R11" s="34"/>
      <c r="S11" s="67">
        <f t="shared" si="0"/>
        <v>0</v>
      </c>
      <c r="T11" s="274"/>
      <c r="X11" s="79"/>
      <c r="Y11" s="79"/>
      <c r="Z11" s="79"/>
    </row>
    <row r="12" spans="1:26" s="1" customFormat="1" ht="28.5" customHeight="1">
      <c r="A12" s="275">
        <v>5</v>
      </c>
      <c r="B12" s="277" t="s">
        <v>33</v>
      </c>
      <c r="C12" s="275" t="s">
        <v>21</v>
      </c>
      <c r="D12" s="295"/>
      <c r="E12" s="295"/>
      <c r="F12" s="20" t="s">
        <v>112</v>
      </c>
      <c r="G12" s="72">
        <v>0</v>
      </c>
      <c r="H12" s="73">
        <v>0</v>
      </c>
      <c r="I12" s="73">
        <v>0</v>
      </c>
      <c r="J12" s="73">
        <v>509</v>
      </c>
      <c r="K12" s="73">
        <v>0</v>
      </c>
      <c r="L12" s="73">
        <v>0</v>
      </c>
      <c r="M12" s="72">
        <v>0</v>
      </c>
      <c r="N12" s="73">
        <v>0</v>
      </c>
      <c r="O12" s="73">
        <v>0</v>
      </c>
      <c r="P12" s="73">
        <v>0</v>
      </c>
      <c r="Q12" s="73">
        <v>0</v>
      </c>
      <c r="R12" s="73">
        <v>0</v>
      </c>
      <c r="S12" s="27">
        <f t="shared" si="0"/>
        <v>509</v>
      </c>
      <c r="T12" s="273">
        <f>S13/S12</f>
        <v>8.4479371316306479E-2</v>
      </c>
      <c r="X12" s="5"/>
      <c r="Y12" s="5"/>
      <c r="Z12" s="5"/>
    </row>
    <row r="13" spans="1:26" s="24" customFormat="1" ht="28.5" customHeight="1">
      <c r="A13" s="276"/>
      <c r="B13" s="278"/>
      <c r="C13" s="276"/>
      <c r="D13" s="297"/>
      <c r="E13" s="297"/>
      <c r="F13" s="23" t="s">
        <v>18</v>
      </c>
      <c r="G13" s="26"/>
      <c r="H13" s="27"/>
      <c r="I13" s="27">
        <v>19</v>
      </c>
      <c r="J13" s="27">
        <v>24</v>
      </c>
      <c r="K13" s="27"/>
      <c r="L13" s="27"/>
      <c r="M13" s="27"/>
      <c r="N13" s="27"/>
      <c r="O13" s="27"/>
      <c r="P13" s="27"/>
      <c r="Q13" s="27"/>
      <c r="R13" s="27"/>
      <c r="S13" s="67">
        <f t="shared" si="0"/>
        <v>43</v>
      </c>
      <c r="T13" s="274"/>
      <c r="X13" s="79"/>
      <c r="Y13" s="79"/>
      <c r="Z13" s="79"/>
    </row>
    <row r="14" spans="1:26" s="1" customFormat="1" ht="28.5" customHeight="1">
      <c r="A14" s="275">
        <v>6</v>
      </c>
      <c r="B14" s="277" t="s">
        <v>36</v>
      </c>
      <c r="C14" s="275" t="s">
        <v>21</v>
      </c>
      <c r="D14" s="269"/>
      <c r="E14" s="269"/>
      <c r="F14" s="20" t="s">
        <v>112</v>
      </c>
      <c r="G14" s="52"/>
      <c r="H14" s="53"/>
      <c r="I14" s="53"/>
      <c r="J14" s="53"/>
      <c r="K14" s="53"/>
      <c r="L14" s="53"/>
      <c r="M14" s="53"/>
      <c r="N14" s="53"/>
      <c r="O14" s="53"/>
      <c r="P14" s="53"/>
      <c r="Q14" s="53"/>
      <c r="R14" s="53"/>
      <c r="S14" s="27">
        <f t="shared" si="0"/>
        <v>0</v>
      </c>
      <c r="T14" s="273" t="e">
        <f>S15/S14</f>
        <v>#DIV/0!</v>
      </c>
      <c r="X14" s="5"/>
      <c r="Y14" s="5"/>
      <c r="Z14" s="5"/>
    </row>
    <row r="15" spans="1:26" s="24" customFormat="1" ht="28.5" customHeight="1">
      <c r="A15" s="276"/>
      <c r="B15" s="278"/>
      <c r="C15" s="276"/>
      <c r="D15" s="270"/>
      <c r="E15" s="270"/>
      <c r="F15" s="23" t="s">
        <v>18</v>
      </c>
      <c r="G15" s="33"/>
      <c r="H15" s="34"/>
      <c r="I15" s="40"/>
      <c r="J15" s="40"/>
      <c r="K15" s="34"/>
      <c r="L15" s="34"/>
      <c r="M15" s="34"/>
      <c r="N15" s="34"/>
      <c r="O15" s="34"/>
      <c r="P15" s="34"/>
      <c r="Q15" s="34"/>
      <c r="R15" s="34"/>
      <c r="S15" s="67">
        <f t="shared" si="0"/>
        <v>0</v>
      </c>
      <c r="T15" s="274"/>
      <c r="X15" s="79"/>
      <c r="Y15" s="79"/>
      <c r="Z15" s="79"/>
    </row>
    <row r="16" spans="1:26" s="1" customFormat="1" ht="28.5" customHeight="1">
      <c r="A16" s="275">
        <v>7</v>
      </c>
      <c r="B16" s="277" t="s">
        <v>39</v>
      </c>
      <c r="C16" s="275" t="s">
        <v>21</v>
      </c>
      <c r="D16" s="295"/>
      <c r="E16" s="269">
        <v>4</v>
      </c>
      <c r="F16" s="20" t="s">
        <v>112</v>
      </c>
      <c r="G16" s="72">
        <v>0</v>
      </c>
      <c r="H16" s="73">
        <v>23</v>
      </c>
      <c r="I16" s="73">
        <v>27</v>
      </c>
      <c r="J16" s="73">
        <v>287</v>
      </c>
      <c r="K16" s="73">
        <v>0</v>
      </c>
      <c r="L16" s="73">
        <v>0</v>
      </c>
      <c r="M16" s="72">
        <v>0</v>
      </c>
      <c r="N16" s="73">
        <v>0</v>
      </c>
      <c r="O16" s="73">
        <v>0</v>
      </c>
      <c r="P16" s="73">
        <v>0</v>
      </c>
      <c r="Q16" s="73">
        <v>0</v>
      </c>
      <c r="R16" s="73">
        <v>0</v>
      </c>
      <c r="S16" s="27">
        <f t="shared" si="0"/>
        <v>337</v>
      </c>
      <c r="T16" s="289">
        <f>S17/S16</f>
        <v>0.27299703264094954</v>
      </c>
      <c r="X16" s="5"/>
      <c r="Y16" s="5"/>
      <c r="Z16" s="5"/>
    </row>
    <row r="17" spans="1:26" s="24" customFormat="1" ht="28.5" customHeight="1">
      <c r="A17" s="276"/>
      <c r="B17" s="278"/>
      <c r="C17" s="276"/>
      <c r="D17" s="297"/>
      <c r="E17" s="270"/>
      <c r="F17" s="23" t="s">
        <v>18</v>
      </c>
      <c r="G17" s="26"/>
      <c r="H17" s="27">
        <v>10</v>
      </c>
      <c r="I17" s="27">
        <v>50</v>
      </c>
      <c r="J17" s="27">
        <v>32</v>
      </c>
      <c r="K17" s="27"/>
      <c r="L17" s="27"/>
      <c r="M17" s="27"/>
      <c r="N17" s="27"/>
      <c r="O17" s="27"/>
      <c r="P17" s="27"/>
      <c r="Q17" s="27"/>
      <c r="R17" s="27"/>
      <c r="S17" s="27">
        <f t="shared" si="0"/>
        <v>92</v>
      </c>
      <c r="T17" s="290"/>
      <c r="X17" s="79"/>
      <c r="Y17" s="79"/>
      <c r="Z17" s="79"/>
    </row>
    <row r="18" spans="1:26" s="1" customFormat="1" ht="28.5" customHeight="1">
      <c r="A18" s="275">
        <v>8</v>
      </c>
      <c r="B18" s="277" t="s">
        <v>42</v>
      </c>
      <c r="C18" s="275" t="s">
        <v>21</v>
      </c>
      <c r="D18" s="269">
        <v>60</v>
      </c>
      <c r="E18" s="269">
        <v>1</v>
      </c>
      <c r="F18" s="20" t="s">
        <v>112</v>
      </c>
      <c r="G18" s="74">
        <v>0</v>
      </c>
      <c r="H18" s="75">
        <v>0</v>
      </c>
      <c r="I18" s="75">
        <v>13</v>
      </c>
      <c r="J18" s="75">
        <v>88</v>
      </c>
      <c r="K18" s="75">
        <v>0</v>
      </c>
      <c r="L18" s="75">
        <v>0</v>
      </c>
      <c r="M18" s="75">
        <v>0</v>
      </c>
      <c r="N18" s="75">
        <v>0</v>
      </c>
      <c r="O18" s="75">
        <v>0</v>
      </c>
      <c r="P18" s="75">
        <v>0</v>
      </c>
      <c r="Q18" s="75">
        <v>0</v>
      </c>
      <c r="R18" s="75">
        <v>4</v>
      </c>
      <c r="S18" s="27">
        <f t="shared" si="0"/>
        <v>105</v>
      </c>
      <c r="T18" s="289">
        <f>S19/S18</f>
        <v>1.2380952380952381</v>
      </c>
      <c r="X18" s="5"/>
      <c r="Y18" s="5"/>
      <c r="Z18" s="5"/>
    </row>
    <row r="19" spans="1:26" s="24" customFormat="1" ht="28.5" customHeight="1">
      <c r="A19" s="276"/>
      <c r="B19" s="278"/>
      <c r="C19" s="276"/>
      <c r="D19" s="270"/>
      <c r="E19" s="270"/>
      <c r="F19" s="23" t="s">
        <v>18</v>
      </c>
      <c r="G19" s="60"/>
      <c r="H19" s="59">
        <v>15</v>
      </c>
      <c r="I19" s="59">
        <v>50</v>
      </c>
      <c r="J19" s="59">
        <v>40</v>
      </c>
      <c r="K19" s="58">
        <v>15</v>
      </c>
      <c r="L19" s="58">
        <v>5</v>
      </c>
      <c r="M19" s="58"/>
      <c r="N19" s="58"/>
      <c r="O19" s="58"/>
      <c r="P19" s="58"/>
      <c r="Q19" s="58"/>
      <c r="R19" s="59">
        <v>5</v>
      </c>
      <c r="S19" s="27">
        <f t="shared" si="0"/>
        <v>130</v>
      </c>
      <c r="T19" s="290"/>
      <c r="X19" s="79"/>
      <c r="Y19" s="79"/>
      <c r="Z19" s="79"/>
    </row>
    <row r="20" spans="1:26" s="1" customFormat="1" ht="28.5" customHeight="1">
      <c r="A20" s="275">
        <v>9</v>
      </c>
      <c r="B20" s="277" t="s">
        <v>45</v>
      </c>
      <c r="C20" s="275" t="s">
        <v>21</v>
      </c>
      <c r="D20" s="269">
        <v>141</v>
      </c>
      <c r="E20" s="269">
        <v>1</v>
      </c>
      <c r="F20" s="20" t="s">
        <v>112</v>
      </c>
      <c r="G20" s="74">
        <v>0</v>
      </c>
      <c r="H20" s="75">
        <v>0</v>
      </c>
      <c r="I20" s="75">
        <v>25</v>
      </c>
      <c r="J20" s="75">
        <v>457</v>
      </c>
      <c r="K20" s="75">
        <v>0</v>
      </c>
      <c r="L20" s="75">
        <v>0</v>
      </c>
      <c r="M20" s="75">
        <v>0</v>
      </c>
      <c r="N20" s="75">
        <v>0</v>
      </c>
      <c r="O20" s="75">
        <v>0</v>
      </c>
      <c r="P20" s="75">
        <v>0</v>
      </c>
      <c r="Q20" s="75">
        <v>0</v>
      </c>
      <c r="R20" s="75">
        <v>0</v>
      </c>
      <c r="S20" s="27">
        <f t="shared" si="0"/>
        <v>482</v>
      </c>
      <c r="T20" s="289">
        <f>S21/S20</f>
        <v>0.42323651452282157</v>
      </c>
      <c r="X20" s="5"/>
      <c r="Y20" s="5"/>
      <c r="Z20" s="5"/>
    </row>
    <row r="21" spans="1:26" s="24" customFormat="1" ht="28.5" customHeight="1">
      <c r="A21" s="276"/>
      <c r="B21" s="278"/>
      <c r="C21" s="276"/>
      <c r="D21" s="270"/>
      <c r="E21" s="270"/>
      <c r="F21" s="23" t="s">
        <v>18</v>
      </c>
      <c r="G21" s="60" t="s">
        <v>137</v>
      </c>
      <c r="H21" s="59">
        <v>8</v>
      </c>
      <c r="I21" s="59">
        <v>30</v>
      </c>
      <c r="J21" s="59">
        <v>150</v>
      </c>
      <c r="K21" s="59">
        <v>16</v>
      </c>
      <c r="L21" s="58" t="s">
        <v>137</v>
      </c>
      <c r="M21" s="58" t="s">
        <v>137</v>
      </c>
      <c r="N21" s="58" t="s">
        <v>137</v>
      </c>
      <c r="O21" s="58" t="s">
        <v>137</v>
      </c>
      <c r="P21" s="58" t="s">
        <v>137</v>
      </c>
      <c r="Q21" s="58" t="s">
        <v>137</v>
      </c>
      <c r="R21" s="58" t="s">
        <v>137</v>
      </c>
      <c r="S21" s="27">
        <f t="shared" si="0"/>
        <v>204</v>
      </c>
      <c r="T21" s="290"/>
      <c r="X21" s="79"/>
      <c r="Y21" s="79"/>
      <c r="Z21" s="79"/>
    </row>
    <row r="22" spans="1:26" s="1" customFormat="1" ht="28.5" customHeight="1">
      <c r="A22" s="275">
        <v>10</v>
      </c>
      <c r="B22" s="277" t="s">
        <v>48</v>
      </c>
      <c r="C22" s="275" t="s">
        <v>21</v>
      </c>
      <c r="D22" s="269"/>
      <c r="E22" s="269"/>
      <c r="F22" s="20" t="s">
        <v>112</v>
      </c>
      <c r="G22" s="52">
        <v>0</v>
      </c>
      <c r="H22" s="53">
        <v>0</v>
      </c>
      <c r="I22" s="53">
        <v>25</v>
      </c>
      <c r="J22" s="53">
        <v>109</v>
      </c>
      <c r="K22" s="53">
        <v>0</v>
      </c>
      <c r="L22" s="53">
        <v>1</v>
      </c>
      <c r="M22" s="53">
        <v>0</v>
      </c>
      <c r="N22" s="53">
        <v>0</v>
      </c>
      <c r="O22" s="53">
        <v>0</v>
      </c>
      <c r="P22" s="53">
        <v>0</v>
      </c>
      <c r="Q22" s="53">
        <v>0</v>
      </c>
      <c r="R22" s="53">
        <v>31</v>
      </c>
      <c r="S22" s="27">
        <f t="shared" si="0"/>
        <v>166</v>
      </c>
      <c r="T22" s="289">
        <f>S23/S22</f>
        <v>0.36144578313253012</v>
      </c>
      <c r="X22" s="5">
        <v>33</v>
      </c>
      <c r="Y22" s="5">
        <v>17</v>
      </c>
      <c r="Z22" s="5">
        <v>22</v>
      </c>
    </row>
    <row r="23" spans="1:26" s="24" customFormat="1" ht="28.5" customHeight="1">
      <c r="A23" s="276"/>
      <c r="B23" s="278"/>
      <c r="C23" s="276"/>
      <c r="D23" s="270"/>
      <c r="E23" s="270"/>
      <c r="F23" s="23" t="s">
        <v>18</v>
      </c>
      <c r="G23" s="33" t="s">
        <v>114</v>
      </c>
      <c r="H23" s="34">
        <v>5</v>
      </c>
      <c r="I23" s="34">
        <v>15</v>
      </c>
      <c r="J23" s="34">
        <v>40</v>
      </c>
      <c r="K23" s="34" t="s">
        <v>114</v>
      </c>
      <c r="L23" s="34" t="s">
        <v>114</v>
      </c>
      <c r="M23" s="34" t="s">
        <v>114</v>
      </c>
      <c r="N23" s="34" t="s">
        <v>114</v>
      </c>
      <c r="O23" s="34" t="s">
        <v>114</v>
      </c>
      <c r="P23" s="34" t="s">
        <v>114</v>
      </c>
      <c r="Q23" s="34" t="s">
        <v>114</v>
      </c>
      <c r="R23" s="34" t="s">
        <v>114</v>
      </c>
      <c r="S23" s="27">
        <f t="shared" si="0"/>
        <v>60</v>
      </c>
      <c r="T23" s="290"/>
      <c r="X23" s="79"/>
      <c r="Y23" s="79"/>
      <c r="Z23" s="79"/>
    </row>
    <row r="24" spans="1:26" s="1" customFormat="1" ht="28.5" customHeight="1">
      <c r="A24" s="275">
        <v>11</v>
      </c>
      <c r="B24" s="277" t="s">
        <v>50</v>
      </c>
      <c r="C24" s="275" t="s">
        <v>51</v>
      </c>
      <c r="D24" s="269">
        <v>53</v>
      </c>
      <c r="E24" s="269">
        <v>5</v>
      </c>
      <c r="F24" s="20" t="s">
        <v>112</v>
      </c>
      <c r="G24" s="61"/>
      <c r="H24" s="62"/>
      <c r="I24" s="62">
        <v>8</v>
      </c>
      <c r="J24" s="62">
        <v>162</v>
      </c>
      <c r="K24" s="62"/>
      <c r="L24" s="62"/>
      <c r="M24" s="62"/>
      <c r="N24" s="62"/>
      <c r="O24" s="62"/>
      <c r="P24" s="62"/>
      <c r="Q24" s="62"/>
      <c r="R24" s="62"/>
      <c r="S24" s="27">
        <f t="shared" si="0"/>
        <v>170</v>
      </c>
      <c r="T24" s="289">
        <f>S25/S24</f>
        <v>0.42352941176470588</v>
      </c>
      <c r="U24" s="47">
        <f>AVERAGE(S24,S26,S28,S30,S32,S34)</f>
        <v>163.5</v>
      </c>
      <c r="X24" s="5"/>
      <c r="Y24" s="5"/>
      <c r="Z24" s="5"/>
    </row>
    <row r="25" spans="1:26" s="24" customFormat="1" ht="28.5" customHeight="1">
      <c r="A25" s="276"/>
      <c r="B25" s="278"/>
      <c r="C25" s="276"/>
      <c r="D25" s="270"/>
      <c r="E25" s="270"/>
      <c r="F25" s="23" t="s">
        <v>18</v>
      </c>
      <c r="G25" s="35"/>
      <c r="H25" s="27">
        <v>6</v>
      </c>
      <c r="I25" s="27">
        <v>9</v>
      </c>
      <c r="J25" s="27">
        <v>56</v>
      </c>
      <c r="K25" s="27"/>
      <c r="L25" s="27"/>
      <c r="M25" s="37">
        <v>1</v>
      </c>
      <c r="N25" s="27"/>
      <c r="O25" s="32"/>
      <c r="P25" s="27"/>
      <c r="Q25" s="27"/>
      <c r="R25" s="27"/>
      <c r="S25" s="27">
        <f t="shared" si="0"/>
        <v>72</v>
      </c>
      <c r="T25" s="290"/>
      <c r="U25" s="24">
        <f>AVERAGE(S25,S27,S29,S31,S33,S35)</f>
        <v>69.216666666666669</v>
      </c>
      <c r="X25" s="79"/>
      <c r="Y25" s="79"/>
      <c r="Z25" s="79"/>
    </row>
    <row r="26" spans="1:26" s="1" customFormat="1" ht="28.5" customHeight="1">
      <c r="A26" s="275">
        <v>12</v>
      </c>
      <c r="B26" s="277" t="s">
        <v>54</v>
      </c>
      <c r="C26" s="275" t="s">
        <v>51</v>
      </c>
      <c r="D26" s="269">
        <v>187</v>
      </c>
      <c r="E26" s="269">
        <v>11</v>
      </c>
      <c r="F26" s="20" t="s">
        <v>112</v>
      </c>
      <c r="G26" s="61"/>
      <c r="H26" s="62"/>
      <c r="I26" s="62">
        <v>43</v>
      </c>
      <c r="J26" s="62">
        <v>121</v>
      </c>
      <c r="K26" s="62"/>
      <c r="L26" s="62">
        <v>25</v>
      </c>
      <c r="M26" s="62"/>
      <c r="N26" s="62"/>
      <c r="O26" s="62"/>
      <c r="P26" s="62"/>
      <c r="Q26" s="62"/>
      <c r="R26" s="62"/>
      <c r="S26" s="27">
        <f t="shared" si="0"/>
        <v>189</v>
      </c>
      <c r="T26" s="289">
        <f>S27/S26</f>
        <v>0.3349206349206349</v>
      </c>
      <c r="U26" s="24">
        <f>U25/U24</f>
        <v>0.42334352701325179</v>
      </c>
      <c r="X26" s="5"/>
      <c r="Y26" s="5"/>
      <c r="Z26" s="5"/>
    </row>
    <row r="27" spans="1:26" s="24" customFormat="1" ht="28.5" customHeight="1">
      <c r="A27" s="276"/>
      <c r="B27" s="281"/>
      <c r="C27" s="276"/>
      <c r="D27" s="270"/>
      <c r="E27" s="270"/>
      <c r="F27" s="23" t="s">
        <v>18</v>
      </c>
      <c r="G27" s="35"/>
      <c r="H27" s="27">
        <v>8</v>
      </c>
      <c r="I27" s="27">
        <v>14</v>
      </c>
      <c r="J27" s="27">
        <v>36</v>
      </c>
      <c r="K27" s="27"/>
      <c r="L27" s="27">
        <v>5.3</v>
      </c>
      <c r="M27" s="37"/>
      <c r="N27" s="27"/>
      <c r="O27" s="32"/>
      <c r="P27" s="27"/>
      <c r="Q27" s="27"/>
      <c r="R27" s="27"/>
      <c r="S27" s="27">
        <f t="shared" si="0"/>
        <v>63.3</v>
      </c>
      <c r="T27" s="290"/>
      <c r="X27" s="79"/>
      <c r="Y27" s="79"/>
      <c r="Z27" s="79"/>
    </row>
    <row r="28" spans="1:26" s="1" customFormat="1" ht="28.5" customHeight="1">
      <c r="A28" s="269">
        <v>13</v>
      </c>
      <c r="B28" s="282" t="s">
        <v>57</v>
      </c>
      <c r="C28" s="275" t="s">
        <v>51</v>
      </c>
      <c r="D28" s="269">
        <v>111</v>
      </c>
      <c r="E28" s="269">
        <v>12</v>
      </c>
      <c r="F28" s="20" t="s">
        <v>112</v>
      </c>
      <c r="G28" s="52">
        <v>38</v>
      </c>
      <c r="H28" s="53">
        <v>6</v>
      </c>
      <c r="I28" s="53">
        <v>48</v>
      </c>
      <c r="J28" s="53">
        <v>49</v>
      </c>
      <c r="K28" s="53"/>
      <c r="L28" s="53"/>
      <c r="M28" s="53"/>
      <c r="N28" s="53"/>
      <c r="O28" s="53"/>
      <c r="P28" s="53"/>
      <c r="Q28" s="53"/>
      <c r="R28" s="53"/>
      <c r="S28" s="27">
        <f t="shared" si="0"/>
        <v>141</v>
      </c>
      <c r="T28" s="289">
        <f>S29/S28</f>
        <v>0.58865248226950351</v>
      </c>
      <c r="X28" s="5"/>
      <c r="Y28" s="5"/>
      <c r="Z28" s="5"/>
    </row>
    <row r="29" spans="1:26" s="24" customFormat="1" ht="28.5" customHeight="1">
      <c r="A29" s="270"/>
      <c r="B29" s="282"/>
      <c r="C29" s="276"/>
      <c r="D29" s="270"/>
      <c r="E29" s="270"/>
      <c r="F29" s="23" t="s">
        <v>18</v>
      </c>
      <c r="G29" s="33">
        <v>20</v>
      </c>
      <c r="H29" s="34">
        <v>6</v>
      </c>
      <c r="I29" s="34">
        <v>15</v>
      </c>
      <c r="J29" s="34">
        <v>42</v>
      </c>
      <c r="K29" s="34"/>
      <c r="L29" s="34"/>
      <c r="M29" s="34"/>
      <c r="N29" s="34"/>
      <c r="O29" s="34"/>
      <c r="P29" s="34"/>
      <c r="Q29" s="34"/>
      <c r="R29" s="34"/>
      <c r="S29" s="27">
        <f t="shared" si="0"/>
        <v>83</v>
      </c>
      <c r="T29" s="290"/>
      <c r="X29" s="79"/>
      <c r="Y29" s="79"/>
      <c r="Z29" s="79"/>
    </row>
    <row r="30" spans="1:26" s="1" customFormat="1" ht="28.5" customHeight="1">
      <c r="A30" s="275">
        <v>14</v>
      </c>
      <c r="B30" s="281" t="s">
        <v>60</v>
      </c>
      <c r="C30" s="275" t="s">
        <v>51</v>
      </c>
      <c r="D30" s="269">
        <v>192</v>
      </c>
      <c r="E30" s="269">
        <v>10</v>
      </c>
      <c r="F30" s="20" t="s">
        <v>112</v>
      </c>
      <c r="G30" s="52">
        <v>57</v>
      </c>
      <c r="H30" s="53"/>
      <c r="I30" s="53">
        <v>4</v>
      </c>
      <c r="J30" s="53">
        <v>35</v>
      </c>
      <c r="K30" s="53"/>
      <c r="L30" s="53">
        <v>20</v>
      </c>
      <c r="M30" s="53"/>
      <c r="N30" s="53"/>
      <c r="O30" s="53"/>
      <c r="P30" s="53"/>
      <c r="Q30" s="53"/>
      <c r="R30" s="53">
        <v>40</v>
      </c>
      <c r="S30" s="26">
        <f t="shared" si="0"/>
        <v>156</v>
      </c>
      <c r="T30" s="289">
        <f>S31/S30</f>
        <v>0.26923076923076922</v>
      </c>
      <c r="X30" s="5"/>
      <c r="Y30" s="5"/>
      <c r="Z30" s="5"/>
    </row>
    <row r="31" spans="1:26" s="25" customFormat="1" ht="28.5" customHeight="1">
      <c r="A31" s="276"/>
      <c r="B31" s="278"/>
      <c r="C31" s="276"/>
      <c r="D31" s="270"/>
      <c r="E31" s="270"/>
      <c r="F31" s="30" t="s">
        <v>18</v>
      </c>
      <c r="G31" s="43"/>
      <c r="H31" s="44"/>
      <c r="I31" s="44">
        <v>17</v>
      </c>
      <c r="J31" s="44">
        <v>19</v>
      </c>
      <c r="K31" s="44"/>
      <c r="L31" s="44">
        <v>6</v>
      </c>
      <c r="M31" s="44"/>
      <c r="N31" s="44"/>
      <c r="O31" s="44"/>
      <c r="P31" s="44"/>
      <c r="Q31" s="44"/>
      <c r="R31" s="44"/>
      <c r="S31" s="26">
        <f t="shared" si="0"/>
        <v>42</v>
      </c>
      <c r="T31" s="290"/>
      <c r="X31" s="79"/>
      <c r="Y31" s="79"/>
      <c r="Z31" s="79"/>
    </row>
    <row r="32" spans="1:26" ht="28.5" customHeight="1">
      <c r="A32" s="275">
        <v>15</v>
      </c>
      <c r="B32" s="277" t="s">
        <v>63</v>
      </c>
      <c r="C32" s="275" t="s">
        <v>51</v>
      </c>
      <c r="D32" s="269">
        <v>80</v>
      </c>
      <c r="E32" s="269">
        <v>10</v>
      </c>
      <c r="F32" s="20" t="s">
        <v>112</v>
      </c>
      <c r="G32" s="61"/>
      <c r="H32" s="62"/>
      <c r="I32" s="62">
        <v>72</v>
      </c>
      <c r="J32" s="62">
        <v>107</v>
      </c>
      <c r="K32" s="62"/>
      <c r="L32" s="62"/>
      <c r="M32" s="62"/>
      <c r="N32" s="62"/>
      <c r="O32" s="62"/>
      <c r="P32" s="62"/>
      <c r="Q32" s="62"/>
      <c r="R32" s="62"/>
      <c r="S32" s="26">
        <f t="shared" si="0"/>
        <v>179</v>
      </c>
      <c r="T32" s="289">
        <f>S33/S32</f>
        <v>0.36312849162011174</v>
      </c>
    </row>
    <row r="33" spans="1:26" s="25" customFormat="1" ht="28.5" customHeight="1">
      <c r="A33" s="276"/>
      <c r="B33" s="278"/>
      <c r="C33" s="276"/>
      <c r="D33" s="270"/>
      <c r="E33" s="270"/>
      <c r="F33" s="23" t="s">
        <v>18</v>
      </c>
      <c r="G33" s="26">
        <v>10</v>
      </c>
      <c r="H33" s="27">
        <v>5</v>
      </c>
      <c r="I33" s="27">
        <v>20</v>
      </c>
      <c r="J33" s="27">
        <v>30</v>
      </c>
      <c r="K33" s="27"/>
      <c r="L33" s="27"/>
      <c r="M33" s="26"/>
      <c r="N33" s="27"/>
      <c r="O33" s="27"/>
      <c r="P33" s="27"/>
      <c r="Q33" s="27"/>
      <c r="R33" s="27"/>
      <c r="S33" s="26">
        <f>SUM(G33:R33)</f>
        <v>65</v>
      </c>
      <c r="T33" s="290"/>
      <c r="X33" s="79"/>
      <c r="Y33" s="79"/>
      <c r="Z33" s="79"/>
    </row>
    <row r="34" spans="1:26" ht="28.5" customHeight="1">
      <c r="A34" s="275">
        <v>16</v>
      </c>
      <c r="B34" s="277" t="s">
        <v>66</v>
      </c>
      <c r="C34" s="275" t="s">
        <v>51</v>
      </c>
      <c r="D34" s="269">
        <v>16</v>
      </c>
      <c r="E34" s="269">
        <v>9</v>
      </c>
      <c r="F34" s="20" t="s">
        <v>112</v>
      </c>
      <c r="G34" s="61"/>
      <c r="H34" s="62">
        <v>19</v>
      </c>
      <c r="I34" s="62">
        <v>41</v>
      </c>
      <c r="J34" s="62">
        <v>86</v>
      </c>
      <c r="K34" s="62"/>
      <c r="L34" s="62"/>
      <c r="M34" s="62"/>
      <c r="N34" s="62"/>
      <c r="O34" s="62"/>
      <c r="P34" s="62"/>
      <c r="Q34" s="62"/>
      <c r="R34" s="62"/>
      <c r="S34" s="26">
        <f t="shared" ref="S34:S43" si="1">SUM(G34:R34)</f>
        <v>146</v>
      </c>
      <c r="T34" s="289">
        <f>S35/S34</f>
        <v>0.61643835616438358</v>
      </c>
    </row>
    <row r="35" spans="1:26" s="25" customFormat="1" ht="28.5" customHeight="1">
      <c r="A35" s="293"/>
      <c r="B35" s="281"/>
      <c r="C35" s="293"/>
      <c r="D35" s="288"/>
      <c r="E35" s="288"/>
      <c r="F35" s="30" t="s">
        <v>18</v>
      </c>
      <c r="G35" s="96"/>
      <c r="H35" s="97">
        <v>20</v>
      </c>
      <c r="I35" s="97">
        <v>40</v>
      </c>
      <c r="J35" s="97">
        <v>30</v>
      </c>
      <c r="K35" s="97"/>
      <c r="L35" s="97"/>
      <c r="M35" s="96"/>
      <c r="N35" s="97"/>
      <c r="O35" s="97"/>
      <c r="P35" s="97"/>
      <c r="Q35" s="97"/>
      <c r="R35" s="97"/>
      <c r="S35" s="96">
        <f t="shared" si="1"/>
        <v>90</v>
      </c>
      <c r="T35" s="294"/>
      <c r="X35" s="79"/>
      <c r="Y35" s="79"/>
      <c r="Z35" s="79"/>
    </row>
    <row r="36" spans="1:26" ht="28.5" customHeight="1">
      <c r="A36" s="291">
        <v>17</v>
      </c>
      <c r="B36" s="282" t="s">
        <v>69</v>
      </c>
      <c r="C36" s="291" t="s">
        <v>70</v>
      </c>
      <c r="D36" s="291">
        <v>26</v>
      </c>
      <c r="E36" s="291">
        <v>7</v>
      </c>
      <c r="F36" s="20" t="s">
        <v>112</v>
      </c>
      <c r="G36" s="94">
        <v>0</v>
      </c>
      <c r="H36" s="94">
        <v>0</v>
      </c>
      <c r="I36" s="94">
        <v>15</v>
      </c>
      <c r="J36" s="94">
        <v>29</v>
      </c>
      <c r="K36" s="94">
        <v>0</v>
      </c>
      <c r="L36" s="94">
        <v>8</v>
      </c>
      <c r="M36" s="94">
        <v>0</v>
      </c>
      <c r="N36" s="94">
        <v>0</v>
      </c>
      <c r="O36" s="94">
        <v>0</v>
      </c>
      <c r="P36" s="94">
        <v>0</v>
      </c>
      <c r="Q36" s="94">
        <v>0</v>
      </c>
      <c r="R36" s="94">
        <v>43</v>
      </c>
      <c r="S36" s="95">
        <f t="shared" si="1"/>
        <v>95</v>
      </c>
      <c r="T36" s="292">
        <f>S37/S36</f>
        <v>0.26315789473684209</v>
      </c>
      <c r="U36" s="51">
        <f>AVERAGE(S36,S38,S40,S42,S44,S46,S48,S50,S52,S54)</f>
        <v>140</v>
      </c>
      <c r="V36" s="25">
        <f>U37/U36</f>
        <v>0.22304285714285718</v>
      </c>
    </row>
    <row r="37" spans="1:26" s="25" customFormat="1" ht="28.5" customHeight="1">
      <c r="A37" s="293"/>
      <c r="B37" s="281"/>
      <c r="C37" s="293"/>
      <c r="D37" s="288"/>
      <c r="E37" s="288"/>
      <c r="F37" s="99" t="s">
        <v>18</v>
      </c>
      <c r="G37" s="100"/>
      <c r="H37" s="100"/>
      <c r="I37" s="101">
        <v>8</v>
      </c>
      <c r="J37" s="101">
        <v>10</v>
      </c>
      <c r="K37" s="101"/>
      <c r="L37" s="101">
        <v>3</v>
      </c>
      <c r="M37" s="101"/>
      <c r="N37" s="101"/>
      <c r="O37" s="101"/>
      <c r="P37" s="101"/>
      <c r="Q37" s="101"/>
      <c r="R37" s="101">
        <v>4</v>
      </c>
      <c r="S37" s="102">
        <f t="shared" si="1"/>
        <v>25</v>
      </c>
      <c r="T37" s="294"/>
      <c r="U37" s="25">
        <f>AVERAGE(S37,S39,S41,S43,S45,S47,S49,S51,S53,S55)</f>
        <v>31.226000000000006</v>
      </c>
      <c r="X37" s="79"/>
      <c r="Y37" s="79"/>
      <c r="Z37" s="79"/>
    </row>
    <row r="38" spans="1:26" ht="28.5" customHeight="1">
      <c r="A38" s="291">
        <v>18</v>
      </c>
      <c r="B38" s="282" t="s">
        <v>73</v>
      </c>
      <c r="C38" s="291" t="s">
        <v>70</v>
      </c>
      <c r="D38" s="291">
        <v>30</v>
      </c>
      <c r="E38" s="291">
        <v>10</v>
      </c>
      <c r="F38" s="20" t="s">
        <v>112</v>
      </c>
      <c r="G38" s="94">
        <v>0</v>
      </c>
      <c r="H38" s="94">
        <v>0</v>
      </c>
      <c r="I38" s="94">
        <v>24</v>
      </c>
      <c r="J38" s="94">
        <v>42</v>
      </c>
      <c r="K38" s="94">
        <v>1</v>
      </c>
      <c r="L38" s="94">
        <v>0</v>
      </c>
      <c r="M38" s="94">
        <v>0</v>
      </c>
      <c r="N38" s="94">
        <v>0</v>
      </c>
      <c r="O38" s="94">
        <v>0</v>
      </c>
      <c r="P38" s="94">
        <v>0</v>
      </c>
      <c r="Q38" s="94">
        <v>0</v>
      </c>
      <c r="R38" s="94">
        <v>22</v>
      </c>
      <c r="S38" s="95">
        <f t="shared" si="1"/>
        <v>89</v>
      </c>
      <c r="T38" s="292">
        <f>S39/S38</f>
        <v>0.28202247191011237</v>
      </c>
    </row>
    <row r="39" spans="1:26" s="25" customFormat="1" ht="28.5" customHeight="1">
      <c r="A39" s="293"/>
      <c r="B39" s="281"/>
      <c r="C39" s="293"/>
      <c r="D39" s="288"/>
      <c r="E39" s="288"/>
      <c r="F39" s="99" t="s">
        <v>18</v>
      </c>
      <c r="G39" s="102"/>
      <c r="H39" s="103"/>
      <c r="I39" s="101">
        <v>3.6</v>
      </c>
      <c r="J39" s="101">
        <v>12</v>
      </c>
      <c r="K39" s="103"/>
      <c r="L39" s="103"/>
      <c r="M39" s="102"/>
      <c r="N39" s="103"/>
      <c r="O39" s="103"/>
      <c r="P39" s="103"/>
      <c r="Q39" s="103"/>
      <c r="R39" s="103">
        <v>9.5</v>
      </c>
      <c r="S39" s="102">
        <f t="shared" si="1"/>
        <v>25.1</v>
      </c>
      <c r="T39" s="294"/>
      <c r="X39" s="79"/>
      <c r="Y39" s="79"/>
      <c r="Z39" s="79"/>
    </row>
    <row r="40" spans="1:26" ht="28.5" customHeight="1">
      <c r="A40" s="291">
        <v>19</v>
      </c>
      <c r="B40" s="282" t="s">
        <v>76</v>
      </c>
      <c r="C40" s="291" t="s">
        <v>70</v>
      </c>
      <c r="D40" s="291">
        <v>31</v>
      </c>
      <c r="E40" s="291">
        <v>8</v>
      </c>
      <c r="F40" s="20" t="s">
        <v>112</v>
      </c>
      <c r="G40" s="94">
        <v>0</v>
      </c>
      <c r="H40" s="94">
        <v>0</v>
      </c>
      <c r="I40" s="94">
        <v>13</v>
      </c>
      <c r="J40" s="94">
        <v>252</v>
      </c>
      <c r="K40" s="94">
        <v>0</v>
      </c>
      <c r="L40" s="94">
        <v>0</v>
      </c>
      <c r="M40" s="94">
        <v>0</v>
      </c>
      <c r="N40" s="94">
        <v>0</v>
      </c>
      <c r="O40" s="94">
        <v>0</v>
      </c>
      <c r="P40" s="94">
        <v>0</v>
      </c>
      <c r="Q40" s="94">
        <v>0</v>
      </c>
      <c r="R40" s="94">
        <v>0</v>
      </c>
      <c r="S40" s="95">
        <f t="shared" si="1"/>
        <v>265</v>
      </c>
      <c r="T40" s="292">
        <f>S41/S40</f>
        <v>0.11860377358490566</v>
      </c>
    </row>
    <row r="41" spans="1:26" s="25" customFormat="1" ht="28.5" customHeight="1">
      <c r="A41" s="276"/>
      <c r="B41" s="278"/>
      <c r="C41" s="276"/>
      <c r="D41" s="270"/>
      <c r="E41" s="270"/>
      <c r="F41" s="104" t="s">
        <v>18</v>
      </c>
      <c r="G41" s="105"/>
      <c r="H41" s="106">
        <v>1.43</v>
      </c>
      <c r="I41" s="107">
        <v>4</v>
      </c>
      <c r="J41" s="107">
        <v>26</v>
      </c>
      <c r="K41" s="108"/>
      <c r="L41" s="108"/>
      <c r="M41" s="105"/>
      <c r="N41" s="108"/>
      <c r="O41" s="108"/>
      <c r="P41" s="108"/>
      <c r="Q41" s="108"/>
      <c r="R41" s="108"/>
      <c r="S41" s="105">
        <f t="shared" si="1"/>
        <v>31.43</v>
      </c>
      <c r="T41" s="290"/>
      <c r="X41" s="79"/>
      <c r="Y41" s="79"/>
      <c r="Z41" s="79"/>
    </row>
    <row r="42" spans="1:26" ht="28.5" customHeight="1">
      <c r="A42" s="275">
        <v>20</v>
      </c>
      <c r="B42" s="277" t="s">
        <v>79</v>
      </c>
      <c r="C42" s="275" t="s">
        <v>70</v>
      </c>
      <c r="D42" s="269">
        <v>32</v>
      </c>
      <c r="E42" s="269">
        <v>1</v>
      </c>
      <c r="F42" s="20" t="s">
        <v>112</v>
      </c>
      <c r="G42" s="61">
        <v>0</v>
      </c>
      <c r="H42" s="62">
        <v>0</v>
      </c>
      <c r="I42" s="62">
        <v>3</v>
      </c>
      <c r="J42" s="62">
        <v>45</v>
      </c>
      <c r="K42" s="62">
        <v>0</v>
      </c>
      <c r="L42" s="62">
        <v>0</v>
      </c>
      <c r="M42" s="62">
        <v>0</v>
      </c>
      <c r="N42" s="62">
        <v>0</v>
      </c>
      <c r="O42" s="62">
        <v>0</v>
      </c>
      <c r="P42" s="62">
        <v>0</v>
      </c>
      <c r="Q42" s="62">
        <v>0</v>
      </c>
      <c r="R42" s="62">
        <v>56</v>
      </c>
      <c r="S42" s="26">
        <f t="shared" si="1"/>
        <v>104</v>
      </c>
      <c r="T42" s="289">
        <f>S43/S42</f>
        <v>0.36538461538461536</v>
      </c>
    </row>
    <row r="43" spans="1:26" s="25" customFormat="1" ht="28.5" customHeight="1">
      <c r="A43" s="293"/>
      <c r="B43" s="281"/>
      <c r="C43" s="293"/>
      <c r="D43" s="288"/>
      <c r="E43" s="288"/>
      <c r="F43" s="30" t="s">
        <v>18</v>
      </c>
      <c r="G43" s="96"/>
      <c r="H43" s="97">
        <v>5</v>
      </c>
      <c r="I43" s="97">
        <v>12</v>
      </c>
      <c r="J43" s="97">
        <v>10</v>
      </c>
      <c r="K43" s="97"/>
      <c r="L43" s="97">
        <v>1</v>
      </c>
      <c r="M43" s="96"/>
      <c r="N43" s="97"/>
      <c r="O43" s="97">
        <v>10</v>
      </c>
      <c r="P43" s="97"/>
      <c r="Q43" s="97"/>
      <c r="R43" s="97"/>
      <c r="S43" s="96">
        <f t="shared" si="1"/>
        <v>38</v>
      </c>
      <c r="T43" s="294"/>
      <c r="X43" s="79"/>
      <c r="Y43" s="79"/>
      <c r="Z43" s="79"/>
    </row>
    <row r="44" spans="1:26" ht="28.5" customHeight="1">
      <c r="A44" s="291">
        <v>21</v>
      </c>
      <c r="B44" s="282" t="s">
        <v>82</v>
      </c>
      <c r="C44" s="291" t="s">
        <v>70</v>
      </c>
      <c r="D44" s="291">
        <v>16</v>
      </c>
      <c r="E44" s="291">
        <v>11</v>
      </c>
      <c r="F44" s="20" t="s">
        <v>112</v>
      </c>
      <c r="G44" s="94">
        <v>6</v>
      </c>
      <c r="H44" s="94">
        <v>0</v>
      </c>
      <c r="I44" s="94">
        <v>27</v>
      </c>
      <c r="J44" s="94">
        <v>184</v>
      </c>
      <c r="K44" s="94">
        <v>2</v>
      </c>
      <c r="L44" s="94">
        <v>1</v>
      </c>
      <c r="M44" s="94">
        <v>6</v>
      </c>
      <c r="N44" s="94">
        <v>0</v>
      </c>
      <c r="O44" s="94">
        <v>9</v>
      </c>
      <c r="P44" s="94">
        <v>0</v>
      </c>
      <c r="Q44" s="94">
        <v>0</v>
      </c>
      <c r="R44" s="94">
        <v>0</v>
      </c>
      <c r="S44" s="95">
        <f t="shared" ref="S44:S55" si="2">SUM(G44:R44)</f>
        <v>235</v>
      </c>
      <c r="T44" s="292">
        <f>S45/S44</f>
        <v>0.34468085106382979</v>
      </c>
    </row>
    <row r="45" spans="1:26" s="25" customFormat="1" ht="28.5" customHeight="1">
      <c r="A45" s="276"/>
      <c r="B45" s="278"/>
      <c r="C45" s="276"/>
      <c r="D45" s="270"/>
      <c r="E45" s="270"/>
      <c r="F45" s="104" t="s">
        <v>18</v>
      </c>
      <c r="G45" s="107">
        <v>10</v>
      </c>
      <c r="H45" s="107"/>
      <c r="I45" s="107">
        <v>5</v>
      </c>
      <c r="J45" s="107">
        <v>23</v>
      </c>
      <c r="K45" s="107"/>
      <c r="L45" s="107"/>
      <c r="M45" s="107">
        <v>3</v>
      </c>
      <c r="N45" s="107"/>
      <c r="O45" s="107">
        <v>30</v>
      </c>
      <c r="P45" s="107"/>
      <c r="Q45" s="107"/>
      <c r="R45" s="107">
        <v>10</v>
      </c>
      <c r="S45" s="105">
        <f t="shared" si="2"/>
        <v>81</v>
      </c>
      <c r="T45" s="290"/>
      <c r="X45" s="79"/>
      <c r="Y45" s="79"/>
      <c r="Z45" s="79"/>
    </row>
    <row r="46" spans="1:26" ht="28.5" customHeight="1">
      <c r="A46" s="275">
        <v>22</v>
      </c>
      <c r="B46" s="277" t="s">
        <v>85</v>
      </c>
      <c r="C46" s="275" t="s">
        <v>70</v>
      </c>
      <c r="D46" s="269">
        <v>23</v>
      </c>
      <c r="E46" s="269">
        <v>4</v>
      </c>
      <c r="F46" s="20" t="s">
        <v>112</v>
      </c>
      <c r="G46" s="61">
        <v>0</v>
      </c>
      <c r="H46" s="62">
        <v>9</v>
      </c>
      <c r="I46" s="62">
        <v>13</v>
      </c>
      <c r="J46" s="62">
        <v>41</v>
      </c>
      <c r="K46" s="62">
        <v>0</v>
      </c>
      <c r="L46" s="62">
        <v>0</v>
      </c>
      <c r="M46" s="62">
        <v>6</v>
      </c>
      <c r="N46" s="62">
        <v>0</v>
      </c>
      <c r="O46" s="62">
        <v>0</v>
      </c>
      <c r="P46" s="62">
        <v>0</v>
      </c>
      <c r="Q46" s="62">
        <v>0</v>
      </c>
      <c r="R46" s="62">
        <v>12</v>
      </c>
      <c r="S46" s="26">
        <f t="shared" si="2"/>
        <v>81</v>
      </c>
      <c r="T46" s="289">
        <f>S47/S46</f>
        <v>0.22259259259259262</v>
      </c>
    </row>
    <row r="47" spans="1:26" s="25" customFormat="1" ht="28.5" customHeight="1">
      <c r="A47" s="293"/>
      <c r="B47" s="281"/>
      <c r="C47" s="293"/>
      <c r="D47" s="288"/>
      <c r="E47" s="288"/>
      <c r="F47" s="30" t="s">
        <v>18</v>
      </c>
      <c r="G47" s="96"/>
      <c r="H47" s="97">
        <v>1.8</v>
      </c>
      <c r="I47" s="98">
        <v>3.9</v>
      </c>
      <c r="J47" s="98">
        <v>12.3</v>
      </c>
      <c r="K47" s="97"/>
      <c r="L47" s="97"/>
      <c r="M47" s="96">
        <v>0.03</v>
      </c>
      <c r="N47" s="97"/>
      <c r="O47" s="97"/>
      <c r="P47" s="97"/>
      <c r="Q47" s="97"/>
      <c r="R47" s="97"/>
      <c r="S47" s="96">
        <f t="shared" si="2"/>
        <v>18.03</v>
      </c>
      <c r="T47" s="294"/>
      <c r="X47" s="79"/>
      <c r="Y47" s="79"/>
      <c r="Z47" s="79"/>
    </row>
    <row r="48" spans="1:26" ht="29.25" customHeight="1">
      <c r="A48" s="291">
        <v>23</v>
      </c>
      <c r="B48" s="282" t="s">
        <v>86</v>
      </c>
      <c r="C48" s="291" t="s">
        <v>70</v>
      </c>
      <c r="D48" s="291">
        <v>67</v>
      </c>
      <c r="E48" s="291">
        <v>3</v>
      </c>
      <c r="F48" s="20" t="s">
        <v>112</v>
      </c>
      <c r="G48" s="94">
        <v>0</v>
      </c>
      <c r="H48" s="94">
        <v>0</v>
      </c>
      <c r="I48" s="94">
        <v>63</v>
      </c>
      <c r="J48" s="94">
        <v>43</v>
      </c>
      <c r="K48" s="94">
        <v>0</v>
      </c>
      <c r="L48" s="94">
        <v>11</v>
      </c>
      <c r="M48" s="94">
        <v>0</v>
      </c>
      <c r="N48" s="94">
        <v>0</v>
      </c>
      <c r="O48" s="94">
        <v>0</v>
      </c>
      <c r="P48" s="94">
        <v>0</v>
      </c>
      <c r="Q48" s="94">
        <v>0</v>
      </c>
      <c r="R48" s="94">
        <v>41</v>
      </c>
      <c r="S48" s="95">
        <f t="shared" si="2"/>
        <v>158</v>
      </c>
      <c r="T48" s="292">
        <f>S49/S48</f>
        <v>0.23037974683544302</v>
      </c>
    </row>
    <row r="49" spans="1:26" s="25" customFormat="1" ht="28.5" customHeight="1">
      <c r="A49" s="276"/>
      <c r="B49" s="278"/>
      <c r="C49" s="276"/>
      <c r="D49" s="270"/>
      <c r="E49" s="270"/>
      <c r="F49" s="104" t="s">
        <v>18</v>
      </c>
      <c r="G49" s="105"/>
      <c r="H49" s="108"/>
      <c r="I49" s="107">
        <v>14.2</v>
      </c>
      <c r="J49" s="107">
        <v>21.7</v>
      </c>
      <c r="K49" s="108"/>
      <c r="L49" s="107">
        <v>0.5</v>
      </c>
      <c r="M49" s="105"/>
      <c r="N49" s="108"/>
      <c r="O49" s="108"/>
      <c r="P49" s="108"/>
      <c r="Q49" s="108"/>
      <c r="R49" s="108"/>
      <c r="S49" s="105">
        <f t="shared" si="2"/>
        <v>36.4</v>
      </c>
      <c r="T49" s="290"/>
      <c r="X49" s="79"/>
      <c r="Y49" s="79"/>
      <c r="Z49" s="79"/>
    </row>
    <row r="50" spans="1:26" ht="28.5" customHeight="1">
      <c r="A50" s="275">
        <v>24</v>
      </c>
      <c r="B50" s="277" t="s">
        <v>88</v>
      </c>
      <c r="C50" s="275" t="s">
        <v>70</v>
      </c>
      <c r="D50" s="295"/>
      <c r="E50" s="295"/>
      <c r="F50" s="20" t="s">
        <v>112</v>
      </c>
      <c r="G50" s="61">
        <v>0</v>
      </c>
      <c r="H50" s="62">
        <v>0</v>
      </c>
      <c r="I50" s="62">
        <v>5</v>
      </c>
      <c r="J50" s="62">
        <v>101</v>
      </c>
      <c r="K50" s="62">
        <v>0</v>
      </c>
      <c r="L50" s="62">
        <v>0</v>
      </c>
      <c r="M50" s="62">
        <v>0</v>
      </c>
      <c r="N50" s="62">
        <v>0</v>
      </c>
      <c r="O50" s="62">
        <v>0</v>
      </c>
      <c r="P50" s="62">
        <v>0</v>
      </c>
      <c r="Q50" s="62">
        <v>0</v>
      </c>
      <c r="R50" s="62">
        <v>0</v>
      </c>
      <c r="S50" s="26">
        <f t="shared" si="2"/>
        <v>106</v>
      </c>
      <c r="T50" s="289">
        <f>S51/S50</f>
        <v>0.23584905660377359</v>
      </c>
    </row>
    <row r="51" spans="1:26" s="25" customFormat="1" ht="28.5" customHeight="1">
      <c r="A51" s="293"/>
      <c r="B51" s="281"/>
      <c r="C51" s="293"/>
      <c r="D51" s="296"/>
      <c r="E51" s="296"/>
      <c r="F51" s="30" t="s">
        <v>18</v>
      </c>
      <c r="G51" s="96">
        <v>0</v>
      </c>
      <c r="H51" s="97">
        <v>0</v>
      </c>
      <c r="I51" s="97">
        <v>0</v>
      </c>
      <c r="J51" s="97">
        <v>25</v>
      </c>
      <c r="K51" s="97">
        <v>0</v>
      </c>
      <c r="L51" s="97">
        <v>0</v>
      </c>
      <c r="M51" s="96">
        <v>0</v>
      </c>
      <c r="N51" s="97">
        <v>0</v>
      </c>
      <c r="O51" s="97">
        <v>0</v>
      </c>
      <c r="P51" s="97">
        <v>0</v>
      </c>
      <c r="Q51" s="97">
        <v>0</v>
      </c>
      <c r="R51" s="97">
        <v>0</v>
      </c>
      <c r="S51" s="96">
        <f t="shared" si="2"/>
        <v>25</v>
      </c>
      <c r="T51" s="294"/>
      <c r="X51" s="79"/>
      <c r="Y51" s="79"/>
      <c r="Z51" s="79"/>
    </row>
    <row r="52" spans="1:26" ht="28.5" customHeight="1">
      <c r="A52" s="291">
        <v>25</v>
      </c>
      <c r="B52" s="282" t="s">
        <v>90</v>
      </c>
      <c r="C52" s="291" t="s">
        <v>70</v>
      </c>
      <c r="D52" s="291">
        <v>13</v>
      </c>
      <c r="E52" s="291">
        <v>0</v>
      </c>
      <c r="F52" s="20" t="s">
        <v>112</v>
      </c>
      <c r="G52" s="94">
        <v>0</v>
      </c>
      <c r="H52" s="94">
        <v>0</v>
      </c>
      <c r="I52" s="94">
        <v>36</v>
      </c>
      <c r="J52" s="94">
        <v>77</v>
      </c>
      <c r="K52" s="94">
        <v>0</v>
      </c>
      <c r="L52" s="94">
        <v>4</v>
      </c>
      <c r="M52" s="94">
        <v>0</v>
      </c>
      <c r="N52" s="94">
        <v>0</v>
      </c>
      <c r="O52" s="94">
        <v>0</v>
      </c>
      <c r="P52" s="94">
        <v>0</v>
      </c>
      <c r="Q52" s="94">
        <v>0</v>
      </c>
      <c r="R52" s="94">
        <v>17</v>
      </c>
      <c r="S52" s="95">
        <f t="shared" si="2"/>
        <v>134</v>
      </c>
      <c r="T52" s="292">
        <f>S53/S52</f>
        <v>0.12686567164179105</v>
      </c>
    </row>
    <row r="53" spans="1:26" s="25" customFormat="1" ht="28.5" customHeight="1">
      <c r="A53" s="293"/>
      <c r="B53" s="281"/>
      <c r="C53" s="293"/>
      <c r="D53" s="288"/>
      <c r="E53" s="288"/>
      <c r="F53" s="99" t="s">
        <v>18</v>
      </c>
      <c r="G53" s="102"/>
      <c r="H53" s="103"/>
      <c r="I53" s="101">
        <v>3</v>
      </c>
      <c r="J53" s="101">
        <v>14</v>
      </c>
      <c r="K53" s="101"/>
      <c r="L53" s="101"/>
      <c r="M53" s="109"/>
      <c r="N53" s="101"/>
      <c r="O53" s="103"/>
      <c r="P53" s="103"/>
      <c r="Q53" s="103"/>
      <c r="R53" s="103"/>
      <c r="S53" s="102">
        <f t="shared" si="2"/>
        <v>17</v>
      </c>
      <c r="T53" s="294"/>
      <c r="X53" s="79"/>
      <c r="Y53" s="79"/>
      <c r="Z53" s="79"/>
    </row>
    <row r="54" spans="1:26" ht="28.5" customHeight="1">
      <c r="A54" s="291">
        <v>26</v>
      </c>
      <c r="B54" s="282" t="s">
        <v>92</v>
      </c>
      <c r="C54" s="291" t="s">
        <v>70</v>
      </c>
      <c r="D54" s="291">
        <v>9</v>
      </c>
      <c r="E54" s="291">
        <v>2</v>
      </c>
      <c r="F54" s="20" t="s">
        <v>112</v>
      </c>
      <c r="G54" s="94">
        <v>0</v>
      </c>
      <c r="H54" s="94">
        <v>0</v>
      </c>
      <c r="I54" s="94">
        <v>45</v>
      </c>
      <c r="J54" s="94">
        <v>69</v>
      </c>
      <c r="K54" s="94">
        <v>0</v>
      </c>
      <c r="L54" s="94">
        <v>0</v>
      </c>
      <c r="M54" s="94">
        <v>0</v>
      </c>
      <c r="N54" s="94">
        <v>0</v>
      </c>
      <c r="O54" s="94">
        <v>0</v>
      </c>
      <c r="P54" s="94">
        <v>0</v>
      </c>
      <c r="Q54" s="94">
        <v>0</v>
      </c>
      <c r="R54" s="94">
        <v>19</v>
      </c>
      <c r="S54" s="95">
        <f t="shared" si="2"/>
        <v>133</v>
      </c>
      <c r="T54" s="292">
        <f>S55/S54</f>
        <v>0.11503759398496241</v>
      </c>
    </row>
    <row r="55" spans="1:26" s="25" customFormat="1" ht="28.5" customHeight="1">
      <c r="A55" s="276"/>
      <c r="B55" s="278"/>
      <c r="C55" s="276"/>
      <c r="D55" s="270"/>
      <c r="E55" s="270"/>
      <c r="F55" s="104" t="s">
        <v>18</v>
      </c>
      <c r="G55" s="105"/>
      <c r="H55" s="108"/>
      <c r="I55" s="107">
        <v>3</v>
      </c>
      <c r="J55" s="107">
        <v>12.3</v>
      </c>
      <c r="K55" s="108"/>
      <c r="L55" s="108"/>
      <c r="M55" s="105"/>
      <c r="N55" s="108"/>
      <c r="O55" s="108"/>
      <c r="P55" s="108"/>
      <c r="Q55" s="108"/>
      <c r="R55" s="108"/>
      <c r="S55" s="105">
        <f t="shared" si="2"/>
        <v>15.3</v>
      </c>
      <c r="T55" s="290"/>
      <c r="X55" s="79"/>
      <c r="Y55" s="79"/>
      <c r="Z55" s="79"/>
    </row>
    <row r="56" spans="1:26">
      <c r="R56" t="s">
        <v>128</v>
      </c>
      <c r="S56" s="110">
        <f>S5+S7+S9+S11+S13+S15+S17+S19+S21+S23+S25+S27+S29+S31+S33+S35+S37+S39+S41+S43+S45+S47+S49+S51+S53+S55</f>
        <v>1475.481</v>
      </c>
    </row>
  </sheetData>
  <autoFilter ref="A3:Z56" xr:uid="{C259BDF6-2221-475B-90B4-59F633C2D0F5}">
    <filterColumn colId="4" showButton="0"/>
  </autoFilter>
  <mergeCells count="160">
    <mergeCell ref="A6:A7"/>
    <mergeCell ref="B6:B7"/>
    <mergeCell ref="C6:C7"/>
    <mergeCell ref="D6:D7"/>
    <mergeCell ref="E6:E7"/>
    <mergeCell ref="T6:T7"/>
    <mergeCell ref="D2:F2"/>
    <mergeCell ref="G2:R2"/>
    <mergeCell ref="S2:T2"/>
    <mergeCell ref="E3:F3"/>
    <mergeCell ref="A4:A5"/>
    <mergeCell ref="B4:B5"/>
    <mergeCell ref="C4:C5"/>
    <mergeCell ref="D4:D5"/>
    <mergeCell ref="E4:E5"/>
    <mergeCell ref="T4:T5"/>
    <mergeCell ref="A10:A11"/>
    <mergeCell ref="B10:B11"/>
    <mergeCell ref="C10:C11"/>
    <mergeCell ref="D10:D11"/>
    <mergeCell ref="E10:E11"/>
    <mergeCell ref="T10:T11"/>
    <mergeCell ref="A8:A9"/>
    <mergeCell ref="B8:B9"/>
    <mergeCell ref="C8:C9"/>
    <mergeCell ref="D8:D9"/>
    <mergeCell ref="E8:E9"/>
    <mergeCell ref="T8:T9"/>
    <mergeCell ref="A14:A15"/>
    <mergeCell ref="B14:B15"/>
    <mergeCell ref="C14:C15"/>
    <mergeCell ref="D14:D15"/>
    <mergeCell ref="E14:E15"/>
    <mergeCell ref="T14:T15"/>
    <mergeCell ref="A12:A13"/>
    <mergeCell ref="B12:B13"/>
    <mergeCell ref="C12:C13"/>
    <mergeCell ref="D12:D13"/>
    <mergeCell ref="E12:E13"/>
    <mergeCell ref="T12:T13"/>
    <mergeCell ref="A18:A19"/>
    <mergeCell ref="B18:B19"/>
    <mergeCell ref="C18:C19"/>
    <mergeCell ref="D18:D19"/>
    <mergeCell ref="E18:E19"/>
    <mergeCell ref="T18:T19"/>
    <mergeCell ref="A16:A17"/>
    <mergeCell ref="B16:B17"/>
    <mergeCell ref="C16:C17"/>
    <mergeCell ref="D16:D17"/>
    <mergeCell ref="E16:E17"/>
    <mergeCell ref="T16:T17"/>
    <mergeCell ref="A22:A23"/>
    <mergeCell ref="B22:B23"/>
    <mergeCell ref="C22:C23"/>
    <mergeCell ref="D22:D23"/>
    <mergeCell ref="E22:E23"/>
    <mergeCell ref="T22:T23"/>
    <mergeCell ref="A20:A21"/>
    <mergeCell ref="B20:B21"/>
    <mergeCell ref="C20:C21"/>
    <mergeCell ref="D20:D21"/>
    <mergeCell ref="E20:E21"/>
    <mergeCell ref="T20:T21"/>
    <mergeCell ref="A26:A27"/>
    <mergeCell ref="B26:B27"/>
    <mergeCell ref="C26:C27"/>
    <mergeCell ref="D26:D27"/>
    <mergeCell ref="E26:E27"/>
    <mergeCell ref="T26:T27"/>
    <mergeCell ref="A24:A25"/>
    <mergeCell ref="B24:B25"/>
    <mergeCell ref="C24:C25"/>
    <mergeCell ref="D24:D25"/>
    <mergeCell ref="E24:E25"/>
    <mergeCell ref="T24:T25"/>
    <mergeCell ref="A30:A31"/>
    <mergeCell ref="B30:B31"/>
    <mergeCell ref="C30:C31"/>
    <mergeCell ref="D30:D31"/>
    <mergeCell ref="E30:E31"/>
    <mergeCell ref="T30:T31"/>
    <mergeCell ref="A28:A29"/>
    <mergeCell ref="B28:B29"/>
    <mergeCell ref="C28:C29"/>
    <mergeCell ref="D28:D29"/>
    <mergeCell ref="E28:E29"/>
    <mergeCell ref="T28:T29"/>
    <mergeCell ref="A34:A35"/>
    <mergeCell ref="B34:B35"/>
    <mergeCell ref="C34:C35"/>
    <mergeCell ref="D34:D35"/>
    <mergeCell ref="E34:E35"/>
    <mergeCell ref="T34:T35"/>
    <mergeCell ref="A32:A33"/>
    <mergeCell ref="B32:B33"/>
    <mergeCell ref="C32:C33"/>
    <mergeCell ref="D32:D33"/>
    <mergeCell ref="E32:E33"/>
    <mergeCell ref="T32:T33"/>
    <mergeCell ref="A38:A39"/>
    <mergeCell ref="B38:B39"/>
    <mergeCell ref="C38:C39"/>
    <mergeCell ref="D38:D39"/>
    <mergeCell ref="E38:E39"/>
    <mergeCell ref="T38:T39"/>
    <mergeCell ref="A36:A37"/>
    <mergeCell ref="B36:B37"/>
    <mergeCell ref="C36:C37"/>
    <mergeCell ref="D36:D37"/>
    <mergeCell ref="E36:E37"/>
    <mergeCell ref="T36:T37"/>
    <mergeCell ref="A42:A43"/>
    <mergeCell ref="B42:B43"/>
    <mergeCell ref="C42:C43"/>
    <mergeCell ref="D42:D43"/>
    <mergeCell ref="E42:E43"/>
    <mergeCell ref="T42:T43"/>
    <mergeCell ref="A40:A41"/>
    <mergeCell ref="B40:B41"/>
    <mergeCell ref="C40:C41"/>
    <mergeCell ref="D40:D41"/>
    <mergeCell ref="E40:E41"/>
    <mergeCell ref="T40:T41"/>
    <mergeCell ref="A46:A47"/>
    <mergeCell ref="B46:B47"/>
    <mergeCell ref="C46:C47"/>
    <mergeCell ref="D46:D47"/>
    <mergeCell ref="E46:E47"/>
    <mergeCell ref="T46:T47"/>
    <mergeCell ref="A44:A45"/>
    <mergeCell ref="B44:B45"/>
    <mergeCell ref="C44:C45"/>
    <mergeCell ref="D44:D45"/>
    <mergeCell ref="E44:E45"/>
    <mergeCell ref="T44:T45"/>
    <mergeCell ref="A50:A51"/>
    <mergeCell ref="B50:B51"/>
    <mergeCell ref="C50:C51"/>
    <mergeCell ref="D50:D51"/>
    <mergeCell ref="E50:E51"/>
    <mergeCell ref="T50:T51"/>
    <mergeCell ref="A48:A49"/>
    <mergeCell ref="B48:B49"/>
    <mergeCell ref="C48:C49"/>
    <mergeCell ref="D48:D49"/>
    <mergeCell ref="E48:E49"/>
    <mergeCell ref="T48:T49"/>
    <mergeCell ref="A54:A55"/>
    <mergeCell ref="B54:B55"/>
    <mergeCell ref="C54:C55"/>
    <mergeCell ref="D54:D55"/>
    <mergeCell ref="E54:E55"/>
    <mergeCell ref="T54:T55"/>
    <mergeCell ref="A52:A53"/>
    <mergeCell ref="B52:B53"/>
    <mergeCell ref="C52:C53"/>
    <mergeCell ref="D52:D53"/>
    <mergeCell ref="E52:E53"/>
    <mergeCell ref="T52:T53"/>
  </mergeCells>
  <phoneticPr fontId="25"/>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78305-3D7B-4220-B589-DF137A60B971}">
  <dimension ref="A2:Z56"/>
  <sheetViews>
    <sheetView workbookViewId="0">
      <pane xSplit="6" ySplit="3" topLeftCell="G20" activePane="bottomRight" state="frozen"/>
      <selection pane="topRight"/>
      <selection pane="bottomLeft"/>
      <selection pane="bottomRight" activeCell="A20" sqref="A20"/>
    </sheetView>
  </sheetViews>
  <sheetFormatPr defaultRowHeight="14.4"/>
  <cols>
    <col min="1" max="1" width="5.6640625" style="5" customWidth="1"/>
    <col min="2" max="2" width="20.33203125" bestFit="1" customWidth="1"/>
    <col min="3" max="3" width="6.44140625" bestFit="1" customWidth="1"/>
    <col min="4" max="5" width="9.6640625" customWidth="1"/>
    <col min="6" max="6" width="10.6640625" bestFit="1" customWidth="1"/>
    <col min="7" max="7" width="15.109375" customWidth="1"/>
    <col min="8" max="18" width="12.6640625" customWidth="1"/>
    <col min="19" max="19" width="14.33203125" customWidth="1"/>
    <col min="20" max="20" width="20.6640625" customWidth="1"/>
    <col min="24" max="26" width="21" style="5" customWidth="1"/>
  </cols>
  <sheetData>
    <row r="2" spans="1:26" s="5" customFormat="1" ht="22.5" customHeight="1">
      <c r="A2" s="6"/>
      <c r="B2" s="7"/>
      <c r="C2" s="7"/>
      <c r="D2" s="284" t="s">
        <v>94</v>
      </c>
      <c r="E2" s="285"/>
      <c r="F2" s="286"/>
      <c r="G2" s="283" t="s">
        <v>95</v>
      </c>
      <c r="H2" s="283"/>
      <c r="I2" s="283"/>
      <c r="J2" s="283"/>
      <c r="K2" s="283"/>
      <c r="L2" s="283"/>
      <c r="M2" s="283"/>
      <c r="N2" s="283"/>
      <c r="O2" s="283"/>
      <c r="P2" s="283"/>
      <c r="Q2" s="283"/>
      <c r="R2" s="283"/>
      <c r="S2" s="279" t="s">
        <v>96</v>
      </c>
      <c r="T2" s="280"/>
    </row>
    <row r="3" spans="1:26" s="5" customFormat="1" ht="41.4">
      <c r="A3" s="2" t="s">
        <v>2</v>
      </c>
      <c r="B3" s="3" t="s">
        <v>3</v>
      </c>
      <c r="C3" s="3" t="s">
        <v>4</v>
      </c>
      <c r="D3" s="28" t="s">
        <v>97</v>
      </c>
      <c r="E3" s="287" t="s">
        <v>98</v>
      </c>
      <c r="F3" s="287"/>
      <c r="G3" s="29" t="s">
        <v>99</v>
      </c>
      <c r="H3" s="19" t="s">
        <v>100</v>
      </c>
      <c r="I3" s="19" t="s">
        <v>101</v>
      </c>
      <c r="J3" s="19" t="s">
        <v>102</v>
      </c>
      <c r="K3" s="19" t="s">
        <v>14</v>
      </c>
      <c r="L3" s="19" t="s">
        <v>103</v>
      </c>
      <c r="M3" s="19" t="s">
        <v>104</v>
      </c>
      <c r="N3" s="19" t="s">
        <v>105</v>
      </c>
      <c r="O3" s="19" t="s">
        <v>106</v>
      </c>
      <c r="P3" s="19" t="s">
        <v>107</v>
      </c>
      <c r="Q3" s="19" t="s">
        <v>108</v>
      </c>
      <c r="R3" s="19" t="s">
        <v>109</v>
      </c>
      <c r="S3" s="21" t="s">
        <v>110</v>
      </c>
      <c r="T3" s="22" t="s">
        <v>111</v>
      </c>
      <c r="X3" s="78" t="s">
        <v>124</v>
      </c>
      <c r="Y3" s="78" t="s">
        <v>125</v>
      </c>
      <c r="Z3" s="78" t="s">
        <v>126</v>
      </c>
    </row>
    <row r="4" spans="1:26" s="1" customFormat="1" ht="28.5" customHeight="1">
      <c r="A4" s="275">
        <v>1</v>
      </c>
      <c r="B4" s="277" t="s">
        <v>20</v>
      </c>
      <c r="C4" s="275" t="s">
        <v>21</v>
      </c>
      <c r="D4" s="271"/>
      <c r="E4" s="271"/>
      <c r="F4" s="31" t="s">
        <v>112</v>
      </c>
      <c r="G4" s="111">
        <v>0</v>
      </c>
      <c r="H4" s="112">
        <v>1</v>
      </c>
      <c r="I4" s="112">
        <v>132</v>
      </c>
      <c r="J4" s="112">
        <v>8</v>
      </c>
      <c r="K4" s="112">
        <v>0</v>
      </c>
      <c r="L4" s="112">
        <v>5</v>
      </c>
      <c r="M4" s="112">
        <v>0</v>
      </c>
      <c r="N4" s="112">
        <v>0</v>
      </c>
      <c r="O4" s="112">
        <v>0</v>
      </c>
      <c r="P4" s="112">
        <v>0</v>
      </c>
      <c r="Q4" s="112">
        <v>0</v>
      </c>
      <c r="R4" s="112">
        <v>20</v>
      </c>
      <c r="S4" s="27">
        <f t="shared" ref="S4:S32" si="0">SUM(G4:R4)</f>
        <v>166</v>
      </c>
      <c r="T4" s="273">
        <f>S5/S4</f>
        <v>0.83734939759036142</v>
      </c>
      <c r="V4" s="47"/>
      <c r="W4" s="115"/>
      <c r="X4" s="5"/>
      <c r="Y4" s="5"/>
      <c r="Z4" s="5"/>
    </row>
    <row r="5" spans="1:26" s="24" customFormat="1" ht="28.5" customHeight="1">
      <c r="A5" s="276"/>
      <c r="B5" s="278"/>
      <c r="C5" s="276"/>
      <c r="D5" s="272"/>
      <c r="E5" s="272"/>
      <c r="F5" s="23" t="s">
        <v>18</v>
      </c>
      <c r="G5" s="33">
        <v>15</v>
      </c>
      <c r="H5" s="34">
        <v>12</v>
      </c>
      <c r="I5" s="34">
        <v>50</v>
      </c>
      <c r="J5" s="34">
        <v>31</v>
      </c>
      <c r="K5" s="34">
        <v>0</v>
      </c>
      <c r="L5" s="34">
        <v>0</v>
      </c>
      <c r="M5" s="34">
        <v>2</v>
      </c>
      <c r="N5" s="34">
        <v>0</v>
      </c>
      <c r="O5" s="34">
        <v>0</v>
      </c>
      <c r="P5" s="34">
        <v>15</v>
      </c>
      <c r="Q5" s="34">
        <v>12</v>
      </c>
      <c r="R5" s="34">
        <v>2</v>
      </c>
      <c r="S5" s="27">
        <f t="shared" si="0"/>
        <v>139</v>
      </c>
      <c r="T5" s="274"/>
      <c r="X5" s="79"/>
      <c r="Y5" s="79"/>
      <c r="Z5" s="79"/>
    </row>
    <row r="6" spans="1:26" s="1" customFormat="1" ht="28.5" customHeight="1">
      <c r="A6" s="275">
        <v>2</v>
      </c>
      <c r="B6" s="277" t="s">
        <v>24</v>
      </c>
      <c r="C6" s="275" t="s">
        <v>21</v>
      </c>
      <c r="D6" s="271"/>
      <c r="E6" s="271">
        <v>12</v>
      </c>
      <c r="F6" s="20" t="s">
        <v>112</v>
      </c>
      <c r="G6" s="111">
        <v>9</v>
      </c>
      <c r="H6" s="112">
        <v>59</v>
      </c>
      <c r="I6" s="112">
        <v>15</v>
      </c>
      <c r="J6" s="112">
        <v>276</v>
      </c>
      <c r="K6" s="112">
        <v>0</v>
      </c>
      <c r="L6" s="112">
        <v>0</v>
      </c>
      <c r="M6" s="112">
        <v>0</v>
      </c>
      <c r="N6" s="112">
        <v>0</v>
      </c>
      <c r="O6" s="112">
        <v>0</v>
      </c>
      <c r="P6" s="112">
        <v>0</v>
      </c>
      <c r="Q6" s="112">
        <v>0</v>
      </c>
      <c r="R6" s="112">
        <v>31</v>
      </c>
      <c r="S6" s="27">
        <f t="shared" si="0"/>
        <v>390</v>
      </c>
      <c r="T6" s="273">
        <f>S7/S6</f>
        <v>0.20410256410256408</v>
      </c>
      <c r="V6" s="24"/>
      <c r="W6" s="47">
        <f>AVERAGE(S4,S6,S8,S10,S12,S16,S18,S20,S22)</f>
        <v>286.77777777777777</v>
      </c>
      <c r="X6" s="5"/>
      <c r="Y6" s="5"/>
      <c r="Z6" s="5"/>
    </row>
    <row r="7" spans="1:26" s="24" customFormat="1" ht="28.5" customHeight="1">
      <c r="A7" s="276"/>
      <c r="B7" s="278"/>
      <c r="C7" s="276"/>
      <c r="D7" s="272"/>
      <c r="E7" s="272"/>
      <c r="F7" s="23" t="s">
        <v>18</v>
      </c>
      <c r="G7" s="33">
        <v>5.6</v>
      </c>
      <c r="H7" s="34">
        <v>5</v>
      </c>
      <c r="I7" s="34" t="s">
        <v>114</v>
      </c>
      <c r="J7" s="34">
        <v>63</v>
      </c>
      <c r="K7" s="34" t="s">
        <v>114</v>
      </c>
      <c r="L7" s="34" t="s">
        <v>114</v>
      </c>
      <c r="M7" s="34">
        <v>1</v>
      </c>
      <c r="N7" s="34" t="s">
        <v>114</v>
      </c>
      <c r="O7" s="34" t="s">
        <v>114</v>
      </c>
      <c r="P7" s="34">
        <v>5</v>
      </c>
      <c r="Q7" s="34" t="s">
        <v>114</v>
      </c>
      <c r="R7" s="34" t="s">
        <v>114</v>
      </c>
      <c r="S7" s="67">
        <f t="shared" si="0"/>
        <v>79.599999999999994</v>
      </c>
      <c r="T7" s="274"/>
      <c r="W7" s="24">
        <f>AVERAGE(S5,S7,S9,S11,S13,S17,S21,S23)</f>
        <v>70.737500000000011</v>
      </c>
      <c r="X7" s="79"/>
      <c r="Y7" s="79"/>
      <c r="Z7" s="79"/>
    </row>
    <row r="8" spans="1:26" s="1" customFormat="1" ht="28.5" customHeight="1">
      <c r="A8" s="275">
        <v>3</v>
      </c>
      <c r="B8" s="277" t="s">
        <v>27</v>
      </c>
      <c r="C8" s="275" t="s">
        <v>21</v>
      </c>
      <c r="D8" s="271"/>
      <c r="E8" s="271"/>
      <c r="F8" s="20" t="s">
        <v>112</v>
      </c>
      <c r="G8" s="111">
        <v>0</v>
      </c>
      <c r="H8" s="112">
        <v>0</v>
      </c>
      <c r="I8" s="112">
        <v>68</v>
      </c>
      <c r="J8" s="112">
        <v>182</v>
      </c>
      <c r="K8" s="112">
        <v>0</v>
      </c>
      <c r="L8" s="112">
        <v>0</v>
      </c>
      <c r="M8" s="112">
        <v>0</v>
      </c>
      <c r="N8" s="112">
        <v>0</v>
      </c>
      <c r="O8" s="112">
        <v>0</v>
      </c>
      <c r="P8" s="112">
        <v>0</v>
      </c>
      <c r="Q8" s="112">
        <v>0</v>
      </c>
      <c r="R8" s="112">
        <v>0</v>
      </c>
      <c r="S8" s="27">
        <f t="shared" si="0"/>
        <v>250</v>
      </c>
      <c r="T8" s="273">
        <f>S9/S8</f>
        <v>0.18</v>
      </c>
      <c r="V8" s="47"/>
      <c r="W8" s="115">
        <f>AVERAGE(T4,T6,T8,T12,T16,T18,T20,T22)</f>
        <v>0.3261136087894092</v>
      </c>
      <c r="X8" s="5"/>
      <c r="Y8" s="5"/>
      <c r="Z8" s="5"/>
    </row>
    <row r="9" spans="1:26" s="1" customFormat="1" ht="28.5" customHeight="1">
      <c r="A9" s="276"/>
      <c r="B9" s="278"/>
      <c r="C9" s="276"/>
      <c r="D9" s="272"/>
      <c r="E9" s="272"/>
      <c r="F9" s="20" t="s">
        <v>18</v>
      </c>
      <c r="G9" s="33" t="s">
        <v>135</v>
      </c>
      <c r="H9" s="34" t="s">
        <v>135</v>
      </c>
      <c r="I9" s="34">
        <v>30</v>
      </c>
      <c r="J9" s="34">
        <v>15</v>
      </c>
      <c r="K9" s="34" t="s">
        <v>135</v>
      </c>
      <c r="L9" s="34" t="s">
        <v>135</v>
      </c>
      <c r="M9" s="34" t="s">
        <v>135</v>
      </c>
      <c r="N9" s="34" t="s">
        <v>135</v>
      </c>
      <c r="O9" s="34" t="s">
        <v>135</v>
      </c>
      <c r="P9" s="34" t="s">
        <v>135</v>
      </c>
      <c r="Q9" s="34" t="s">
        <v>135</v>
      </c>
      <c r="R9" s="34" t="s">
        <v>135</v>
      </c>
      <c r="S9" s="27">
        <f t="shared" si="0"/>
        <v>45</v>
      </c>
      <c r="T9" s="274"/>
      <c r="X9" s="5"/>
      <c r="Y9" s="5"/>
      <c r="Z9" s="5"/>
    </row>
    <row r="10" spans="1:26" s="1" customFormat="1" ht="28.5" customHeight="1">
      <c r="A10" s="275">
        <v>4</v>
      </c>
      <c r="B10" s="277" t="s">
        <v>30</v>
      </c>
      <c r="C10" s="275" t="s">
        <v>21</v>
      </c>
      <c r="D10" s="271"/>
      <c r="E10" s="271"/>
      <c r="F10" s="20" t="s">
        <v>112</v>
      </c>
      <c r="G10" s="52"/>
      <c r="H10" s="53">
        <v>4</v>
      </c>
      <c r="I10" s="53">
        <v>4</v>
      </c>
      <c r="J10" s="53"/>
      <c r="K10" s="53"/>
      <c r="L10" s="53"/>
      <c r="M10" s="53"/>
      <c r="N10" s="53"/>
      <c r="O10" s="53"/>
      <c r="P10" s="53"/>
      <c r="Q10" s="53"/>
      <c r="R10" s="53"/>
      <c r="S10" s="27">
        <f t="shared" si="0"/>
        <v>8</v>
      </c>
      <c r="T10" s="273">
        <f>S11/S10</f>
        <v>3.6625000000000001</v>
      </c>
      <c r="W10" s="1">
        <f>30/8</f>
        <v>3.75</v>
      </c>
      <c r="X10" s="5"/>
      <c r="Y10" s="5"/>
      <c r="Z10" s="5"/>
    </row>
    <row r="11" spans="1:26" s="24" customFormat="1" ht="28.5" customHeight="1">
      <c r="A11" s="276"/>
      <c r="B11" s="278"/>
      <c r="C11" s="276"/>
      <c r="D11" s="272"/>
      <c r="E11" s="272"/>
      <c r="F11" s="23" t="s">
        <v>18</v>
      </c>
      <c r="G11" s="33"/>
      <c r="H11" s="34">
        <v>9</v>
      </c>
      <c r="I11" s="88">
        <v>20.3</v>
      </c>
      <c r="J11" s="34"/>
      <c r="K11" s="34"/>
      <c r="L11" s="34"/>
      <c r="M11" s="34"/>
      <c r="N11" s="34"/>
      <c r="O11" s="34"/>
      <c r="P11" s="34"/>
      <c r="Q11" s="34"/>
      <c r="R11" s="34"/>
      <c r="S11" s="67">
        <f t="shared" si="0"/>
        <v>29.3</v>
      </c>
      <c r="T11" s="274"/>
      <c r="X11" s="79"/>
      <c r="Y11" s="79"/>
      <c r="Z11" s="79"/>
    </row>
    <row r="12" spans="1:26" s="1" customFormat="1" ht="28.5" customHeight="1">
      <c r="A12" s="275">
        <v>5</v>
      </c>
      <c r="B12" s="277" t="s">
        <v>33</v>
      </c>
      <c r="C12" s="275" t="s">
        <v>21</v>
      </c>
      <c r="D12" s="271">
        <v>340</v>
      </c>
      <c r="E12" s="271">
        <v>1</v>
      </c>
      <c r="F12" s="20" t="s">
        <v>112</v>
      </c>
      <c r="G12" s="72"/>
      <c r="H12" s="73"/>
      <c r="I12" s="73"/>
      <c r="J12" s="73"/>
      <c r="K12" s="73"/>
      <c r="L12" s="73"/>
      <c r="M12" s="72"/>
      <c r="N12" s="73"/>
      <c r="O12" s="73"/>
      <c r="P12" s="73"/>
      <c r="Q12" s="73"/>
      <c r="R12" s="73">
        <v>573</v>
      </c>
      <c r="S12" s="27">
        <f t="shared" si="0"/>
        <v>573</v>
      </c>
      <c r="T12" s="273">
        <f>S13/S12</f>
        <v>7.5043630017452012E-2</v>
      </c>
      <c r="X12" s="5"/>
      <c r="Y12" s="5"/>
      <c r="Z12" s="5"/>
    </row>
    <row r="13" spans="1:26" s="24" customFormat="1" ht="28.5" customHeight="1">
      <c r="A13" s="276"/>
      <c r="B13" s="278"/>
      <c r="C13" s="276"/>
      <c r="D13" s="272"/>
      <c r="E13" s="272"/>
      <c r="F13" s="23" t="s">
        <v>18</v>
      </c>
      <c r="G13" s="26"/>
      <c r="H13" s="27"/>
      <c r="I13" s="27"/>
      <c r="J13" s="27"/>
      <c r="K13" s="27"/>
      <c r="L13" s="27"/>
      <c r="M13" s="27"/>
      <c r="N13" s="27"/>
      <c r="O13" s="27"/>
      <c r="P13" s="27"/>
      <c r="Q13" s="27"/>
      <c r="R13" s="27">
        <v>43</v>
      </c>
      <c r="S13" s="67">
        <f t="shared" si="0"/>
        <v>43</v>
      </c>
      <c r="T13" s="274"/>
      <c r="X13" s="79"/>
      <c r="Y13" s="79"/>
      <c r="Z13" s="79"/>
    </row>
    <row r="14" spans="1:26" s="1" customFormat="1" ht="28.5" customHeight="1">
      <c r="A14" s="275">
        <v>6</v>
      </c>
      <c r="B14" s="277" t="s">
        <v>36</v>
      </c>
      <c r="C14" s="275" t="s">
        <v>21</v>
      </c>
      <c r="D14" s="271"/>
      <c r="E14" s="271"/>
      <c r="F14" s="20" t="s">
        <v>112</v>
      </c>
      <c r="G14" s="52"/>
      <c r="H14" s="53"/>
      <c r="I14" s="53"/>
      <c r="J14" s="53"/>
      <c r="K14" s="53"/>
      <c r="L14" s="53"/>
      <c r="M14" s="53"/>
      <c r="N14" s="53"/>
      <c r="O14" s="53"/>
      <c r="P14" s="53"/>
      <c r="Q14" s="53"/>
      <c r="R14" s="53"/>
      <c r="S14" s="27">
        <f t="shared" si="0"/>
        <v>0</v>
      </c>
      <c r="T14" s="273"/>
      <c r="X14" s="5"/>
      <c r="Y14" s="5"/>
      <c r="Z14" s="5"/>
    </row>
    <row r="15" spans="1:26" s="24" customFormat="1" ht="28.5" customHeight="1">
      <c r="A15" s="276"/>
      <c r="B15" s="278"/>
      <c r="C15" s="276"/>
      <c r="D15" s="272"/>
      <c r="E15" s="272"/>
      <c r="F15" s="23" t="s">
        <v>18</v>
      </c>
      <c r="G15" s="33"/>
      <c r="H15" s="34"/>
      <c r="I15" s="40"/>
      <c r="J15" s="40"/>
      <c r="K15" s="34"/>
      <c r="L15" s="34"/>
      <c r="M15" s="34"/>
      <c r="N15" s="34"/>
      <c r="O15" s="34"/>
      <c r="P15" s="34"/>
      <c r="Q15" s="34"/>
      <c r="R15" s="34"/>
      <c r="S15" s="67">
        <f t="shared" si="0"/>
        <v>0</v>
      </c>
      <c r="T15" s="274"/>
      <c r="X15" s="79"/>
      <c r="Y15" s="79"/>
      <c r="Z15" s="79"/>
    </row>
    <row r="16" spans="1:26" s="1" customFormat="1" ht="28.5" customHeight="1">
      <c r="A16" s="275">
        <v>7</v>
      </c>
      <c r="B16" s="277" t="s">
        <v>39</v>
      </c>
      <c r="C16" s="275" t="s">
        <v>21</v>
      </c>
      <c r="D16" s="271">
        <v>212</v>
      </c>
      <c r="E16" s="271">
        <v>3</v>
      </c>
      <c r="F16" s="20" t="s">
        <v>112</v>
      </c>
      <c r="G16" s="72">
        <v>27</v>
      </c>
      <c r="H16" s="73">
        <v>14</v>
      </c>
      <c r="I16" s="73">
        <v>54</v>
      </c>
      <c r="J16" s="73">
        <v>33</v>
      </c>
      <c r="K16" s="73">
        <v>0</v>
      </c>
      <c r="L16" s="73">
        <v>0</v>
      </c>
      <c r="M16" s="72">
        <v>0</v>
      </c>
      <c r="N16" s="73">
        <v>0</v>
      </c>
      <c r="O16" s="73">
        <v>0</v>
      </c>
      <c r="P16" s="73">
        <v>0</v>
      </c>
      <c r="Q16" s="73">
        <v>0</v>
      </c>
      <c r="R16" s="73">
        <v>209</v>
      </c>
      <c r="S16" s="27">
        <f t="shared" si="0"/>
        <v>337</v>
      </c>
      <c r="T16" s="289">
        <f>S17/S16</f>
        <v>0.26706231454005935</v>
      </c>
      <c r="X16" s="5"/>
      <c r="Y16" s="5"/>
      <c r="Z16" s="5"/>
    </row>
    <row r="17" spans="1:26" s="24" customFormat="1" ht="28.5" customHeight="1">
      <c r="A17" s="276"/>
      <c r="B17" s="278"/>
      <c r="C17" s="276"/>
      <c r="D17" s="272"/>
      <c r="E17" s="272"/>
      <c r="F17" s="23" t="s">
        <v>18</v>
      </c>
      <c r="G17" s="26">
        <v>50</v>
      </c>
      <c r="H17" s="27"/>
      <c r="I17" s="27">
        <v>30</v>
      </c>
      <c r="J17" s="27">
        <v>10</v>
      </c>
      <c r="K17" s="27"/>
      <c r="L17" s="27"/>
      <c r="M17" s="27"/>
      <c r="N17" s="27"/>
      <c r="O17" s="27"/>
      <c r="P17" s="27"/>
      <c r="Q17" s="27"/>
      <c r="R17" s="27"/>
      <c r="S17" s="27">
        <f t="shared" si="0"/>
        <v>90</v>
      </c>
      <c r="T17" s="290"/>
      <c r="X17" s="79"/>
      <c r="Y17" s="79"/>
      <c r="Z17" s="79"/>
    </row>
    <row r="18" spans="1:26" s="1" customFormat="1" ht="28.5" customHeight="1">
      <c r="A18" s="275">
        <v>8</v>
      </c>
      <c r="B18" s="277" t="s">
        <v>42</v>
      </c>
      <c r="C18" s="275" t="s">
        <v>21</v>
      </c>
      <c r="D18" s="271">
        <v>76</v>
      </c>
      <c r="E18" s="271">
        <v>2</v>
      </c>
      <c r="F18" s="20" t="s">
        <v>112</v>
      </c>
      <c r="G18" s="74">
        <v>0</v>
      </c>
      <c r="H18" s="75">
        <v>0</v>
      </c>
      <c r="I18" s="75">
        <v>22</v>
      </c>
      <c r="J18" s="75">
        <v>330</v>
      </c>
      <c r="K18" s="75">
        <v>0</v>
      </c>
      <c r="L18" s="75">
        <v>16</v>
      </c>
      <c r="M18" s="75">
        <v>0</v>
      </c>
      <c r="N18" s="75">
        <v>0</v>
      </c>
      <c r="O18" s="75">
        <v>0</v>
      </c>
      <c r="P18" s="75">
        <v>0</v>
      </c>
      <c r="Q18" s="75">
        <v>0</v>
      </c>
      <c r="R18" s="75">
        <v>0</v>
      </c>
      <c r="S18" s="27">
        <f t="shared" si="0"/>
        <v>368</v>
      </c>
      <c r="T18" s="289">
        <f>S19/S18</f>
        <v>0.3125</v>
      </c>
      <c r="X18" s="5"/>
      <c r="Y18" s="5"/>
      <c r="Z18" s="5"/>
    </row>
    <row r="19" spans="1:26" s="24" customFormat="1" ht="28.5" customHeight="1">
      <c r="A19" s="276"/>
      <c r="B19" s="278"/>
      <c r="C19" s="276"/>
      <c r="D19" s="272"/>
      <c r="E19" s="272"/>
      <c r="F19" s="23" t="s">
        <v>18</v>
      </c>
      <c r="G19" s="60"/>
      <c r="H19" s="59"/>
      <c r="I19" s="59">
        <v>45</v>
      </c>
      <c r="J19" s="59">
        <v>70</v>
      </c>
      <c r="K19" s="58"/>
      <c r="L19" s="58"/>
      <c r="M19" s="58"/>
      <c r="N19" s="58"/>
      <c r="O19" s="58"/>
      <c r="P19" s="58"/>
      <c r="Q19" s="58"/>
      <c r="R19" s="59"/>
      <c r="S19" s="27">
        <f t="shared" si="0"/>
        <v>115</v>
      </c>
      <c r="T19" s="290"/>
      <c r="X19" s="79"/>
      <c r="Y19" s="79"/>
      <c r="Z19" s="79"/>
    </row>
    <row r="20" spans="1:26" s="1" customFormat="1" ht="28.5" customHeight="1">
      <c r="A20" s="275">
        <v>9</v>
      </c>
      <c r="B20" s="277" t="s">
        <v>45</v>
      </c>
      <c r="C20" s="275" t="s">
        <v>21</v>
      </c>
      <c r="D20" s="271">
        <v>141</v>
      </c>
      <c r="E20" s="271">
        <v>0</v>
      </c>
      <c r="F20" s="20" t="s">
        <v>112</v>
      </c>
      <c r="G20" s="74">
        <v>0</v>
      </c>
      <c r="H20" s="75">
        <v>0</v>
      </c>
      <c r="I20" s="75">
        <v>29</v>
      </c>
      <c r="J20" s="75">
        <v>114</v>
      </c>
      <c r="K20" s="75">
        <v>0</v>
      </c>
      <c r="L20" s="75">
        <v>0</v>
      </c>
      <c r="M20" s="75">
        <v>0</v>
      </c>
      <c r="N20" s="75">
        <v>0</v>
      </c>
      <c r="O20" s="75">
        <v>0</v>
      </c>
      <c r="P20" s="75">
        <v>0</v>
      </c>
      <c r="Q20" s="75">
        <v>0</v>
      </c>
      <c r="R20" s="75">
        <v>0</v>
      </c>
      <c r="S20" s="27">
        <f t="shared" si="0"/>
        <v>143</v>
      </c>
      <c r="T20" s="289">
        <f>S21/S20</f>
        <v>0.55944055944055948</v>
      </c>
      <c r="X20" s="5"/>
      <c r="Y20" s="5"/>
      <c r="Z20" s="5"/>
    </row>
    <row r="21" spans="1:26" s="24" customFormat="1" ht="28.5" customHeight="1">
      <c r="A21" s="276"/>
      <c r="B21" s="278"/>
      <c r="C21" s="276"/>
      <c r="D21" s="272"/>
      <c r="E21" s="272"/>
      <c r="F21" s="23" t="s">
        <v>18</v>
      </c>
      <c r="G21" s="60" t="s">
        <v>137</v>
      </c>
      <c r="H21" s="59">
        <v>8</v>
      </c>
      <c r="I21" s="59">
        <v>30</v>
      </c>
      <c r="J21" s="59">
        <v>42</v>
      </c>
      <c r="K21" s="59" t="s">
        <v>137</v>
      </c>
      <c r="L21" s="58" t="s">
        <v>137</v>
      </c>
      <c r="M21" s="58" t="s">
        <v>137</v>
      </c>
      <c r="N21" s="58" t="s">
        <v>137</v>
      </c>
      <c r="O21" s="58" t="s">
        <v>137</v>
      </c>
      <c r="P21" s="58" t="s">
        <v>137</v>
      </c>
      <c r="Q21" s="58" t="s">
        <v>137</v>
      </c>
      <c r="R21" s="58" t="s">
        <v>137</v>
      </c>
      <c r="S21" s="27">
        <f t="shared" si="0"/>
        <v>80</v>
      </c>
      <c r="T21" s="290"/>
      <c r="X21" s="79"/>
      <c r="Y21" s="79"/>
      <c r="Z21" s="79"/>
    </row>
    <row r="22" spans="1:26" s="1" customFormat="1" ht="28.5" customHeight="1">
      <c r="A22" s="275">
        <v>10</v>
      </c>
      <c r="B22" s="277" t="s">
        <v>48</v>
      </c>
      <c r="C22" s="275" t="s">
        <v>21</v>
      </c>
      <c r="D22" s="271"/>
      <c r="E22" s="271"/>
      <c r="F22" s="20" t="s">
        <v>112</v>
      </c>
      <c r="G22" s="52">
        <v>0</v>
      </c>
      <c r="H22" s="53">
        <v>23</v>
      </c>
      <c r="I22" s="53">
        <v>106</v>
      </c>
      <c r="J22" s="53">
        <v>212</v>
      </c>
      <c r="K22" s="53">
        <v>0</v>
      </c>
      <c r="L22" s="53">
        <v>3</v>
      </c>
      <c r="M22" s="53">
        <v>0</v>
      </c>
      <c r="N22" s="53">
        <v>0</v>
      </c>
      <c r="O22" s="53">
        <v>0</v>
      </c>
      <c r="P22" s="53">
        <v>0</v>
      </c>
      <c r="Q22" s="53">
        <v>0</v>
      </c>
      <c r="R22" s="53">
        <v>2</v>
      </c>
      <c r="S22" s="27">
        <f t="shared" si="0"/>
        <v>346</v>
      </c>
      <c r="T22" s="289">
        <f>S23/S22</f>
        <v>0.17341040462427745</v>
      </c>
      <c r="X22" s="5"/>
      <c r="Y22" s="5"/>
      <c r="Z22" s="5"/>
    </row>
    <row r="23" spans="1:26" s="24" customFormat="1" ht="28.5" customHeight="1">
      <c r="A23" s="276"/>
      <c r="B23" s="278"/>
      <c r="C23" s="276"/>
      <c r="D23" s="272"/>
      <c r="E23" s="272"/>
      <c r="F23" s="23" t="s">
        <v>18</v>
      </c>
      <c r="G23" s="33" t="s">
        <v>114</v>
      </c>
      <c r="H23" s="40">
        <v>10</v>
      </c>
      <c r="I23" s="40">
        <v>20</v>
      </c>
      <c r="J23" s="40">
        <v>30</v>
      </c>
      <c r="K23" s="34" t="s">
        <v>114</v>
      </c>
      <c r="L23" s="34" t="s">
        <v>114</v>
      </c>
      <c r="M23" s="34" t="s">
        <v>114</v>
      </c>
      <c r="N23" s="34" t="s">
        <v>114</v>
      </c>
      <c r="O23" s="34" t="s">
        <v>114</v>
      </c>
      <c r="P23" s="34" t="s">
        <v>114</v>
      </c>
      <c r="Q23" s="34" t="s">
        <v>114</v>
      </c>
      <c r="R23" s="34" t="s">
        <v>114</v>
      </c>
      <c r="S23" s="27">
        <f t="shared" si="0"/>
        <v>60</v>
      </c>
      <c r="T23" s="290"/>
      <c r="X23" s="79"/>
      <c r="Y23" s="79"/>
      <c r="Z23" s="79"/>
    </row>
    <row r="24" spans="1:26" s="1" customFormat="1" ht="28.5" customHeight="1">
      <c r="A24" s="275">
        <v>11</v>
      </c>
      <c r="B24" s="277" t="s">
        <v>50</v>
      </c>
      <c r="C24" s="275" t="s">
        <v>51</v>
      </c>
      <c r="D24" s="269">
        <v>31</v>
      </c>
      <c r="E24" s="269">
        <v>8</v>
      </c>
      <c r="F24" s="20" t="s">
        <v>112</v>
      </c>
      <c r="G24" s="61"/>
      <c r="H24" s="62"/>
      <c r="I24" s="62">
        <v>15</v>
      </c>
      <c r="J24" s="62">
        <v>107</v>
      </c>
      <c r="K24" s="62">
        <v>1</v>
      </c>
      <c r="L24" s="62">
        <v>19</v>
      </c>
      <c r="M24" s="62"/>
      <c r="N24" s="62"/>
      <c r="O24" s="62"/>
      <c r="P24" s="62"/>
      <c r="Q24" s="62"/>
      <c r="R24" s="62"/>
      <c r="S24" s="27">
        <f t="shared" si="0"/>
        <v>142</v>
      </c>
      <c r="T24" s="289">
        <f>S25/S24</f>
        <v>0.58450704225352113</v>
      </c>
      <c r="U24" s="47"/>
      <c r="X24" s="5"/>
      <c r="Y24" s="5"/>
      <c r="Z24" s="5"/>
    </row>
    <row r="25" spans="1:26" s="24" customFormat="1" ht="28.5" customHeight="1">
      <c r="A25" s="276"/>
      <c r="B25" s="278"/>
      <c r="C25" s="276"/>
      <c r="D25" s="270"/>
      <c r="E25" s="270"/>
      <c r="F25" s="23" t="s">
        <v>18</v>
      </c>
      <c r="G25" s="35">
        <v>20</v>
      </c>
      <c r="H25" s="27">
        <v>8</v>
      </c>
      <c r="I25" s="27">
        <v>9</v>
      </c>
      <c r="J25" s="27">
        <v>25</v>
      </c>
      <c r="K25" s="27"/>
      <c r="L25" s="27">
        <v>9</v>
      </c>
      <c r="M25" s="37">
        <v>2</v>
      </c>
      <c r="N25" s="27"/>
      <c r="O25" s="32">
        <v>10</v>
      </c>
      <c r="P25" s="27"/>
      <c r="Q25" s="27"/>
      <c r="R25" s="27"/>
      <c r="S25" s="27">
        <f t="shared" si="0"/>
        <v>83</v>
      </c>
      <c r="T25" s="290"/>
      <c r="X25" s="79"/>
      <c r="Y25" s="79"/>
      <c r="Z25" s="79"/>
    </row>
    <row r="26" spans="1:26" s="1" customFormat="1" ht="28.5" customHeight="1">
      <c r="A26" s="275">
        <v>12</v>
      </c>
      <c r="B26" s="277" t="s">
        <v>54</v>
      </c>
      <c r="C26" s="275" t="s">
        <v>51</v>
      </c>
      <c r="D26" s="269">
        <v>149</v>
      </c>
      <c r="E26" s="269">
        <v>12</v>
      </c>
      <c r="F26" s="20" t="s">
        <v>112</v>
      </c>
      <c r="G26" s="61">
        <v>79</v>
      </c>
      <c r="H26" s="62">
        <v>5</v>
      </c>
      <c r="I26" s="62">
        <v>36</v>
      </c>
      <c r="J26" s="62">
        <v>118</v>
      </c>
      <c r="K26" s="62"/>
      <c r="L26" s="62">
        <v>17</v>
      </c>
      <c r="M26" s="62"/>
      <c r="N26" s="62"/>
      <c r="O26" s="62"/>
      <c r="P26" s="62"/>
      <c r="Q26" s="62"/>
      <c r="R26" s="62"/>
      <c r="S26" s="27">
        <f t="shared" si="0"/>
        <v>255</v>
      </c>
      <c r="T26" s="289">
        <f>S27/S26</f>
        <v>0.30352941176470588</v>
      </c>
      <c r="U26" s="24"/>
      <c r="X26" s="5"/>
      <c r="Y26" s="5"/>
      <c r="Z26" s="5"/>
    </row>
    <row r="27" spans="1:26" s="24" customFormat="1" ht="28.5" customHeight="1">
      <c r="A27" s="276"/>
      <c r="B27" s="281"/>
      <c r="C27" s="276"/>
      <c r="D27" s="270"/>
      <c r="E27" s="270"/>
      <c r="F27" s="23" t="s">
        <v>18</v>
      </c>
      <c r="G27" s="35"/>
      <c r="H27" s="27">
        <v>12</v>
      </c>
      <c r="I27" s="27">
        <v>16.399999999999999</v>
      </c>
      <c r="J27" s="27">
        <v>32</v>
      </c>
      <c r="K27" s="27"/>
      <c r="L27" s="27">
        <v>4</v>
      </c>
      <c r="M27" s="37">
        <v>1</v>
      </c>
      <c r="N27" s="27"/>
      <c r="O27" s="32"/>
      <c r="P27" s="27">
        <v>12</v>
      </c>
      <c r="Q27" s="27"/>
      <c r="R27" s="27"/>
      <c r="S27" s="27">
        <f t="shared" si="0"/>
        <v>77.400000000000006</v>
      </c>
      <c r="T27" s="290"/>
      <c r="X27" s="79"/>
      <c r="Y27" s="79"/>
      <c r="Z27" s="79"/>
    </row>
    <row r="28" spans="1:26" s="1" customFormat="1" ht="28.5" customHeight="1">
      <c r="A28" s="269">
        <v>13</v>
      </c>
      <c r="B28" s="282" t="s">
        <v>57</v>
      </c>
      <c r="C28" s="275" t="s">
        <v>51</v>
      </c>
      <c r="D28" s="269">
        <v>179</v>
      </c>
      <c r="E28" s="269">
        <v>13</v>
      </c>
      <c r="F28" s="20" t="s">
        <v>112</v>
      </c>
      <c r="G28" s="52">
        <v>67</v>
      </c>
      <c r="H28" s="53"/>
      <c r="I28" s="53">
        <v>58</v>
      </c>
      <c r="J28" s="53">
        <v>39</v>
      </c>
      <c r="K28" s="53"/>
      <c r="L28" s="53"/>
      <c r="M28" s="53"/>
      <c r="N28" s="53"/>
      <c r="O28" s="53"/>
      <c r="P28" s="53"/>
      <c r="Q28" s="53"/>
      <c r="R28" s="53"/>
      <c r="S28" s="27">
        <f t="shared" si="0"/>
        <v>164</v>
      </c>
      <c r="T28" s="289">
        <f>S29/S28</f>
        <v>0.42195121951219516</v>
      </c>
      <c r="X28" s="5"/>
      <c r="Y28" s="5"/>
      <c r="Z28" s="5"/>
    </row>
    <row r="29" spans="1:26" s="24" customFormat="1" ht="28.5" customHeight="1">
      <c r="A29" s="270"/>
      <c r="B29" s="282"/>
      <c r="C29" s="276"/>
      <c r="D29" s="270"/>
      <c r="E29" s="270"/>
      <c r="F29" s="23" t="s">
        <v>18</v>
      </c>
      <c r="G29" s="33">
        <v>33</v>
      </c>
      <c r="H29" s="34"/>
      <c r="I29" s="34">
        <v>20</v>
      </c>
      <c r="J29" s="34">
        <v>6</v>
      </c>
      <c r="K29" s="34"/>
      <c r="L29" s="34"/>
      <c r="M29" s="34">
        <v>0.2</v>
      </c>
      <c r="N29" s="34"/>
      <c r="O29" s="34"/>
      <c r="P29" s="34">
        <v>10</v>
      </c>
      <c r="Q29" s="34"/>
      <c r="R29" s="34"/>
      <c r="S29" s="27">
        <f t="shared" si="0"/>
        <v>69.2</v>
      </c>
      <c r="T29" s="290"/>
      <c r="X29" s="79"/>
      <c r="Y29" s="79"/>
      <c r="Z29" s="79"/>
    </row>
    <row r="30" spans="1:26" s="1" customFormat="1" ht="28.5" customHeight="1">
      <c r="A30" s="275">
        <v>14</v>
      </c>
      <c r="B30" s="281" t="s">
        <v>60</v>
      </c>
      <c r="C30" s="275" t="s">
        <v>51</v>
      </c>
      <c r="D30" s="269">
        <v>271</v>
      </c>
      <c r="E30" s="269">
        <v>10</v>
      </c>
      <c r="F30" s="20" t="s">
        <v>112</v>
      </c>
      <c r="G30" s="52">
        <v>63</v>
      </c>
      <c r="H30" s="53"/>
      <c r="I30" s="53">
        <v>36</v>
      </c>
      <c r="J30" s="53">
        <v>56</v>
      </c>
      <c r="K30" s="53"/>
      <c r="L30" s="53"/>
      <c r="M30" s="53"/>
      <c r="N30" s="53"/>
      <c r="O30" s="53"/>
      <c r="P30" s="53"/>
      <c r="Q30" s="53"/>
      <c r="R30" s="53"/>
      <c r="S30" s="26">
        <f t="shared" si="0"/>
        <v>155</v>
      </c>
      <c r="T30" s="289">
        <f>S31/S30</f>
        <v>0.56774193548387097</v>
      </c>
      <c r="X30" s="5"/>
      <c r="Y30" s="5"/>
      <c r="Z30" s="5"/>
    </row>
    <row r="31" spans="1:26" s="25" customFormat="1" ht="28.5" customHeight="1">
      <c r="A31" s="276"/>
      <c r="B31" s="278"/>
      <c r="C31" s="276"/>
      <c r="D31" s="270"/>
      <c r="E31" s="270"/>
      <c r="F31" s="30" t="s">
        <v>18</v>
      </c>
      <c r="G31" s="43">
        <v>28</v>
      </c>
      <c r="H31" s="44">
        <v>3</v>
      </c>
      <c r="I31" s="44">
        <v>12</v>
      </c>
      <c r="J31" s="44">
        <v>23</v>
      </c>
      <c r="K31" s="44"/>
      <c r="L31" s="44"/>
      <c r="M31" s="44">
        <v>3</v>
      </c>
      <c r="N31" s="44"/>
      <c r="O31" s="44"/>
      <c r="P31" s="44">
        <v>19</v>
      </c>
      <c r="Q31" s="44"/>
      <c r="R31" s="44"/>
      <c r="S31" s="26">
        <f t="shared" si="0"/>
        <v>88</v>
      </c>
      <c r="T31" s="290"/>
      <c r="X31" s="79"/>
      <c r="Y31" s="79"/>
      <c r="Z31" s="79"/>
    </row>
    <row r="32" spans="1:26" ht="28.5" customHeight="1">
      <c r="A32" s="275">
        <v>15</v>
      </c>
      <c r="B32" s="277" t="s">
        <v>63</v>
      </c>
      <c r="C32" s="275" t="s">
        <v>51</v>
      </c>
      <c r="D32" s="269">
        <v>80</v>
      </c>
      <c r="E32" s="269">
        <v>13</v>
      </c>
      <c r="F32" s="20" t="s">
        <v>112</v>
      </c>
      <c r="G32" s="61"/>
      <c r="H32" s="62"/>
      <c r="I32" s="62">
        <v>108</v>
      </c>
      <c r="J32" s="62">
        <v>62</v>
      </c>
      <c r="K32" s="62"/>
      <c r="L32" s="62">
        <v>4</v>
      </c>
      <c r="M32" s="62"/>
      <c r="N32" s="62"/>
      <c r="O32" s="62"/>
      <c r="P32" s="62"/>
      <c r="Q32" s="62"/>
      <c r="R32" s="62"/>
      <c r="S32" s="26">
        <f t="shared" si="0"/>
        <v>174</v>
      </c>
      <c r="T32" s="289">
        <f>S33/S32</f>
        <v>0.37356321839080459</v>
      </c>
    </row>
    <row r="33" spans="1:26" s="25" customFormat="1" ht="28.5" customHeight="1">
      <c r="A33" s="276"/>
      <c r="B33" s="278"/>
      <c r="C33" s="276"/>
      <c r="D33" s="270"/>
      <c r="E33" s="270"/>
      <c r="F33" s="23" t="s">
        <v>18</v>
      </c>
      <c r="G33" s="26"/>
      <c r="H33" s="27">
        <v>10</v>
      </c>
      <c r="I33" s="27">
        <v>25</v>
      </c>
      <c r="J33" s="27">
        <v>20</v>
      </c>
      <c r="K33" s="27">
        <v>5</v>
      </c>
      <c r="L33" s="27"/>
      <c r="M33" s="26">
        <v>5</v>
      </c>
      <c r="N33" s="27"/>
      <c r="O33" s="27"/>
      <c r="P33" s="27"/>
      <c r="Q33" s="27"/>
      <c r="R33" s="27"/>
      <c r="S33" s="26">
        <f>SUM(G33:R33)</f>
        <v>65</v>
      </c>
      <c r="T33" s="290"/>
      <c r="X33" s="79"/>
      <c r="Y33" s="79"/>
      <c r="Z33" s="79"/>
    </row>
    <row r="34" spans="1:26" ht="28.5" customHeight="1">
      <c r="A34" s="275">
        <v>16</v>
      </c>
      <c r="B34" s="277" t="s">
        <v>66</v>
      </c>
      <c r="C34" s="275" t="s">
        <v>51</v>
      </c>
      <c r="D34" s="269">
        <v>31</v>
      </c>
      <c r="E34" s="269">
        <v>10</v>
      </c>
      <c r="F34" s="20" t="s">
        <v>112</v>
      </c>
      <c r="G34" s="61"/>
      <c r="H34" s="62">
        <v>13</v>
      </c>
      <c r="I34" s="62">
        <v>44</v>
      </c>
      <c r="J34" s="62">
        <v>48</v>
      </c>
      <c r="K34" s="62">
        <v>2</v>
      </c>
      <c r="L34" s="62">
        <v>5</v>
      </c>
      <c r="M34" s="62"/>
      <c r="N34" s="62"/>
      <c r="O34" s="62"/>
      <c r="P34" s="62"/>
      <c r="Q34" s="62"/>
      <c r="R34" s="62">
        <v>28</v>
      </c>
      <c r="S34" s="26">
        <f t="shared" ref="S34:S43" si="1">SUM(G34:R34)</f>
        <v>140</v>
      </c>
      <c r="T34" s="289">
        <f>S35/S34</f>
        <v>0.7142857142857143</v>
      </c>
    </row>
    <row r="35" spans="1:26" s="25" customFormat="1" ht="28.5" customHeight="1">
      <c r="A35" s="293"/>
      <c r="B35" s="281"/>
      <c r="C35" s="293"/>
      <c r="D35" s="288"/>
      <c r="E35" s="288"/>
      <c r="F35" s="30" t="s">
        <v>18</v>
      </c>
      <c r="G35" s="96"/>
      <c r="H35" s="97">
        <v>20</v>
      </c>
      <c r="I35" s="97">
        <v>30</v>
      </c>
      <c r="J35" s="97">
        <v>35</v>
      </c>
      <c r="K35" s="97"/>
      <c r="L35" s="97">
        <v>15</v>
      </c>
      <c r="M35" s="96"/>
      <c r="N35" s="97"/>
      <c r="O35" s="97"/>
      <c r="P35" s="97"/>
      <c r="Q35" s="97"/>
      <c r="R35" s="97"/>
      <c r="S35" s="96">
        <f t="shared" si="1"/>
        <v>100</v>
      </c>
      <c r="T35" s="294"/>
      <c r="X35" s="79"/>
      <c r="Y35" s="79"/>
      <c r="Z35" s="79"/>
    </row>
    <row r="36" spans="1:26" ht="28.5" customHeight="1">
      <c r="A36" s="291">
        <v>17</v>
      </c>
      <c r="B36" s="282" t="s">
        <v>69</v>
      </c>
      <c r="C36" s="291" t="s">
        <v>70</v>
      </c>
      <c r="D36" s="291">
        <v>32</v>
      </c>
      <c r="E36" s="291">
        <v>8</v>
      </c>
      <c r="F36" s="20" t="s">
        <v>112</v>
      </c>
      <c r="G36" s="94">
        <v>0</v>
      </c>
      <c r="H36" s="94">
        <v>0</v>
      </c>
      <c r="I36" s="94">
        <v>15</v>
      </c>
      <c r="J36" s="94">
        <v>69</v>
      </c>
      <c r="K36" s="94">
        <v>0</v>
      </c>
      <c r="L36" s="94">
        <v>19</v>
      </c>
      <c r="M36" s="94">
        <v>0</v>
      </c>
      <c r="N36" s="94">
        <v>0</v>
      </c>
      <c r="O36" s="94">
        <v>0</v>
      </c>
      <c r="P36" s="94">
        <v>0</v>
      </c>
      <c r="Q36" s="94">
        <v>0</v>
      </c>
      <c r="R36" s="94">
        <v>39</v>
      </c>
      <c r="S36" s="95">
        <f t="shared" si="1"/>
        <v>142</v>
      </c>
      <c r="T36" s="292">
        <f>S37/S36</f>
        <v>0.11267605633802817</v>
      </c>
      <c r="U36" s="51"/>
      <c r="V36" s="25"/>
    </row>
    <row r="37" spans="1:26" s="25" customFormat="1" ht="28.5" customHeight="1">
      <c r="A37" s="293"/>
      <c r="B37" s="281"/>
      <c r="C37" s="293"/>
      <c r="D37" s="288"/>
      <c r="E37" s="288"/>
      <c r="F37" s="99" t="s">
        <v>18</v>
      </c>
      <c r="G37" s="100"/>
      <c r="H37" s="100"/>
      <c r="I37" s="101">
        <v>6</v>
      </c>
      <c r="J37" s="101">
        <v>7</v>
      </c>
      <c r="K37" s="101"/>
      <c r="L37" s="101">
        <v>1</v>
      </c>
      <c r="M37" s="101"/>
      <c r="N37" s="101"/>
      <c r="O37" s="101"/>
      <c r="P37" s="101"/>
      <c r="Q37" s="101"/>
      <c r="R37" s="101">
        <v>2</v>
      </c>
      <c r="S37" s="102">
        <f t="shared" si="1"/>
        <v>16</v>
      </c>
      <c r="T37" s="294"/>
      <c r="X37" s="79"/>
      <c r="Y37" s="79"/>
      <c r="Z37" s="79"/>
    </row>
    <row r="38" spans="1:26" ht="28.5" customHeight="1">
      <c r="A38" s="291">
        <v>18</v>
      </c>
      <c r="B38" s="282" t="s">
        <v>73</v>
      </c>
      <c r="C38" s="291" t="s">
        <v>70</v>
      </c>
      <c r="D38" s="291">
        <v>31</v>
      </c>
      <c r="E38" s="291">
        <v>15</v>
      </c>
      <c r="F38" s="20" t="s">
        <v>112</v>
      </c>
      <c r="G38" s="94">
        <v>0</v>
      </c>
      <c r="H38" s="94">
        <v>0</v>
      </c>
      <c r="I38" s="94">
        <v>21</v>
      </c>
      <c r="J38" s="94">
        <v>49</v>
      </c>
      <c r="K38" s="94">
        <v>1</v>
      </c>
      <c r="L38" s="94">
        <v>6</v>
      </c>
      <c r="M38" s="94">
        <v>0</v>
      </c>
      <c r="N38" s="94">
        <v>0</v>
      </c>
      <c r="O38" s="94">
        <v>0</v>
      </c>
      <c r="P38" s="94">
        <v>0</v>
      </c>
      <c r="Q38" s="94">
        <v>0</v>
      </c>
      <c r="R38" s="94">
        <v>24</v>
      </c>
      <c r="S38" s="95">
        <f t="shared" si="1"/>
        <v>101</v>
      </c>
      <c r="T38" s="292">
        <f>S39/S38</f>
        <v>0.63366336633663367</v>
      </c>
    </row>
    <row r="39" spans="1:26" s="25" customFormat="1" ht="28.5" customHeight="1">
      <c r="A39" s="293"/>
      <c r="B39" s="281"/>
      <c r="C39" s="293"/>
      <c r="D39" s="288"/>
      <c r="E39" s="288"/>
      <c r="F39" s="99" t="s">
        <v>18</v>
      </c>
      <c r="G39" s="102">
        <v>30</v>
      </c>
      <c r="H39" s="103"/>
      <c r="I39" s="101">
        <v>3</v>
      </c>
      <c r="J39" s="101">
        <v>15</v>
      </c>
      <c r="K39" s="103"/>
      <c r="L39" s="103"/>
      <c r="M39" s="102">
        <v>1</v>
      </c>
      <c r="N39" s="103"/>
      <c r="O39" s="103"/>
      <c r="P39" s="103"/>
      <c r="Q39" s="103"/>
      <c r="R39" s="103">
        <v>15</v>
      </c>
      <c r="S39" s="102">
        <f t="shared" si="1"/>
        <v>64</v>
      </c>
      <c r="T39" s="294"/>
      <c r="X39" s="79"/>
      <c r="Y39" s="79"/>
      <c r="Z39" s="79"/>
    </row>
    <row r="40" spans="1:26" ht="28.5" customHeight="1">
      <c r="A40" s="291">
        <v>19</v>
      </c>
      <c r="B40" s="282" t="s">
        <v>76</v>
      </c>
      <c r="C40" s="291" t="s">
        <v>70</v>
      </c>
      <c r="D40" s="291">
        <v>52</v>
      </c>
      <c r="E40" s="291">
        <v>10</v>
      </c>
      <c r="F40" s="20" t="s">
        <v>112</v>
      </c>
      <c r="G40" s="94">
        <v>0</v>
      </c>
      <c r="H40" s="94">
        <v>0</v>
      </c>
      <c r="I40" s="94">
        <v>9</v>
      </c>
      <c r="J40" s="94">
        <v>84</v>
      </c>
      <c r="K40" s="94">
        <v>0</v>
      </c>
      <c r="L40" s="94">
        <v>0</v>
      </c>
      <c r="M40" s="94">
        <v>0</v>
      </c>
      <c r="N40" s="94">
        <v>0</v>
      </c>
      <c r="O40" s="94">
        <v>0</v>
      </c>
      <c r="P40" s="94">
        <v>0</v>
      </c>
      <c r="Q40" s="94">
        <v>0</v>
      </c>
      <c r="R40" s="94">
        <v>0</v>
      </c>
      <c r="S40" s="95">
        <f t="shared" si="1"/>
        <v>93</v>
      </c>
      <c r="T40" s="292">
        <f>S41/S40</f>
        <v>0.13118279569892471</v>
      </c>
    </row>
    <row r="41" spans="1:26" s="25" customFormat="1" ht="28.5" customHeight="1">
      <c r="A41" s="276"/>
      <c r="B41" s="278"/>
      <c r="C41" s="276"/>
      <c r="D41" s="270"/>
      <c r="E41" s="270"/>
      <c r="F41" s="104" t="s">
        <v>18</v>
      </c>
      <c r="G41" s="105"/>
      <c r="H41" s="106">
        <v>1.4</v>
      </c>
      <c r="I41" s="107">
        <v>3.5</v>
      </c>
      <c r="J41" s="107">
        <v>7.3</v>
      </c>
      <c r="K41" s="108"/>
      <c r="L41" s="108"/>
      <c r="M41" s="105"/>
      <c r="N41" s="108"/>
      <c r="O41" s="108"/>
      <c r="P41" s="108"/>
      <c r="Q41" s="108"/>
      <c r="R41" s="108"/>
      <c r="S41" s="105">
        <f t="shared" si="1"/>
        <v>12.2</v>
      </c>
      <c r="T41" s="290"/>
      <c r="X41" s="79"/>
      <c r="Y41" s="79"/>
      <c r="Z41" s="79"/>
    </row>
    <row r="42" spans="1:26" ht="28.5" customHeight="1">
      <c r="A42" s="275">
        <v>20</v>
      </c>
      <c r="B42" s="277" t="s">
        <v>79</v>
      </c>
      <c r="C42" s="275" t="s">
        <v>70</v>
      </c>
      <c r="D42" s="269">
        <v>25</v>
      </c>
      <c r="E42" s="269">
        <v>2</v>
      </c>
      <c r="F42" s="20" t="s">
        <v>112</v>
      </c>
      <c r="G42" s="61">
        <v>90</v>
      </c>
      <c r="H42" s="62">
        <v>0</v>
      </c>
      <c r="I42" s="62">
        <v>8</v>
      </c>
      <c r="J42" s="62">
        <v>128</v>
      </c>
      <c r="K42" s="62">
        <v>0</v>
      </c>
      <c r="L42" s="62">
        <v>0</v>
      </c>
      <c r="M42" s="62">
        <v>0</v>
      </c>
      <c r="N42" s="62">
        <v>0</v>
      </c>
      <c r="O42" s="62">
        <v>0</v>
      </c>
      <c r="P42" s="62">
        <v>0</v>
      </c>
      <c r="Q42" s="62">
        <v>0</v>
      </c>
      <c r="R42" s="62">
        <v>22</v>
      </c>
      <c r="S42" s="26">
        <f t="shared" si="1"/>
        <v>248</v>
      </c>
      <c r="T42" s="289">
        <f>S43/S42</f>
        <v>0.20967741935483872</v>
      </c>
    </row>
    <row r="43" spans="1:26" s="25" customFormat="1" ht="28.5" customHeight="1">
      <c r="A43" s="293"/>
      <c r="B43" s="281"/>
      <c r="C43" s="293"/>
      <c r="D43" s="288"/>
      <c r="E43" s="288"/>
      <c r="F43" s="30" t="s">
        <v>18</v>
      </c>
      <c r="G43" s="96">
        <v>28</v>
      </c>
      <c r="H43" s="97">
        <v>7</v>
      </c>
      <c r="I43" s="97">
        <v>6</v>
      </c>
      <c r="J43" s="97">
        <v>6</v>
      </c>
      <c r="K43" s="97">
        <v>2</v>
      </c>
      <c r="L43" s="97">
        <v>1</v>
      </c>
      <c r="M43" s="96">
        <v>2</v>
      </c>
      <c r="N43" s="97"/>
      <c r="O43" s="97"/>
      <c r="P43" s="97"/>
      <c r="Q43" s="97"/>
      <c r="R43" s="97"/>
      <c r="S43" s="96">
        <f t="shared" si="1"/>
        <v>52</v>
      </c>
      <c r="T43" s="294"/>
      <c r="X43" s="79"/>
      <c r="Y43" s="79"/>
      <c r="Z43" s="79"/>
    </row>
    <row r="44" spans="1:26" ht="28.5" customHeight="1">
      <c r="A44" s="291">
        <v>21</v>
      </c>
      <c r="B44" s="282" t="s">
        <v>82</v>
      </c>
      <c r="C44" s="291" t="s">
        <v>70</v>
      </c>
      <c r="D44" s="291">
        <v>0</v>
      </c>
      <c r="E44" s="291">
        <v>9</v>
      </c>
      <c r="F44" s="20" t="s">
        <v>112</v>
      </c>
      <c r="G44" s="94">
        <v>32</v>
      </c>
      <c r="H44" s="94">
        <v>0</v>
      </c>
      <c r="I44" s="94">
        <v>30</v>
      </c>
      <c r="J44" s="94">
        <v>97</v>
      </c>
      <c r="K44" s="94">
        <v>2</v>
      </c>
      <c r="L44" s="94">
        <v>2</v>
      </c>
      <c r="M44" s="94">
        <v>9</v>
      </c>
      <c r="N44" s="94">
        <v>0</v>
      </c>
      <c r="O44" s="94">
        <v>9</v>
      </c>
      <c r="P44" s="94">
        <v>0</v>
      </c>
      <c r="Q44" s="94">
        <v>0</v>
      </c>
      <c r="R44" s="94">
        <v>0</v>
      </c>
      <c r="S44" s="95">
        <f t="shared" ref="S44:S55" si="2">SUM(G44:R44)</f>
        <v>181</v>
      </c>
      <c r="T44" s="292">
        <f>S45/S44</f>
        <v>0.48618784530386738</v>
      </c>
    </row>
    <row r="45" spans="1:26" s="25" customFormat="1" ht="28.5" customHeight="1">
      <c r="A45" s="276"/>
      <c r="B45" s="278"/>
      <c r="C45" s="276"/>
      <c r="D45" s="270"/>
      <c r="E45" s="270"/>
      <c r="F45" s="104" t="s">
        <v>18</v>
      </c>
      <c r="G45" s="107">
        <v>10</v>
      </c>
      <c r="H45" s="107"/>
      <c r="I45" s="107">
        <v>15</v>
      </c>
      <c r="J45" s="107">
        <v>20</v>
      </c>
      <c r="K45" s="107"/>
      <c r="L45" s="107"/>
      <c r="M45" s="107">
        <v>3</v>
      </c>
      <c r="N45" s="107"/>
      <c r="O45" s="107">
        <v>30</v>
      </c>
      <c r="P45" s="107"/>
      <c r="Q45" s="107"/>
      <c r="R45" s="107">
        <v>10</v>
      </c>
      <c r="S45" s="105">
        <f t="shared" si="2"/>
        <v>88</v>
      </c>
      <c r="T45" s="290"/>
      <c r="X45" s="79"/>
      <c r="Y45" s="79"/>
      <c r="Z45" s="79"/>
    </row>
    <row r="46" spans="1:26" ht="28.5" customHeight="1">
      <c r="A46" s="275">
        <v>22</v>
      </c>
      <c r="B46" s="277" t="s">
        <v>85</v>
      </c>
      <c r="C46" s="275" t="s">
        <v>70</v>
      </c>
      <c r="D46" s="269">
        <v>81</v>
      </c>
      <c r="E46" s="269">
        <v>13</v>
      </c>
      <c r="F46" s="20" t="s">
        <v>112</v>
      </c>
      <c r="G46" s="61">
        <v>2</v>
      </c>
      <c r="H46" s="62">
        <v>20</v>
      </c>
      <c r="I46" s="62">
        <v>7</v>
      </c>
      <c r="J46" s="62">
        <v>41</v>
      </c>
      <c r="K46" s="62">
        <v>0</v>
      </c>
      <c r="L46" s="62">
        <v>0</v>
      </c>
      <c r="M46" s="62">
        <v>7</v>
      </c>
      <c r="N46" s="62">
        <v>0</v>
      </c>
      <c r="O46" s="62">
        <v>0</v>
      </c>
      <c r="P46" s="62">
        <v>0</v>
      </c>
      <c r="Q46" s="62">
        <v>0</v>
      </c>
      <c r="R46" s="62">
        <v>30</v>
      </c>
      <c r="S46" s="26">
        <f>SUM(G46:R46)</f>
        <v>107</v>
      </c>
      <c r="T46" s="289">
        <f>S47/S46</f>
        <v>0.1741588785046729</v>
      </c>
    </row>
    <row r="47" spans="1:26" s="25" customFormat="1" ht="28.5" customHeight="1">
      <c r="A47" s="293"/>
      <c r="B47" s="281"/>
      <c r="C47" s="293"/>
      <c r="D47" s="288"/>
      <c r="E47" s="288"/>
      <c r="F47" s="30" t="s">
        <v>18</v>
      </c>
      <c r="G47" s="96">
        <v>0.2</v>
      </c>
      <c r="H47" s="97">
        <v>4</v>
      </c>
      <c r="I47" s="98">
        <v>2.1</v>
      </c>
      <c r="J47" s="98">
        <v>12.3</v>
      </c>
      <c r="K47" s="97"/>
      <c r="L47" s="97"/>
      <c r="M47" s="96">
        <v>3.5000000000000003E-2</v>
      </c>
      <c r="N47" s="97"/>
      <c r="O47" s="97"/>
      <c r="P47" s="97"/>
      <c r="Q47" s="97"/>
      <c r="R47" s="97"/>
      <c r="S47" s="96">
        <f t="shared" si="2"/>
        <v>18.635000000000002</v>
      </c>
      <c r="T47" s="294"/>
      <c r="X47" s="79"/>
      <c r="Y47" s="79"/>
      <c r="Z47" s="79"/>
    </row>
    <row r="48" spans="1:26" ht="29.25" customHeight="1">
      <c r="A48" s="291">
        <v>23</v>
      </c>
      <c r="B48" s="282" t="s">
        <v>86</v>
      </c>
      <c r="C48" s="291" t="s">
        <v>70</v>
      </c>
      <c r="D48" s="291">
        <v>67</v>
      </c>
      <c r="E48" s="291">
        <v>9</v>
      </c>
      <c r="F48" s="20" t="s">
        <v>112</v>
      </c>
      <c r="G48" s="94">
        <v>0</v>
      </c>
      <c r="H48" s="94">
        <v>0</v>
      </c>
      <c r="I48" s="94">
        <v>41</v>
      </c>
      <c r="J48" s="94">
        <v>41</v>
      </c>
      <c r="K48" s="94">
        <v>0</v>
      </c>
      <c r="L48" s="94">
        <v>17</v>
      </c>
      <c r="M48" s="94">
        <v>0</v>
      </c>
      <c r="N48" s="94">
        <v>0</v>
      </c>
      <c r="O48" s="94">
        <v>0</v>
      </c>
      <c r="P48" s="94">
        <v>0</v>
      </c>
      <c r="Q48" s="94">
        <v>0</v>
      </c>
      <c r="R48" s="94">
        <v>43</v>
      </c>
      <c r="S48" s="95">
        <f t="shared" si="2"/>
        <v>142</v>
      </c>
      <c r="T48" s="292">
        <f>S49/S48</f>
        <v>0.21408450704225351</v>
      </c>
    </row>
    <row r="49" spans="1:26" s="25" customFormat="1" ht="28.5" customHeight="1">
      <c r="A49" s="276"/>
      <c r="B49" s="278"/>
      <c r="C49" s="276"/>
      <c r="D49" s="270"/>
      <c r="E49" s="270"/>
      <c r="F49" s="104" t="s">
        <v>18</v>
      </c>
      <c r="G49" s="105"/>
      <c r="H49" s="108"/>
      <c r="I49" s="107">
        <v>11.4</v>
      </c>
      <c r="J49" s="107">
        <v>19</v>
      </c>
      <c r="K49" s="108"/>
      <c r="L49" s="107"/>
      <c r="M49" s="105"/>
      <c r="N49" s="108"/>
      <c r="O49" s="108"/>
      <c r="P49" s="108"/>
      <c r="Q49" s="108"/>
      <c r="R49" s="108"/>
      <c r="S49" s="105">
        <f t="shared" si="2"/>
        <v>30.4</v>
      </c>
      <c r="T49" s="290"/>
      <c r="X49" s="79"/>
      <c r="Y49" s="79"/>
      <c r="Z49" s="79"/>
    </row>
    <row r="50" spans="1:26" ht="28.5" customHeight="1">
      <c r="A50" s="275">
        <v>24</v>
      </c>
      <c r="B50" s="277" t="s">
        <v>88</v>
      </c>
      <c r="C50" s="275" t="s">
        <v>70</v>
      </c>
      <c r="D50" s="271">
        <v>47</v>
      </c>
      <c r="E50" s="271">
        <v>16</v>
      </c>
      <c r="F50" s="20" t="s">
        <v>112</v>
      </c>
      <c r="G50" s="61">
        <v>0</v>
      </c>
      <c r="H50" s="62">
        <v>1</v>
      </c>
      <c r="I50" s="62">
        <v>0</v>
      </c>
      <c r="J50" s="62">
        <v>63</v>
      </c>
      <c r="K50" s="62">
        <v>0</v>
      </c>
      <c r="L50" s="62">
        <v>4</v>
      </c>
      <c r="M50" s="62">
        <v>0</v>
      </c>
      <c r="N50" s="62">
        <v>0</v>
      </c>
      <c r="O50" s="62">
        <v>0</v>
      </c>
      <c r="P50" s="62">
        <v>0</v>
      </c>
      <c r="Q50" s="62">
        <v>0</v>
      </c>
      <c r="R50" s="62">
        <v>0</v>
      </c>
      <c r="S50" s="26">
        <f t="shared" si="2"/>
        <v>68</v>
      </c>
      <c r="T50" s="289">
        <f>S51/S50</f>
        <v>0.52941176470588236</v>
      </c>
    </row>
    <row r="51" spans="1:26" s="25" customFormat="1" ht="28.5" customHeight="1">
      <c r="A51" s="293"/>
      <c r="B51" s="281"/>
      <c r="C51" s="293"/>
      <c r="D51" s="298"/>
      <c r="E51" s="298"/>
      <c r="F51" s="30" t="s">
        <v>18</v>
      </c>
      <c r="G51" s="96">
        <v>0</v>
      </c>
      <c r="H51" s="97">
        <v>3</v>
      </c>
      <c r="I51" s="97">
        <v>3</v>
      </c>
      <c r="J51" s="97">
        <v>25</v>
      </c>
      <c r="K51" s="97">
        <v>0</v>
      </c>
      <c r="L51" s="97">
        <v>5</v>
      </c>
      <c r="M51" s="96">
        <v>0</v>
      </c>
      <c r="N51" s="97">
        <v>0</v>
      </c>
      <c r="O51" s="97">
        <v>0</v>
      </c>
      <c r="P51" s="97">
        <v>0</v>
      </c>
      <c r="Q51" s="97">
        <v>0</v>
      </c>
      <c r="R51" s="97">
        <v>0</v>
      </c>
      <c r="S51" s="96">
        <f t="shared" si="2"/>
        <v>36</v>
      </c>
      <c r="T51" s="294"/>
      <c r="X51" s="79"/>
      <c r="Y51" s="79"/>
      <c r="Z51" s="79"/>
    </row>
    <row r="52" spans="1:26" ht="28.5" customHeight="1">
      <c r="A52" s="291">
        <v>25</v>
      </c>
      <c r="B52" s="282" t="s">
        <v>90</v>
      </c>
      <c r="C52" s="291" t="s">
        <v>70</v>
      </c>
      <c r="D52" s="291">
        <v>11</v>
      </c>
      <c r="E52" s="291">
        <v>2</v>
      </c>
      <c r="F52" s="20" t="s">
        <v>112</v>
      </c>
      <c r="G52" s="94">
        <v>0</v>
      </c>
      <c r="H52" s="94">
        <v>0</v>
      </c>
      <c r="I52" s="94">
        <v>21</v>
      </c>
      <c r="J52" s="94">
        <v>76</v>
      </c>
      <c r="K52" s="94">
        <v>0</v>
      </c>
      <c r="L52" s="94">
        <v>0</v>
      </c>
      <c r="M52" s="94">
        <v>18</v>
      </c>
      <c r="N52" s="94">
        <v>0</v>
      </c>
      <c r="O52" s="94">
        <v>0</v>
      </c>
      <c r="P52" s="94">
        <v>0</v>
      </c>
      <c r="Q52" s="94">
        <v>0</v>
      </c>
      <c r="R52" s="94">
        <v>0</v>
      </c>
      <c r="S52" s="95">
        <f t="shared" si="2"/>
        <v>115</v>
      </c>
      <c r="T52" s="292">
        <f>S53/S52</f>
        <v>0.39130434782608697</v>
      </c>
    </row>
    <row r="53" spans="1:26" s="25" customFormat="1" ht="28.5" customHeight="1">
      <c r="A53" s="293"/>
      <c r="B53" s="281"/>
      <c r="C53" s="293"/>
      <c r="D53" s="288"/>
      <c r="E53" s="288"/>
      <c r="F53" s="99" t="s">
        <v>18</v>
      </c>
      <c r="G53" s="102"/>
      <c r="H53" s="103"/>
      <c r="I53" s="101">
        <v>9</v>
      </c>
      <c r="J53" s="101">
        <v>33</v>
      </c>
      <c r="K53" s="101"/>
      <c r="L53" s="101"/>
      <c r="M53" s="109">
        <v>3</v>
      </c>
      <c r="N53" s="101"/>
      <c r="O53" s="103"/>
      <c r="P53" s="103"/>
      <c r="Q53" s="103"/>
      <c r="R53" s="103"/>
      <c r="S53" s="102">
        <f t="shared" si="2"/>
        <v>45</v>
      </c>
      <c r="T53" s="294"/>
      <c r="X53" s="79"/>
      <c r="Y53" s="79"/>
      <c r="Z53" s="79"/>
    </row>
    <row r="54" spans="1:26" ht="28.5" customHeight="1">
      <c r="A54" s="291">
        <v>26</v>
      </c>
      <c r="B54" s="282" t="s">
        <v>92</v>
      </c>
      <c r="C54" s="291" t="s">
        <v>70</v>
      </c>
      <c r="D54" s="291">
        <v>20</v>
      </c>
      <c r="E54" s="291">
        <v>1</v>
      </c>
      <c r="F54" s="20" t="s">
        <v>112</v>
      </c>
      <c r="G54" s="94">
        <v>0</v>
      </c>
      <c r="H54" s="94">
        <v>0</v>
      </c>
      <c r="I54" s="94">
        <v>51</v>
      </c>
      <c r="J54" s="94">
        <v>61</v>
      </c>
      <c r="K54" s="94">
        <v>0</v>
      </c>
      <c r="L54" s="94">
        <v>0</v>
      </c>
      <c r="M54" s="94">
        <v>0</v>
      </c>
      <c r="N54" s="94">
        <v>0</v>
      </c>
      <c r="O54" s="94">
        <v>0</v>
      </c>
      <c r="P54" s="94">
        <v>0</v>
      </c>
      <c r="Q54" s="94">
        <v>0</v>
      </c>
      <c r="R54" s="94">
        <v>22</v>
      </c>
      <c r="S54" s="95">
        <f t="shared" si="2"/>
        <v>134</v>
      </c>
      <c r="T54" s="292">
        <f>S55/S54</f>
        <v>0.17014925373134329</v>
      </c>
    </row>
    <row r="55" spans="1:26" s="25" customFormat="1" ht="28.5" customHeight="1">
      <c r="A55" s="276"/>
      <c r="B55" s="278"/>
      <c r="C55" s="276"/>
      <c r="D55" s="270"/>
      <c r="E55" s="270"/>
      <c r="F55" s="104" t="s">
        <v>18</v>
      </c>
      <c r="G55" s="105"/>
      <c r="H55" s="108"/>
      <c r="I55" s="107">
        <v>10</v>
      </c>
      <c r="J55" s="107">
        <v>12.8</v>
      </c>
      <c r="K55" s="108"/>
      <c r="L55" s="108"/>
      <c r="M55" s="105"/>
      <c r="N55" s="108"/>
      <c r="O55" s="108"/>
      <c r="P55" s="108"/>
      <c r="Q55" s="108"/>
      <c r="R55" s="108"/>
      <c r="S55" s="105">
        <f t="shared" si="2"/>
        <v>22.8</v>
      </c>
      <c r="T55" s="290"/>
      <c r="X55" s="79"/>
      <c r="Y55" s="79"/>
      <c r="Z55" s="79"/>
    </row>
    <row r="56" spans="1:26">
      <c r="R56" t="s">
        <v>128</v>
      </c>
      <c r="S56" s="110">
        <f>S5+S7+S9+S11+S13+S15+S17+S19+S21+S23+S25+S27+S29+S31+S33+S35+S37+S39+S41+S43+S45+S47+S49+S51+S53+S55</f>
        <v>1548.5350000000001</v>
      </c>
    </row>
  </sheetData>
  <autoFilter ref="A3:Z56" xr:uid="{A7C78305-3D7B-4220-B589-DF137A60B971}">
    <filterColumn colId="4" showButton="0"/>
  </autoFilter>
  <mergeCells count="160">
    <mergeCell ref="A6:A7"/>
    <mergeCell ref="B6:B7"/>
    <mergeCell ref="C6:C7"/>
    <mergeCell ref="D6:D7"/>
    <mergeCell ref="E6:E7"/>
    <mergeCell ref="T6:T7"/>
    <mergeCell ref="D2:F2"/>
    <mergeCell ref="G2:R2"/>
    <mergeCell ref="S2:T2"/>
    <mergeCell ref="E3:F3"/>
    <mergeCell ref="A4:A5"/>
    <mergeCell ref="B4:B5"/>
    <mergeCell ref="C4:C5"/>
    <mergeCell ref="D4:D5"/>
    <mergeCell ref="E4:E5"/>
    <mergeCell ref="T4:T5"/>
    <mergeCell ref="A10:A11"/>
    <mergeCell ref="B10:B11"/>
    <mergeCell ref="C10:C11"/>
    <mergeCell ref="D10:D11"/>
    <mergeCell ref="E10:E11"/>
    <mergeCell ref="T10:T11"/>
    <mergeCell ref="A8:A9"/>
    <mergeCell ref="B8:B9"/>
    <mergeCell ref="C8:C9"/>
    <mergeCell ref="D8:D9"/>
    <mergeCell ref="E8:E9"/>
    <mergeCell ref="T8:T9"/>
    <mergeCell ref="A14:A15"/>
    <mergeCell ref="B14:B15"/>
    <mergeCell ref="C14:C15"/>
    <mergeCell ref="D14:D15"/>
    <mergeCell ref="E14:E15"/>
    <mergeCell ref="T14:T15"/>
    <mergeCell ref="A12:A13"/>
    <mergeCell ref="B12:B13"/>
    <mergeCell ref="C12:C13"/>
    <mergeCell ref="D12:D13"/>
    <mergeCell ref="E12:E13"/>
    <mergeCell ref="T12:T13"/>
    <mergeCell ref="A18:A19"/>
    <mergeCell ref="B18:B19"/>
    <mergeCell ref="C18:C19"/>
    <mergeCell ref="D18:D19"/>
    <mergeCell ref="E18:E19"/>
    <mergeCell ref="T18:T19"/>
    <mergeCell ref="A16:A17"/>
    <mergeCell ref="B16:B17"/>
    <mergeCell ref="C16:C17"/>
    <mergeCell ref="D16:D17"/>
    <mergeCell ref="E16:E17"/>
    <mergeCell ref="T16:T17"/>
    <mergeCell ref="A22:A23"/>
    <mergeCell ref="B22:B23"/>
    <mergeCell ref="C22:C23"/>
    <mergeCell ref="D22:D23"/>
    <mergeCell ref="E22:E23"/>
    <mergeCell ref="T22:T23"/>
    <mergeCell ref="A20:A21"/>
    <mergeCell ref="B20:B21"/>
    <mergeCell ref="C20:C21"/>
    <mergeCell ref="D20:D21"/>
    <mergeCell ref="E20:E21"/>
    <mergeCell ref="T20:T21"/>
    <mergeCell ref="A26:A27"/>
    <mergeCell ref="B26:B27"/>
    <mergeCell ref="C26:C27"/>
    <mergeCell ref="D26:D27"/>
    <mergeCell ref="E26:E27"/>
    <mergeCell ref="T26:T27"/>
    <mergeCell ref="A24:A25"/>
    <mergeCell ref="B24:B25"/>
    <mergeCell ref="C24:C25"/>
    <mergeCell ref="D24:D25"/>
    <mergeCell ref="E24:E25"/>
    <mergeCell ref="T24:T25"/>
    <mergeCell ref="A30:A31"/>
    <mergeCell ref="B30:B31"/>
    <mergeCell ref="C30:C31"/>
    <mergeCell ref="D30:D31"/>
    <mergeCell ref="E30:E31"/>
    <mergeCell ref="T30:T31"/>
    <mergeCell ref="A28:A29"/>
    <mergeCell ref="B28:B29"/>
    <mergeCell ref="C28:C29"/>
    <mergeCell ref="D28:D29"/>
    <mergeCell ref="E28:E29"/>
    <mergeCell ref="T28:T29"/>
    <mergeCell ref="A34:A35"/>
    <mergeCell ref="B34:B35"/>
    <mergeCell ref="C34:C35"/>
    <mergeCell ref="D34:D35"/>
    <mergeCell ref="E34:E35"/>
    <mergeCell ref="T34:T35"/>
    <mergeCell ref="A32:A33"/>
    <mergeCell ref="B32:B33"/>
    <mergeCell ref="C32:C33"/>
    <mergeCell ref="D32:D33"/>
    <mergeCell ref="E32:E33"/>
    <mergeCell ref="T32:T33"/>
    <mergeCell ref="A38:A39"/>
    <mergeCell ref="B38:B39"/>
    <mergeCell ref="C38:C39"/>
    <mergeCell ref="D38:D39"/>
    <mergeCell ref="E38:E39"/>
    <mergeCell ref="T38:T39"/>
    <mergeCell ref="A36:A37"/>
    <mergeCell ref="B36:B37"/>
    <mergeCell ref="C36:C37"/>
    <mergeCell ref="D36:D37"/>
    <mergeCell ref="E36:E37"/>
    <mergeCell ref="T36:T37"/>
    <mergeCell ref="A42:A43"/>
    <mergeCell ref="B42:B43"/>
    <mergeCell ref="C42:C43"/>
    <mergeCell ref="D42:D43"/>
    <mergeCell ref="E42:E43"/>
    <mergeCell ref="T42:T43"/>
    <mergeCell ref="A40:A41"/>
    <mergeCell ref="B40:B41"/>
    <mergeCell ref="C40:C41"/>
    <mergeCell ref="D40:D41"/>
    <mergeCell ref="E40:E41"/>
    <mergeCell ref="T40:T41"/>
    <mergeCell ref="A46:A47"/>
    <mergeCell ref="B46:B47"/>
    <mergeCell ref="C46:C47"/>
    <mergeCell ref="D46:D47"/>
    <mergeCell ref="E46:E47"/>
    <mergeCell ref="T46:T47"/>
    <mergeCell ref="A44:A45"/>
    <mergeCell ref="B44:B45"/>
    <mergeCell ref="C44:C45"/>
    <mergeCell ref="D44:D45"/>
    <mergeCell ref="E44:E45"/>
    <mergeCell ref="T44:T45"/>
    <mergeCell ref="A50:A51"/>
    <mergeCell ref="B50:B51"/>
    <mergeCell ref="C50:C51"/>
    <mergeCell ref="D50:D51"/>
    <mergeCell ref="E50:E51"/>
    <mergeCell ref="T50:T51"/>
    <mergeCell ref="A48:A49"/>
    <mergeCell ref="B48:B49"/>
    <mergeCell ref="C48:C49"/>
    <mergeCell ref="D48:D49"/>
    <mergeCell ref="E48:E49"/>
    <mergeCell ref="T48:T49"/>
    <mergeCell ref="A54:A55"/>
    <mergeCell ref="B54:B55"/>
    <mergeCell ref="C54:C55"/>
    <mergeCell ref="D54:D55"/>
    <mergeCell ref="E54:E55"/>
    <mergeCell ref="T54:T55"/>
    <mergeCell ref="A52:A53"/>
    <mergeCell ref="B52:B53"/>
    <mergeCell ref="C52:C53"/>
    <mergeCell ref="D52:D53"/>
    <mergeCell ref="E52:E53"/>
    <mergeCell ref="T52:T53"/>
  </mergeCells>
  <phoneticPr fontId="25"/>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0480-9A06-44CA-B8F1-6E29A8F56780}">
  <dimension ref="A1:AK80"/>
  <sheetViews>
    <sheetView tabSelected="1" view="pageBreakPreview" zoomScale="54" zoomScaleNormal="69" zoomScaleSheetLayoutView="54" workbookViewId="0">
      <selection activeCell="P38" sqref="P38:Q39"/>
    </sheetView>
  </sheetViews>
  <sheetFormatPr defaultColWidth="8.6640625" defaultRowHeight="14.4"/>
  <cols>
    <col min="1" max="1" width="5.77734375" style="133" customWidth="1"/>
    <col min="2" max="4" width="8.33203125" style="133" customWidth="1"/>
    <col min="5" max="5" width="21.5546875" style="133" customWidth="1"/>
    <col min="6" max="37" width="8.33203125" style="133" customWidth="1"/>
    <col min="38" max="16384" width="8.6640625" style="133"/>
  </cols>
  <sheetData>
    <row r="1" spans="1:37" ht="7.95" customHeight="1"/>
    <row r="2" spans="1:37">
      <c r="A2" s="158"/>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row>
    <row r="3" spans="1:37">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row>
    <row r="4" spans="1:37">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row>
    <row r="5" spans="1:37" ht="16.05" customHeight="1">
      <c r="A5" s="158"/>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row>
    <row r="6" spans="1:37" ht="12" customHeight="1">
      <c r="A6" s="158"/>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row>
    <row r="7" spans="1:37">
      <c r="A7" s="158"/>
      <c r="B7" s="158"/>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row>
    <row r="8" spans="1:37">
      <c r="A8" s="158"/>
      <c r="B8" s="158"/>
      <c r="C8" s="158"/>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c r="AK8" s="158"/>
    </row>
    <row r="9" spans="1:37">
      <c r="A9" s="158"/>
      <c r="B9" s="158"/>
      <c r="C9" s="158"/>
      <c r="D9" s="158"/>
      <c r="E9" s="158"/>
      <c r="F9" s="158"/>
      <c r="G9" s="158"/>
      <c r="H9" s="158"/>
      <c r="I9" s="158"/>
      <c r="J9" s="158"/>
      <c r="K9" s="158"/>
      <c r="L9" s="158"/>
      <c r="M9" s="158"/>
      <c r="N9" s="158"/>
      <c r="O9" s="158"/>
      <c r="P9" s="158"/>
      <c r="Q9" s="158"/>
      <c r="R9" s="158"/>
      <c r="S9" s="158"/>
      <c r="T9" s="158"/>
      <c r="U9" s="158"/>
      <c r="V9" s="158"/>
      <c r="W9" s="158"/>
      <c r="X9" s="158"/>
      <c r="Y9" s="158"/>
      <c r="Z9" s="158"/>
      <c r="AA9" s="158"/>
      <c r="AB9" s="158"/>
      <c r="AC9" s="158"/>
      <c r="AD9" s="158"/>
      <c r="AE9" s="158"/>
      <c r="AF9" s="158"/>
      <c r="AG9" s="158"/>
      <c r="AH9" s="158"/>
      <c r="AI9" s="158"/>
      <c r="AJ9" s="158"/>
      <c r="AK9" s="158"/>
    </row>
    <row r="10" spans="1:37" ht="18" customHeight="1">
      <c r="A10" s="158"/>
      <c r="B10" s="158"/>
      <c r="C10" s="158"/>
      <c r="D10" s="158"/>
      <c r="E10" s="158"/>
      <c r="F10" s="158"/>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c r="AE10" s="158"/>
      <c r="AF10" s="159"/>
      <c r="AG10" s="158"/>
      <c r="AH10" s="158"/>
      <c r="AI10" s="158"/>
      <c r="AJ10" s="158"/>
      <c r="AK10" s="158"/>
    </row>
    <row r="11" spans="1:37" ht="15.45" customHeight="1">
      <c r="A11" s="158"/>
      <c r="B11" s="158"/>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9"/>
      <c r="AG11" s="158"/>
      <c r="AH11" s="158"/>
      <c r="AI11" s="158"/>
      <c r="AJ11" s="158"/>
      <c r="AK11" s="158"/>
    </row>
    <row r="12" spans="1:37" ht="18" customHeight="1">
      <c r="A12" s="158"/>
      <c r="B12" s="158"/>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60"/>
      <c r="AE12" s="160"/>
      <c r="AF12" s="158"/>
      <c r="AG12" s="158"/>
      <c r="AH12" s="158"/>
      <c r="AI12" s="158"/>
      <c r="AJ12" s="158"/>
      <c r="AK12" s="158"/>
    </row>
    <row r="13" spans="1:37">
      <c r="A13" s="158"/>
      <c r="B13" s="158"/>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row>
    <row r="14" spans="1:37">
      <c r="A14" s="158"/>
      <c r="B14" s="158"/>
      <c r="C14" s="158"/>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row>
    <row r="15" spans="1:37" ht="16.5" customHeight="1">
      <c r="A15" s="158"/>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61"/>
      <c r="AF15" s="161"/>
      <c r="AG15" s="158"/>
      <c r="AH15" s="158"/>
      <c r="AI15" s="158"/>
      <c r="AJ15" s="158"/>
      <c r="AK15" s="158"/>
    </row>
    <row r="16" spans="1:37" ht="18" customHeight="1">
      <c r="A16" s="158"/>
      <c r="B16" s="158"/>
      <c r="C16" s="162"/>
      <c r="D16" s="162"/>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61"/>
      <c r="AE16" s="161"/>
      <c r="AF16" s="161"/>
      <c r="AG16" s="158"/>
      <c r="AH16" s="158"/>
      <c r="AI16" s="158"/>
      <c r="AJ16" s="158"/>
      <c r="AK16" s="158"/>
    </row>
    <row r="17" spans="1:37" ht="18" customHeight="1">
      <c r="A17" s="158"/>
      <c r="B17" s="162"/>
      <c r="C17" s="162"/>
      <c r="D17" s="162"/>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row>
    <row r="18" spans="1:37" ht="18" customHeight="1">
      <c r="A18" s="158"/>
      <c r="B18" s="158"/>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row>
    <row r="19" spans="1:37">
      <c r="A19" s="158"/>
      <c r="B19" s="158"/>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row>
    <row r="20" spans="1:37" ht="19.95" customHeight="1">
      <c r="A20" s="158"/>
      <c r="B20" s="158"/>
      <c r="C20" s="163"/>
      <c r="D20" s="158"/>
      <c r="E20" s="158"/>
      <c r="F20" s="158"/>
      <c r="G20" s="158"/>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c r="AE20" s="164"/>
      <c r="AF20" s="164"/>
      <c r="AG20" s="158"/>
      <c r="AH20" s="158"/>
      <c r="AI20" s="158"/>
      <c r="AJ20" s="158"/>
      <c r="AK20" s="158"/>
    </row>
    <row r="21" spans="1:37" ht="21" customHeight="1">
      <c r="A21" s="158"/>
      <c r="B21" s="163"/>
      <c r="C21" s="163"/>
      <c r="D21" s="158"/>
      <c r="E21" s="158"/>
      <c r="F21" s="158"/>
      <c r="G21" s="158"/>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row>
    <row r="22" spans="1:37">
      <c r="A22" s="158"/>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row>
    <row r="23" spans="1:37" ht="29.55" customHeight="1">
      <c r="A23" s="158"/>
      <c r="B23" s="158"/>
      <c r="C23" s="158"/>
      <c r="D23" s="158"/>
      <c r="E23" s="321">
        <f>GETPIVOTDATA("Chtrình MKT",Pivot!$V$8)</f>
        <v>1370</v>
      </c>
      <c r="F23" s="306"/>
      <c r="G23" s="306"/>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row>
    <row r="24" spans="1:37">
      <c r="A24" s="15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row>
    <row r="25" spans="1:37">
      <c r="A25" s="158"/>
      <c r="B25" s="158"/>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row>
    <row r="26" spans="1:37">
      <c r="A26" s="158"/>
      <c r="B26" s="158"/>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row>
    <row r="27" spans="1:37" ht="33.6">
      <c r="A27" s="158"/>
      <c r="B27" s="158"/>
      <c r="C27" s="158"/>
      <c r="D27" s="158"/>
      <c r="E27" s="322">
        <f>GETPIVOTDATA("SL kênh triển khai MKT",Pivot!$A$139)</f>
        <v>1467</v>
      </c>
      <c r="F27" s="323"/>
      <c r="G27" s="323"/>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row>
    <row r="28" spans="1:37">
      <c r="A28" s="158"/>
      <c r="B28" s="158"/>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row>
    <row r="29" spans="1:37" ht="26.55" customHeight="1">
      <c r="A29" s="158"/>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row>
    <row r="30" spans="1:37" ht="7.5" customHeight="1">
      <c r="A30" s="158"/>
      <c r="B30" s="158"/>
      <c r="C30" s="158"/>
      <c r="D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row>
    <row r="31" spans="1:37" ht="36.450000000000003" customHeight="1">
      <c r="A31" s="158"/>
      <c r="B31" s="158"/>
      <c r="C31" s="158"/>
      <c r="D31" s="158"/>
      <c r="E31" s="324">
        <f>GETPIVOTDATA("Chi phí kênh MKT thu data",Pivot!$AA$68)</f>
        <v>18610065</v>
      </c>
      <c r="F31" s="325"/>
      <c r="G31" s="325"/>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row>
    <row r="32" spans="1:37">
      <c r="A32" s="15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row>
    <row r="33" spans="1:37">
      <c r="A33" s="158"/>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row>
    <row r="34" spans="1:37" ht="16.95" customHeight="1">
      <c r="A34" s="15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row>
    <row r="35" spans="1:37" ht="37.950000000000003" customHeight="1">
      <c r="A35" s="158"/>
      <c r="B35" s="158"/>
      <c r="C35" s="158"/>
      <c r="D35" s="158"/>
      <c r="E35" s="326">
        <f>GETPIVOTDATA("Chí phí TB của HĐ MKT",Pivot!$D$139)</f>
        <v>8700.214778747988</v>
      </c>
      <c r="F35" s="323"/>
      <c r="G35" s="323"/>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row>
    <row r="36" spans="1:37">
      <c r="A36" s="15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row>
    <row r="37" spans="1:37" ht="6" customHeight="1" thickBot="1">
      <c r="A37" s="15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row>
    <row r="38" spans="1:37" ht="25.95" customHeight="1">
      <c r="A38" s="158"/>
      <c r="B38" s="158"/>
      <c r="C38" s="158"/>
      <c r="D38" s="328">
        <f>GETPIVOTDATA("Data KH",Pivot!$C$38)</f>
        <v>37361</v>
      </c>
      <c r="E38" s="329" ph="1"/>
      <c r="F38" s="158"/>
      <c r="G38" s="158"/>
      <c r="H38" s="158"/>
      <c r="I38" s="158"/>
      <c r="J38" s="158"/>
      <c r="K38" s="158"/>
      <c r="L38" s="158"/>
      <c r="M38" s="158"/>
      <c r="N38" s="158"/>
      <c r="O38" s="158"/>
      <c r="P38" s="327">
        <f>GETPIVOTDATA("HĐ MKT",Pivot!$I$38)</f>
        <v>2972</v>
      </c>
      <c r="Q38" s="316"/>
      <c r="R38" s="158"/>
      <c r="S38" s="158"/>
      <c r="T38" s="158"/>
      <c r="U38" s="158"/>
      <c r="V38" s="158"/>
      <c r="W38" s="158"/>
      <c r="X38" s="158"/>
      <c r="Y38" s="158"/>
      <c r="Z38" s="165"/>
      <c r="AB38" s="299">
        <f>GETPIVOTDATA("CTR1",Pivot!$Q$38)</f>
        <v>7.9548191964883164E-2</v>
      </c>
      <c r="AC38" s="300"/>
      <c r="AD38" s="158"/>
      <c r="AE38" s="158"/>
      <c r="AF38" s="158"/>
      <c r="AG38" s="158"/>
      <c r="AH38" s="158"/>
      <c r="AI38" s="158"/>
      <c r="AJ38" s="158"/>
      <c r="AK38" s="158"/>
    </row>
    <row r="39" spans="1:37" ht="22.5" customHeight="1" thickBot="1">
      <c r="A39" s="158"/>
      <c r="B39" s="158"/>
      <c r="C39" s="158"/>
      <c r="D39" s="330" ph="1"/>
      <c r="E39" s="331" ph="1"/>
      <c r="F39" s="158"/>
      <c r="G39" s="158"/>
      <c r="H39" s="158"/>
      <c r="I39" s="158"/>
      <c r="J39" s="158"/>
      <c r="K39" s="158"/>
      <c r="L39" s="158"/>
      <c r="M39" s="158"/>
      <c r="N39" s="158"/>
      <c r="O39" s="166"/>
      <c r="P39" s="319"/>
      <c r="Q39" s="320"/>
      <c r="R39" s="158"/>
      <c r="S39" s="158"/>
      <c r="T39" s="158"/>
      <c r="U39" s="158"/>
      <c r="V39" s="158"/>
      <c r="W39" s="158"/>
      <c r="X39" s="158"/>
      <c r="Y39" s="165"/>
      <c r="Z39" s="165"/>
      <c r="AB39" s="301"/>
      <c r="AC39" s="302"/>
      <c r="AD39" s="158"/>
      <c r="AE39" s="158"/>
      <c r="AF39" s="158"/>
      <c r="AG39" s="158"/>
      <c r="AH39" s="158"/>
      <c r="AI39" s="158"/>
      <c r="AJ39" s="158"/>
      <c r="AK39" s="158"/>
    </row>
    <row r="40" spans="1:37">
      <c r="A40" s="158"/>
      <c r="B40" s="158"/>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c r="AK40" s="158"/>
    </row>
    <row r="41" spans="1:37">
      <c r="A41" s="158"/>
      <c r="B41" s="158"/>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row>
    <row r="42" spans="1:37">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row>
    <row r="43" spans="1:37">
      <c r="A43" s="158"/>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row>
    <row r="44" spans="1:37">
      <c r="A44" s="158"/>
      <c r="B44" s="158"/>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row>
    <row r="45" spans="1:37">
      <c r="A45" s="158"/>
      <c r="B45" s="158"/>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row>
    <row r="46" spans="1:37">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row>
    <row r="47" spans="1:37">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row>
    <row r="48" spans="1:37">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row>
    <row r="49" spans="1:37">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row>
    <row r="50" spans="1:37">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row>
    <row r="51" spans="1:37">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row>
    <row r="52" spans="1:37" ht="18" customHeight="1">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row>
    <row r="53" spans="1:37" ht="18" customHeight="1">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row>
    <row r="54" spans="1:37" ht="18" customHeight="1">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row>
    <row r="55" spans="1:37" ht="18" customHeight="1">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row>
    <row r="56" spans="1:37" ht="13.5" customHeight="1" thickBot="1">
      <c r="A56" s="158"/>
      <c r="B56" s="158"/>
      <c r="C56" s="158"/>
      <c r="D56" s="158"/>
      <c r="E56" s="167"/>
      <c r="F56" s="158"/>
      <c r="G56" s="158"/>
      <c r="H56" s="158"/>
      <c r="I56" s="158"/>
      <c r="J56" s="158"/>
      <c r="K56" s="158"/>
      <c r="L56" s="158"/>
      <c r="M56" s="158"/>
      <c r="N56" s="158"/>
      <c r="O56" s="158"/>
      <c r="P56" s="168"/>
      <c r="Q56" s="158"/>
      <c r="R56" s="158"/>
      <c r="S56" s="158"/>
      <c r="T56" s="158"/>
      <c r="U56" s="158"/>
      <c r="V56" s="158"/>
      <c r="W56" s="158"/>
      <c r="X56" s="158"/>
      <c r="Y56" s="158"/>
      <c r="Z56" s="169"/>
      <c r="AA56" s="170"/>
      <c r="AB56" s="158"/>
      <c r="AC56" s="158"/>
      <c r="AD56" s="158"/>
      <c r="AE56" s="158"/>
      <c r="AF56" s="158"/>
      <c r="AG56" s="158"/>
      <c r="AH56" s="158"/>
      <c r="AI56" s="158"/>
      <c r="AJ56" s="158"/>
      <c r="AK56" s="158"/>
    </row>
    <row r="57" spans="1:37" ht="18" customHeight="1">
      <c r="A57" s="158"/>
      <c r="B57" s="158"/>
      <c r="C57" s="158"/>
      <c r="D57" s="158"/>
      <c r="E57" s="158"/>
      <c r="F57" s="158"/>
      <c r="G57" s="158"/>
      <c r="H57" s="158"/>
      <c r="I57" s="158"/>
      <c r="J57" s="158"/>
      <c r="K57" s="158"/>
      <c r="L57" s="158"/>
      <c r="M57" s="158"/>
      <c r="N57" s="158"/>
      <c r="O57" s="168"/>
      <c r="P57" s="158"/>
      <c r="Q57" s="158"/>
      <c r="R57" s="158"/>
      <c r="S57" s="158"/>
      <c r="T57" s="158"/>
      <c r="U57" s="158"/>
      <c r="V57" s="158"/>
      <c r="W57" s="158"/>
      <c r="X57" s="158"/>
      <c r="Y57" s="158"/>
      <c r="Z57" s="169"/>
      <c r="AA57" s="158"/>
      <c r="AB57" s="309">
        <f>GETPIVOTDATA("Đóng góp MKT",Pivot!$K$70)</f>
        <v>0.11767034881419013</v>
      </c>
      <c r="AC57" s="310"/>
      <c r="AD57" s="158"/>
      <c r="AE57" s="158"/>
      <c r="AF57" s="158"/>
      <c r="AG57" s="158"/>
      <c r="AH57" s="158"/>
      <c r="AI57" s="158"/>
      <c r="AJ57" s="158"/>
      <c r="AK57" s="158"/>
    </row>
    <row r="58" spans="1:37" ht="18" customHeight="1">
      <c r="A58" s="158"/>
      <c r="B58" s="158"/>
      <c r="C58" s="158"/>
      <c r="D58" s="158"/>
      <c r="E58" s="158"/>
      <c r="F58" s="158"/>
      <c r="G58" s="158"/>
      <c r="H58" s="158"/>
      <c r="I58" s="158"/>
      <c r="J58" s="158"/>
      <c r="K58" s="158"/>
      <c r="L58" s="158"/>
      <c r="M58" s="158"/>
      <c r="N58" s="158"/>
      <c r="O58" s="168"/>
      <c r="P58" s="158"/>
      <c r="Q58" s="158"/>
      <c r="R58" s="158"/>
      <c r="S58" s="158"/>
      <c r="T58" s="158"/>
      <c r="U58" s="158"/>
      <c r="V58" s="158"/>
      <c r="W58" s="158"/>
      <c r="X58" s="158"/>
      <c r="Y58" s="169"/>
      <c r="Z58" s="169"/>
      <c r="AA58" s="158"/>
      <c r="AB58" s="311"/>
      <c r="AC58" s="312"/>
      <c r="AD58" s="158"/>
      <c r="AE58" s="158"/>
      <c r="AF58" s="158"/>
      <c r="AG58" s="158"/>
      <c r="AH58" s="158"/>
      <c r="AI58" s="158"/>
      <c r="AJ58" s="158"/>
      <c r="AK58" s="158"/>
    </row>
    <row r="59" spans="1:37" ht="15" thickBot="1">
      <c r="A59" s="158"/>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313"/>
      <c r="AC59" s="314"/>
      <c r="AD59" s="158"/>
      <c r="AE59" s="158"/>
      <c r="AF59" s="158"/>
      <c r="AG59" s="158"/>
      <c r="AH59" s="158"/>
      <c r="AI59" s="158"/>
      <c r="AJ59" s="158"/>
      <c r="AK59" s="158"/>
    </row>
    <row r="60" spans="1:37">
      <c r="A60" s="158"/>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row>
    <row r="61" spans="1:37">
      <c r="A61" s="158"/>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row>
    <row r="62" spans="1:37">
      <c r="A62" s="158"/>
      <c r="B62" s="158"/>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row>
    <row r="63" spans="1:37">
      <c r="A63" s="158"/>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row>
    <row r="64" spans="1:37">
      <c r="A64" s="158"/>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row>
    <row r="65" spans="1:37">
      <c r="A65" s="158"/>
      <c r="B65" s="158"/>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row>
    <row r="66" spans="1:37">
      <c r="A66" s="158"/>
      <c r="B66" s="158"/>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row>
    <row r="67" spans="1:37">
      <c r="A67" s="158"/>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row>
    <row r="68" spans="1:37">
      <c r="A68" s="158"/>
      <c r="B68" s="158"/>
      <c r="C68" s="158"/>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c r="AE68" s="158"/>
      <c r="AF68" s="158"/>
      <c r="AG68" s="158"/>
      <c r="AH68" s="158"/>
      <c r="AI68" s="158"/>
      <c r="AJ68" s="158"/>
      <c r="AK68" s="158"/>
    </row>
    <row r="69" spans="1:37">
      <c r="A69" s="158"/>
      <c r="B69" s="158"/>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c r="AA69" s="158"/>
      <c r="AB69" s="158"/>
      <c r="AC69" s="158"/>
      <c r="AD69" s="158"/>
      <c r="AE69" s="158"/>
      <c r="AF69" s="158"/>
      <c r="AG69" s="158"/>
      <c r="AH69" s="158"/>
      <c r="AI69" s="158"/>
      <c r="AJ69" s="158"/>
      <c r="AK69" s="158"/>
    </row>
    <row r="70" spans="1:37">
      <c r="A70" s="158"/>
      <c r="B70" s="158"/>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c r="AE70" s="158"/>
      <c r="AF70" s="158"/>
      <c r="AG70" s="158"/>
      <c r="AH70" s="158"/>
      <c r="AI70" s="158"/>
      <c r="AJ70" s="158"/>
      <c r="AK70" s="158"/>
    </row>
    <row r="71" spans="1:37">
      <c r="A71" s="158"/>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c r="AE71" s="158"/>
      <c r="AF71" s="158"/>
      <c r="AG71" s="158"/>
      <c r="AH71" s="158"/>
      <c r="AI71" s="158"/>
      <c r="AJ71" s="158"/>
      <c r="AK71" s="158"/>
    </row>
    <row r="72" spans="1:37">
      <c r="A72" s="158"/>
      <c r="B72" s="158"/>
      <c r="C72" s="158"/>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c r="AE72" s="158"/>
      <c r="AF72" s="158"/>
      <c r="AG72" s="158"/>
      <c r="AH72" s="158"/>
      <c r="AI72" s="158"/>
      <c r="AJ72" s="158"/>
      <c r="AK72" s="158"/>
    </row>
    <row r="73" spans="1:37">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58"/>
      <c r="AF73" s="158"/>
      <c r="AG73" s="158"/>
      <c r="AH73" s="158"/>
      <c r="AI73" s="158"/>
      <c r="AJ73" s="158"/>
      <c r="AK73" s="158"/>
    </row>
    <row r="74" spans="1:37">
      <c r="A74" s="158"/>
      <c r="B74" s="158"/>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row>
    <row r="75" spans="1:37" ht="4.95" customHeight="1"/>
    <row r="76" spans="1:37" hidden="1"/>
    <row r="77" spans="1:37" ht="12.45" customHeight="1" thickBot="1"/>
    <row r="78" spans="1:37">
      <c r="D78" s="303">
        <f>GETPIVOTDATA("Chi phí MKT",Pivot!$Z$8)</f>
        <v>21176531</v>
      </c>
      <c r="E78" s="332"/>
      <c r="F78" s="333"/>
      <c r="P78" s="315">
        <f>GETPIVOTDATA("Hoàn thành",Pivot!$Q$69)</f>
        <v>1.0213321917808227</v>
      </c>
      <c r="Q78" s="316"/>
      <c r="AB78" s="303">
        <f>GETPIVOTDATA("Thưởng MKT",Pivot!$A$103)</f>
        <v>1867339032.8076589</v>
      </c>
      <c r="AC78" s="304"/>
      <c r="AD78" s="300"/>
    </row>
    <row r="79" spans="1:37" ht="18" customHeight="1">
      <c r="D79" s="334"/>
      <c r="E79" s="323"/>
      <c r="F79" s="335"/>
      <c r="P79" s="317"/>
      <c r="Q79" s="318"/>
      <c r="AB79" s="305"/>
      <c r="AC79" s="306"/>
      <c r="AD79" s="307"/>
    </row>
    <row r="80" spans="1:37" ht="18.45" customHeight="1" thickBot="1">
      <c r="D80" s="336"/>
      <c r="E80" s="337"/>
      <c r="F80" s="338"/>
      <c r="P80" s="319"/>
      <c r="Q80" s="320"/>
      <c r="AB80" s="301"/>
      <c r="AC80" s="308"/>
      <c r="AD80" s="302"/>
    </row>
  </sheetData>
  <mergeCells count="11">
    <mergeCell ref="AB38:AC39"/>
    <mergeCell ref="AB78:AD80"/>
    <mergeCell ref="AB57:AC59"/>
    <mergeCell ref="P78:Q80"/>
    <mergeCell ref="E23:G23"/>
    <mergeCell ref="E27:G27"/>
    <mergeCell ref="E31:G31"/>
    <mergeCell ref="E35:G35"/>
    <mergeCell ref="P38:Q39"/>
    <mergeCell ref="D38:E39"/>
    <mergeCell ref="D78:F80"/>
  </mergeCells>
  <phoneticPr fontId="25"/>
  <pageMargins left="0.15748031496062992" right="0.15748031496062992" top="0.19685039370078741" bottom="0.15748031496062992" header="0.15748031496062992" footer="0.15748031496062992"/>
  <pageSetup scale="40" orientation="landscape" r:id="rId1"/>
  <rowBreaks count="1" manualBreakCount="1">
    <brk id="75" max="36" man="1"/>
  </rowBreaks>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0AE4-A37C-4BAE-8EA6-C3ECB380F501}">
  <dimension ref="A1:AV476"/>
  <sheetViews>
    <sheetView topLeftCell="A70" zoomScale="68" zoomScaleNormal="68" workbookViewId="0">
      <selection activeCell="AM10" sqref="AM10"/>
    </sheetView>
  </sheetViews>
  <sheetFormatPr defaultRowHeight="14.4"/>
  <cols>
    <col min="1" max="1" width="21.5546875" bestFit="1" customWidth="1"/>
    <col min="2" max="2" width="15" bestFit="1" customWidth="1"/>
    <col min="3" max="3" width="22.33203125" bestFit="1" customWidth="1"/>
    <col min="4" max="4" width="18.21875" bestFit="1" customWidth="1"/>
    <col min="5" max="5" width="14.33203125" bestFit="1" customWidth="1"/>
    <col min="6" max="6" width="21.6640625" bestFit="1" customWidth="1"/>
    <col min="7" max="7" width="8.5546875" bestFit="1" customWidth="1"/>
    <col min="8" max="8" width="22.33203125" bestFit="1" customWidth="1"/>
    <col min="9" max="9" width="20.88671875" bestFit="1" customWidth="1"/>
    <col min="10" max="10" width="18.21875" bestFit="1" customWidth="1"/>
    <col min="11" max="11" width="20.5546875" bestFit="1" customWidth="1"/>
    <col min="12" max="12" width="16.44140625" bestFit="1" customWidth="1"/>
    <col min="13" max="13" width="8" bestFit="1" customWidth="1"/>
    <col min="14" max="14" width="16" bestFit="1" customWidth="1"/>
    <col min="15" max="15" width="10.21875" bestFit="1" customWidth="1"/>
    <col min="16" max="16" width="9.21875" bestFit="1" customWidth="1"/>
    <col min="17" max="17" width="15.6640625" bestFit="1" customWidth="1"/>
    <col min="18" max="18" width="9.109375" bestFit="1" customWidth="1"/>
    <col min="19" max="19" width="13.88671875" bestFit="1" customWidth="1"/>
    <col min="20" max="20" width="9.109375" bestFit="1" customWidth="1"/>
    <col min="21" max="21" width="13" bestFit="1" customWidth="1"/>
    <col min="22" max="22" width="8.77734375" bestFit="1" customWidth="1"/>
    <col min="23" max="23" width="25.44140625" style="128" bestFit="1" customWidth="1"/>
    <col min="24" max="24" width="13.88671875" bestFit="1" customWidth="1"/>
    <col min="25" max="25" width="6.77734375" bestFit="1" customWidth="1"/>
    <col min="26" max="26" width="18.21875" bestFit="1" customWidth="1"/>
    <col min="27" max="27" width="19.6640625" style="134" bestFit="1" customWidth="1"/>
    <col min="28" max="28" width="33.109375" bestFit="1" customWidth="1"/>
    <col min="29" max="29" width="7.44140625" bestFit="1" customWidth="1"/>
    <col min="30" max="30" width="7.6640625" bestFit="1" customWidth="1"/>
    <col min="31" max="31" width="18.21875" bestFit="1" customWidth="1"/>
    <col min="32" max="32" width="15.6640625" bestFit="1" customWidth="1"/>
    <col min="33" max="33" width="15.77734375" bestFit="1" customWidth="1"/>
    <col min="34" max="34" width="10.77734375" bestFit="1" customWidth="1"/>
    <col min="35" max="35" width="13.21875" bestFit="1" customWidth="1"/>
    <col min="36" max="36" width="16" bestFit="1" customWidth="1"/>
    <col min="37" max="37" width="8.77734375" bestFit="1" customWidth="1"/>
    <col min="38" max="38" width="4.6640625" bestFit="1" customWidth="1"/>
    <col min="39" max="39" width="13.88671875" bestFit="1" customWidth="1"/>
    <col min="40" max="40" width="22.44140625" bestFit="1" customWidth="1"/>
    <col min="41" max="41" width="20.21875" bestFit="1" customWidth="1"/>
    <col min="42" max="42" width="9.21875" bestFit="1" customWidth="1"/>
    <col min="43" max="43" width="20.5546875" bestFit="1" customWidth="1"/>
    <col min="44" max="44" width="4.33203125" bestFit="1" customWidth="1"/>
    <col min="45" max="45" width="5.21875" bestFit="1" customWidth="1"/>
  </cols>
  <sheetData>
    <row r="1" spans="1:36">
      <c r="C1" t="s">
        <v>233</v>
      </c>
      <c r="D1" t="s">
        <v>234</v>
      </c>
      <c r="E1" t="s">
        <v>235</v>
      </c>
    </row>
    <row r="2" spans="1:36">
      <c r="B2" t="s">
        <v>232</v>
      </c>
    </row>
    <row r="8" spans="1:36">
      <c r="A8" s="123" t="s">
        <v>144</v>
      </c>
      <c r="B8" s="262" t="s">
        <v>150</v>
      </c>
      <c r="C8" s="262" t="s">
        <v>151</v>
      </c>
      <c r="D8" s="262" t="s">
        <v>152</v>
      </c>
      <c r="E8" s="262" t="s">
        <v>153</v>
      </c>
      <c r="F8" s="262" t="s">
        <v>177</v>
      </c>
      <c r="G8" s="262" t="s">
        <v>154</v>
      </c>
      <c r="H8" s="262" t="s">
        <v>169</v>
      </c>
      <c r="I8" s="262" t="s">
        <v>155</v>
      </c>
      <c r="V8" s="123" t="s">
        <v>144</v>
      </c>
      <c r="W8" s="128" t="s">
        <v>175</v>
      </c>
      <c r="Z8" s="123" t="s">
        <v>144</v>
      </c>
      <c r="AA8" s="119" t="s">
        <v>225</v>
      </c>
      <c r="AC8" s="262" t="s">
        <v>150</v>
      </c>
      <c r="AD8" s="262" t="s">
        <v>151</v>
      </c>
      <c r="AE8" s="262" t="s">
        <v>152</v>
      </c>
      <c r="AF8" s="262" t="s">
        <v>153</v>
      </c>
      <c r="AG8" s="262" t="s">
        <v>177</v>
      </c>
      <c r="AH8" s="262" t="s">
        <v>154</v>
      </c>
      <c r="AI8" s="262" t="s">
        <v>169</v>
      </c>
      <c r="AJ8" s="262" t="s">
        <v>155</v>
      </c>
    </row>
    <row r="9" spans="1:36">
      <c r="A9" s="124" t="s">
        <v>69</v>
      </c>
      <c r="B9" s="261">
        <v>14</v>
      </c>
      <c r="C9" s="261">
        <v>7</v>
      </c>
      <c r="D9" s="261">
        <v>9</v>
      </c>
      <c r="E9" s="261">
        <v>10</v>
      </c>
      <c r="F9" s="261">
        <v>11</v>
      </c>
      <c r="G9" s="261">
        <v>11</v>
      </c>
      <c r="H9" s="261">
        <v>4</v>
      </c>
      <c r="I9" s="261">
        <v>5</v>
      </c>
      <c r="V9" s="124" t="s">
        <v>69</v>
      </c>
      <c r="W9" s="128">
        <v>71</v>
      </c>
      <c r="Z9" s="124" t="s">
        <v>69</v>
      </c>
      <c r="AA9" s="119">
        <v>331500</v>
      </c>
      <c r="AC9" s="261">
        <v>302</v>
      </c>
      <c r="AD9" s="261">
        <v>150</v>
      </c>
      <c r="AE9" s="261">
        <v>240</v>
      </c>
      <c r="AF9" s="261">
        <v>118</v>
      </c>
      <c r="AG9" s="261">
        <v>182</v>
      </c>
      <c r="AH9" s="261">
        <v>154</v>
      </c>
      <c r="AI9" s="261">
        <v>75</v>
      </c>
      <c r="AJ9" s="261">
        <v>148</v>
      </c>
    </row>
    <row r="10" spans="1:36">
      <c r="A10" s="124" t="s">
        <v>36</v>
      </c>
      <c r="B10" s="261">
        <v>5</v>
      </c>
      <c r="C10" s="261"/>
      <c r="D10" s="261">
        <v>6</v>
      </c>
      <c r="E10" s="261"/>
      <c r="F10" s="261">
        <v>1</v>
      </c>
      <c r="G10" s="261"/>
      <c r="H10" s="261"/>
      <c r="I10" s="261">
        <v>2</v>
      </c>
      <c r="V10" s="124" t="s">
        <v>36</v>
      </c>
      <c r="W10" s="128">
        <v>14</v>
      </c>
      <c r="Z10" s="124" t="s">
        <v>36</v>
      </c>
      <c r="AA10" s="119">
        <v>350200</v>
      </c>
      <c r="AC10" s="153">
        <f>GETPIVOTDATA("KM_BH",$AC$8)/SUM($AC$9:$AJ$9)</f>
        <v>0.22059897735573411</v>
      </c>
      <c r="AD10" s="153">
        <f>GETPIVOTDATA("KM_DV",$AC$8)/SUM($AC$9:$AJ$9)</f>
        <v>0.1095690284879474</v>
      </c>
      <c r="AE10" s="153">
        <f>GETPIVOTDATA("QC_Online",$AC$8)/SUM($AC$9:$AJ$9)</f>
        <v>0.17531044558071585</v>
      </c>
      <c r="AF10" s="153">
        <f>GETPIVOTDATA("Test-drive",$AC$8)/SUM($AC$9:$AJ$9)</f>
        <v>8.6194302410518633E-2</v>
      </c>
      <c r="AG10" s="153">
        <f>GETPIVOTDATA("Event.",$AC$8)/SUM($AC$9:$AJ$9)</f>
        <v>0.13294375456537619</v>
      </c>
      <c r="AH10" s="153">
        <f>GETPIVOTDATA("QC_Thương hiệu",$AC$8)/SUM($AC$9:$AJ$9)</f>
        <v>0.11249086924762601</v>
      </c>
      <c r="AI10" s="153">
        <f>GETPIVOTDATA("TTTH_CSR",$AC$8)/SUM($AC$9:$AJ$9)</f>
        <v>5.4784514243973702E-2</v>
      </c>
      <c r="AJ10" s="153">
        <f>GETPIVOTDATA("QC_Website",$AC$8)/SUM($AC$9:$AJ$9)</f>
        <v>0.10810810810810811</v>
      </c>
    </row>
    <row r="11" spans="1:36">
      <c r="A11" s="124" t="s">
        <v>149</v>
      </c>
      <c r="B11" s="261">
        <v>9</v>
      </c>
      <c r="C11" s="261">
        <v>5</v>
      </c>
      <c r="D11" s="261">
        <v>4</v>
      </c>
      <c r="E11" s="261">
        <v>3</v>
      </c>
      <c r="F11" s="261">
        <v>5</v>
      </c>
      <c r="G11" s="261">
        <v>12</v>
      </c>
      <c r="H11" s="261">
        <v>7</v>
      </c>
      <c r="I11" s="261">
        <v>9</v>
      </c>
      <c r="V11" s="124" t="s">
        <v>149</v>
      </c>
      <c r="W11" s="128">
        <v>54</v>
      </c>
      <c r="Z11" s="124" t="s">
        <v>149</v>
      </c>
      <c r="AA11" s="119">
        <v>1309000</v>
      </c>
    </row>
    <row r="12" spans="1:36" ht="15" thickBot="1">
      <c r="A12" s="124" t="s">
        <v>90</v>
      </c>
      <c r="B12" s="261">
        <v>10</v>
      </c>
      <c r="C12" s="261">
        <v>11</v>
      </c>
      <c r="D12" s="261">
        <v>11</v>
      </c>
      <c r="E12" s="261">
        <v>6</v>
      </c>
      <c r="F12" s="261">
        <v>10</v>
      </c>
      <c r="G12" s="261">
        <v>7</v>
      </c>
      <c r="H12" s="261">
        <v>10</v>
      </c>
      <c r="I12" s="261">
        <v>7</v>
      </c>
      <c r="V12" s="124" t="s">
        <v>90</v>
      </c>
      <c r="W12" s="128">
        <v>72</v>
      </c>
      <c r="Z12" s="124" t="s">
        <v>90</v>
      </c>
      <c r="AA12" s="119">
        <v>796000</v>
      </c>
    </row>
    <row r="13" spans="1:36">
      <c r="A13" s="124" t="s">
        <v>79</v>
      </c>
      <c r="B13" s="261">
        <v>16</v>
      </c>
      <c r="C13" s="261">
        <v>4</v>
      </c>
      <c r="D13" s="261">
        <v>9</v>
      </c>
      <c r="E13" s="261">
        <v>5</v>
      </c>
      <c r="F13" s="261">
        <v>11</v>
      </c>
      <c r="G13" s="261">
        <v>10</v>
      </c>
      <c r="H13" s="261">
        <v>1</v>
      </c>
      <c r="I13" s="261">
        <v>8</v>
      </c>
      <c r="V13" s="124" t="s">
        <v>79</v>
      </c>
      <c r="W13" s="128">
        <v>64</v>
      </c>
      <c r="Z13" s="124" t="s">
        <v>79</v>
      </c>
      <c r="AA13" s="119">
        <v>486000</v>
      </c>
      <c r="AC13" s="154" t="s">
        <v>150</v>
      </c>
      <c r="AD13" s="154" t="s">
        <v>151</v>
      </c>
      <c r="AE13" s="154" t="s">
        <v>152</v>
      </c>
      <c r="AF13" s="154" t="s">
        <v>153</v>
      </c>
      <c r="AG13" s="154" t="s">
        <v>177</v>
      </c>
      <c r="AH13" s="154" t="s">
        <v>154</v>
      </c>
      <c r="AI13" s="154" t="s">
        <v>169</v>
      </c>
      <c r="AJ13" s="154" t="s">
        <v>155</v>
      </c>
    </row>
    <row r="14" spans="1:36">
      <c r="A14" s="124" t="s">
        <v>60</v>
      </c>
      <c r="B14" s="261">
        <v>11</v>
      </c>
      <c r="C14" s="261">
        <v>4</v>
      </c>
      <c r="D14" s="261">
        <v>9</v>
      </c>
      <c r="E14" s="261">
        <v>2</v>
      </c>
      <c r="F14" s="261">
        <v>6</v>
      </c>
      <c r="G14" s="261">
        <v>6</v>
      </c>
      <c r="H14" s="261">
        <v>4</v>
      </c>
      <c r="I14" s="261">
        <v>5</v>
      </c>
      <c r="V14" s="124" t="s">
        <v>60</v>
      </c>
      <c r="W14" s="128">
        <v>47</v>
      </c>
      <c r="Z14" s="124" t="s">
        <v>60</v>
      </c>
      <c r="AA14" s="119">
        <v>1070000</v>
      </c>
      <c r="AC14" s="153">
        <f>GETPIVOTDATA("KM_BH",$AC$8)/SUM($AC$9:$AJ$9)</f>
        <v>0.22059897735573411</v>
      </c>
      <c r="AD14" s="153">
        <f>GETPIVOTDATA("KM_DV",$AC$8)/SUM($AC$9:$AJ$9)</f>
        <v>0.1095690284879474</v>
      </c>
      <c r="AE14" s="153">
        <f>GETPIVOTDATA("QC_Online",$AC$8)/SUM($AC$9:$AJ$9)</f>
        <v>0.17531044558071585</v>
      </c>
      <c r="AF14" s="153">
        <f>GETPIVOTDATA("Test-drive",$AC$8)/SUM($AC$9:$AJ$9)</f>
        <v>8.6194302410518633E-2</v>
      </c>
      <c r="AG14" s="153">
        <f>GETPIVOTDATA("Event.",$AC$8)/SUM($AC$9:$AJ$9)</f>
        <v>0.13294375456537619</v>
      </c>
      <c r="AH14" s="153">
        <f>GETPIVOTDATA("QC_Thương hiệu",$AC$8)/SUM($AC$9:$AJ$9)</f>
        <v>0.11249086924762601</v>
      </c>
      <c r="AI14" s="153">
        <f>GETPIVOTDATA("TTTH_CSR",$AC$8)/SUM($AC$9:$AJ$9)</f>
        <v>5.4784514243973702E-2</v>
      </c>
      <c r="AJ14" s="153">
        <f>GETPIVOTDATA("QC_Website",$AC$8)/SUM($AC$9:$AJ$9)</f>
        <v>0.10810810810810811</v>
      </c>
    </row>
    <row r="15" spans="1:36">
      <c r="A15" s="124" t="s">
        <v>57</v>
      </c>
      <c r="B15" s="261">
        <v>8</v>
      </c>
      <c r="C15" s="261">
        <v>6</v>
      </c>
      <c r="D15" s="261">
        <v>5</v>
      </c>
      <c r="E15" s="261">
        <v>7</v>
      </c>
      <c r="F15" s="261">
        <v>9</v>
      </c>
      <c r="G15" s="261">
        <v>2</v>
      </c>
      <c r="H15" s="261">
        <v>4</v>
      </c>
      <c r="I15" s="261">
        <v>8</v>
      </c>
      <c r="V15" s="124" t="s">
        <v>57</v>
      </c>
      <c r="W15" s="128">
        <v>49</v>
      </c>
      <c r="Z15" s="124" t="s">
        <v>57</v>
      </c>
      <c r="AA15" s="119">
        <v>873850</v>
      </c>
    </row>
    <row r="16" spans="1:36">
      <c r="A16" s="124" t="s">
        <v>66</v>
      </c>
      <c r="B16" s="261">
        <v>12</v>
      </c>
      <c r="C16" s="261">
        <v>5</v>
      </c>
      <c r="D16" s="261">
        <v>15</v>
      </c>
      <c r="E16" s="261">
        <v>4</v>
      </c>
      <c r="F16" s="261">
        <v>7</v>
      </c>
      <c r="G16" s="261">
        <v>10</v>
      </c>
      <c r="H16" s="261">
        <v>5</v>
      </c>
      <c r="I16" s="261">
        <v>8</v>
      </c>
      <c r="V16" s="124" t="s">
        <v>66</v>
      </c>
      <c r="W16" s="128">
        <v>66</v>
      </c>
      <c r="Z16" s="124" t="s">
        <v>66</v>
      </c>
      <c r="AA16" s="119">
        <v>841150</v>
      </c>
    </row>
    <row r="17" spans="1:48">
      <c r="A17" s="124" t="s">
        <v>82</v>
      </c>
      <c r="B17" s="261">
        <v>11</v>
      </c>
      <c r="C17" s="261">
        <v>2</v>
      </c>
      <c r="D17" s="261">
        <v>8</v>
      </c>
      <c r="E17" s="261">
        <v>6</v>
      </c>
      <c r="F17" s="261">
        <v>10</v>
      </c>
      <c r="G17" s="261">
        <v>8</v>
      </c>
      <c r="H17" s="261">
        <v>2</v>
      </c>
      <c r="I17" s="261">
        <v>10</v>
      </c>
      <c r="V17" s="124" t="s">
        <v>82</v>
      </c>
      <c r="W17" s="128">
        <v>57</v>
      </c>
      <c r="Z17" s="124" t="s">
        <v>82</v>
      </c>
      <c r="AA17" s="119">
        <v>816000</v>
      </c>
    </row>
    <row r="18" spans="1:48">
      <c r="A18" s="124" t="s">
        <v>48</v>
      </c>
      <c r="B18" s="261">
        <v>14</v>
      </c>
      <c r="C18" s="261">
        <v>11</v>
      </c>
      <c r="D18" s="261">
        <v>6</v>
      </c>
      <c r="E18" s="261">
        <v>5</v>
      </c>
      <c r="F18" s="261">
        <v>3</v>
      </c>
      <c r="G18" s="261"/>
      <c r="H18" s="261"/>
      <c r="I18" s="261">
        <v>7</v>
      </c>
      <c r="V18" s="124" t="s">
        <v>48</v>
      </c>
      <c r="W18" s="128">
        <v>46</v>
      </c>
      <c r="Z18" s="124" t="s">
        <v>48</v>
      </c>
      <c r="AA18" s="119">
        <v>722000</v>
      </c>
    </row>
    <row r="19" spans="1:48">
      <c r="A19" s="124" t="s">
        <v>76</v>
      </c>
      <c r="B19" s="261">
        <v>11</v>
      </c>
      <c r="C19" s="261">
        <v>4</v>
      </c>
      <c r="D19" s="261">
        <v>8</v>
      </c>
      <c r="E19" s="261">
        <v>8</v>
      </c>
      <c r="F19" s="261">
        <v>16</v>
      </c>
      <c r="G19" s="261">
        <v>6</v>
      </c>
      <c r="H19" s="261">
        <v>2</v>
      </c>
      <c r="I19" s="261">
        <v>7</v>
      </c>
      <c r="V19" s="124" t="s">
        <v>76</v>
      </c>
      <c r="W19" s="128">
        <v>62</v>
      </c>
      <c r="Z19" s="124" t="s">
        <v>76</v>
      </c>
      <c r="AA19" s="119">
        <v>860000</v>
      </c>
      <c r="AE19" s="123" t="s">
        <v>144</v>
      </c>
      <c r="AF19" s="262" t="s">
        <v>106</v>
      </c>
      <c r="AG19" s="262" t="s">
        <v>104</v>
      </c>
      <c r="AH19" s="262" t="s">
        <v>105</v>
      </c>
      <c r="AI19" s="262" t="s">
        <v>228</v>
      </c>
      <c r="AJ19" s="262" t="s">
        <v>101</v>
      </c>
      <c r="AK19" s="262" t="s">
        <v>14</v>
      </c>
      <c r="AL19" s="262" t="s">
        <v>103</v>
      </c>
      <c r="AM19" s="262" t="s">
        <v>100</v>
      </c>
      <c r="AN19" s="262" t="s">
        <v>229</v>
      </c>
      <c r="AO19" s="262" t="s">
        <v>226</v>
      </c>
      <c r="AP19" s="262" t="s">
        <v>148</v>
      </c>
      <c r="AQ19" s="262" t="s">
        <v>107</v>
      </c>
      <c r="AR19" s="262" t="s">
        <v>227</v>
      </c>
      <c r="AS19" s="262" t="s">
        <v>109</v>
      </c>
    </row>
    <row r="20" spans="1:48">
      <c r="A20" s="124" t="s">
        <v>27</v>
      </c>
      <c r="B20" s="261">
        <v>15</v>
      </c>
      <c r="C20" s="261">
        <v>6</v>
      </c>
      <c r="D20" s="261">
        <v>19</v>
      </c>
      <c r="E20" s="261">
        <v>4</v>
      </c>
      <c r="F20" s="261">
        <v>3</v>
      </c>
      <c r="G20" s="261">
        <v>1</v>
      </c>
      <c r="H20" s="261"/>
      <c r="I20" s="261">
        <v>2</v>
      </c>
      <c r="V20" s="124" t="s">
        <v>27</v>
      </c>
      <c r="W20" s="128">
        <v>51</v>
      </c>
      <c r="Z20" s="124" t="s">
        <v>27</v>
      </c>
      <c r="AA20" s="119">
        <v>718200</v>
      </c>
      <c r="AE20" s="124" t="s">
        <v>69</v>
      </c>
      <c r="AF20" s="261">
        <v>8</v>
      </c>
      <c r="AG20" s="261">
        <v>9</v>
      </c>
      <c r="AH20" s="261">
        <v>1</v>
      </c>
      <c r="AI20" s="261">
        <v>12</v>
      </c>
      <c r="AJ20" s="261">
        <v>12</v>
      </c>
      <c r="AK20" s="261"/>
      <c r="AL20" s="261">
        <v>2</v>
      </c>
      <c r="AM20" s="261">
        <v>1</v>
      </c>
      <c r="AN20" s="261">
        <v>9</v>
      </c>
      <c r="AO20" s="261"/>
      <c r="AP20" s="261"/>
      <c r="AQ20" s="261">
        <v>2</v>
      </c>
      <c r="AR20" s="261">
        <v>2</v>
      </c>
      <c r="AS20" s="261">
        <v>9</v>
      </c>
      <c r="AT20">
        <f>SUM(AF20:AS20)</f>
        <v>67</v>
      </c>
      <c r="AU20">
        <v>51</v>
      </c>
      <c r="AV20">
        <f>AT20-AU20</f>
        <v>16</v>
      </c>
    </row>
    <row r="21" spans="1:48">
      <c r="A21" s="124" t="s">
        <v>73</v>
      </c>
      <c r="B21" s="261">
        <v>13</v>
      </c>
      <c r="C21" s="261">
        <v>8</v>
      </c>
      <c r="D21" s="261">
        <v>9</v>
      </c>
      <c r="E21" s="261">
        <v>10</v>
      </c>
      <c r="F21" s="261">
        <v>13</v>
      </c>
      <c r="G21" s="261">
        <v>7</v>
      </c>
      <c r="H21" s="261">
        <v>1</v>
      </c>
      <c r="I21" s="261">
        <v>7</v>
      </c>
      <c r="V21" s="124" t="s">
        <v>73</v>
      </c>
      <c r="W21" s="128">
        <v>68</v>
      </c>
      <c r="Z21" s="124" t="s">
        <v>73</v>
      </c>
      <c r="AA21" s="119">
        <v>663300</v>
      </c>
      <c r="AE21" s="124" t="s">
        <v>36</v>
      </c>
      <c r="AF21" s="261"/>
      <c r="AG21" s="261">
        <v>1</v>
      </c>
      <c r="AH21" s="261"/>
      <c r="AI21" s="261">
        <v>6</v>
      </c>
      <c r="AJ21" s="261">
        <v>5</v>
      </c>
      <c r="AK21" s="261"/>
      <c r="AL21" s="261"/>
      <c r="AM21" s="261">
        <v>1</v>
      </c>
      <c r="AN21" s="261">
        <v>2</v>
      </c>
      <c r="AO21" s="261"/>
      <c r="AP21" s="261"/>
      <c r="AQ21" s="261">
        <v>1</v>
      </c>
      <c r="AR21" s="261">
        <v>1</v>
      </c>
      <c r="AS21" s="261"/>
      <c r="AT21">
        <f t="shared" ref="AT21:AT46" si="0">SUM(AF21:AS21)</f>
        <v>17</v>
      </c>
      <c r="AU21">
        <v>10</v>
      </c>
      <c r="AV21">
        <f t="shared" ref="AV21:AV46" si="1">AT21-AU21</f>
        <v>7</v>
      </c>
    </row>
    <row r="22" spans="1:48" ht="15" thickBot="1">
      <c r="A22" s="124" t="s">
        <v>30</v>
      </c>
      <c r="B22" s="261">
        <v>16</v>
      </c>
      <c r="C22" s="261">
        <v>3</v>
      </c>
      <c r="D22" s="261">
        <v>10</v>
      </c>
      <c r="E22" s="261">
        <v>3</v>
      </c>
      <c r="F22" s="261">
        <v>5</v>
      </c>
      <c r="G22" s="261"/>
      <c r="H22" s="261"/>
      <c r="I22" s="261">
        <v>3</v>
      </c>
      <c r="V22" s="124" t="s">
        <v>30</v>
      </c>
      <c r="W22" s="128">
        <v>40</v>
      </c>
      <c r="Z22" s="124" t="s">
        <v>30</v>
      </c>
      <c r="AA22" s="119">
        <v>697000</v>
      </c>
      <c r="AE22" s="124" t="s">
        <v>149</v>
      </c>
      <c r="AF22" s="261">
        <v>10</v>
      </c>
      <c r="AG22" s="261">
        <v>10</v>
      </c>
      <c r="AH22" s="261"/>
      <c r="AI22" s="261">
        <v>12</v>
      </c>
      <c r="AJ22" s="261">
        <v>12</v>
      </c>
      <c r="AK22" s="261">
        <v>10</v>
      </c>
      <c r="AL22" s="261">
        <v>4</v>
      </c>
      <c r="AM22" s="261">
        <v>11</v>
      </c>
      <c r="AN22" s="261">
        <v>10</v>
      </c>
      <c r="AO22" s="261"/>
      <c r="AP22" s="261"/>
      <c r="AQ22" s="261"/>
      <c r="AR22" s="261">
        <v>4</v>
      </c>
      <c r="AS22" s="261">
        <v>2</v>
      </c>
      <c r="AT22">
        <f t="shared" si="0"/>
        <v>85</v>
      </c>
      <c r="AU22">
        <v>60</v>
      </c>
      <c r="AV22">
        <f t="shared" si="1"/>
        <v>25</v>
      </c>
    </row>
    <row r="23" spans="1:48">
      <c r="A23" s="124" t="s">
        <v>85</v>
      </c>
      <c r="B23" s="261">
        <v>12</v>
      </c>
      <c r="C23" s="261">
        <v>4</v>
      </c>
      <c r="D23" s="261">
        <v>12</v>
      </c>
      <c r="E23" s="261">
        <v>3</v>
      </c>
      <c r="F23" s="261">
        <v>10</v>
      </c>
      <c r="G23" s="261">
        <v>6</v>
      </c>
      <c r="H23" s="261">
        <v>11</v>
      </c>
      <c r="I23" s="261">
        <v>6</v>
      </c>
      <c r="K23" s="154" t="s">
        <v>150</v>
      </c>
      <c r="L23" s="154" t="s">
        <v>151</v>
      </c>
      <c r="M23" s="154" t="s">
        <v>152</v>
      </c>
      <c r="N23" s="154" t="s">
        <v>153</v>
      </c>
      <c r="O23" s="154" t="s">
        <v>177</v>
      </c>
      <c r="P23" s="154" t="s">
        <v>154</v>
      </c>
      <c r="Q23" s="154" t="s">
        <v>169</v>
      </c>
      <c r="R23" s="154" t="s">
        <v>155</v>
      </c>
      <c r="V23" s="124" t="s">
        <v>85</v>
      </c>
      <c r="W23" s="128">
        <v>64</v>
      </c>
      <c r="Z23" s="124" t="s">
        <v>85</v>
      </c>
      <c r="AA23" s="119">
        <v>379600</v>
      </c>
      <c r="AE23" s="124" t="s">
        <v>90</v>
      </c>
      <c r="AF23" s="261">
        <v>8</v>
      </c>
      <c r="AG23" s="261">
        <v>10</v>
      </c>
      <c r="AH23" s="261"/>
      <c r="AI23" s="261">
        <v>12</v>
      </c>
      <c r="AJ23" s="261">
        <v>12</v>
      </c>
      <c r="AK23" s="261">
        <v>1</v>
      </c>
      <c r="AL23" s="261">
        <v>2</v>
      </c>
      <c r="AM23" s="261"/>
      <c r="AN23" s="261">
        <v>9</v>
      </c>
      <c r="AO23" s="261"/>
      <c r="AP23" s="261"/>
      <c r="AQ23" s="261"/>
      <c r="AR23" s="261"/>
      <c r="AS23" s="261">
        <v>2</v>
      </c>
      <c r="AT23">
        <f t="shared" si="0"/>
        <v>56</v>
      </c>
      <c r="AU23">
        <v>40</v>
      </c>
      <c r="AV23">
        <f t="shared" si="1"/>
        <v>16</v>
      </c>
    </row>
    <row r="24" spans="1:48">
      <c r="A24" s="124" t="s">
        <v>45</v>
      </c>
      <c r="B24" s="261">
        <v>16</v>
      </c>
      <c r="C24" s="261">
        <v>8</v>
      </c>
      <c r="D24" s="261">
        <v>11</v>
      </c>
      <c r="E24" s="261">
        <v>1</v>
      </c>
      <c r="F24" s="261">
        <v>3</v>
      </c>
      <c r="G24" s="261">
        <v>4</v>
      </c>
      <c r="H24" s="261">
        <v>1</v>
      </c>
      <c r="I24" s="261">
        <v>5</v>
      </c>
      <c r="K24">
        <f>GETPIVOTDATA("KM_BH",$A$8)</f>
        <v>302</v>
      </c>
      <c r="L24">
        <f>GETPIVOTDATA("KM_DV",$A$8)</f>
        <v>150</v>
      </c>
      <c r="M24">
        <f>GETPIVOTDATA("QC_Online",$A$8)</f>
        <v>240</v>
      </c>
      <c r="N24">
        <f>GETPIVOTDATA("Test-drive",$A$8)</f>
        <v>118</v>
      </c>
      <c r="O24">
        <f>GETPIVOTDATA("Event.",$A$8)</f>
        <v>182</v>
      </c>
      <c r="P24">
        <f>GETPIVOTDATA("QC_Thương hiệu",$A$8)</f>
        <v>154</v>
      </c>
      <c r="Q24">
        <f>GETPIVOTDATA("TTTH_CSR",$A$8)</f>
        <v>75</v>
      </c>
      <c r="R24">
        <f>GETPIVOTDATA("QC_Website",$A$8)</f>
        <v>148</v>
      </c>
      <c r="V24" s="124" t="s">
        <v>45</v>
      </c>
      <c r="W24" s="128">
        <v>49</v>
      </c>
      <c r="Z24" s="124" t="s">
        <v>45</v>
      </c>
      <c r="AA24" s="119">
        <v>1547000</v>
      </c>
      <c r="AE24" s="124" t="s">
        <v>79</v>
      </c>
      <c r="AF24" s="261">
        <v>5</v>
      </c>
      <c r="AG24" s="261">
        <v>7</v>
      </c>
      <c r="AH24" s="261">
        <v>1</v>
      </c>
      <c r="AI24" s="261">
        <v>12</v>
      </c>
      <c r="AJ24" s="261">
        <v>11</v>
      </c>
      <c r="AK24" s="261">
        <v>2</v>
      </c>
      <c r="AL24" s="261">
        <v>3</v>
      </c>
      <c r="AM24" s="261">
        <v>7</v>
      </c>
      <c r="AN24" s="261">
        <v>8</v>
      </c>
      <c r="AO24" s="261"/>
      <c r="AP24" s="261"/>
      <c r="AQ24" s="261"/>
      <c r="AR24" s="261"/>
      <c r="AS24" s="261"/>
      <c r="AT24">
        <f t="shared" si="0"/>
        <v>56</v>
      </c>
      <c r="AU24">
        <v>41</v>
      </c>
      <c r="AV24">
        <f t="shared" si="1"/>
        <v>15</v>
      </c>
    </row>
    <row r="25" spans="1:48">
      <c r="A25" s="124" t="s">
        <v>20</v>
      </c>
      <c r="B25" s="261">
        <v>20</v>
      </c>
      <c r="C25" s="261">
        <v>8</v>
      </c>
      <c r="D25" s="261">
        <v>13</v>
      </c>
      <c r="E25" s="261">
        <v>6</v>
      </c>
      <c r="F25" s="261">
        <v>8</v>
      </c>
      <c r="G25" s="261">
        <v>10</v>
      </c>
      <c r="H25" s="261">
        <v>5</v>
      </c>
      <c r="I25" s="261">
        <v>9</v>
      </c>
      <c r="V25" s="124" t="s">
        <v>20</v>
      </c>
      <c r="W25" s="128">
        <v>79</v>
      </c>
      <c r="Z25" s="124" t="s">
        <v>20</v>
      </c>
      <c r="AA25" s="119">
        <v>3275062</v>
      </c>
      <c r="AE25" s="124" t="s">
        <v>60</v>
      </c>
      <c r="AF25" s="261">
        <v>11</v>
      </c>
      <c r="AG25" s="261">
        <v>10</v>
      </c>
      <c r="AH25" s="261"/>
      <c r="AI25" s="261">
        <v>11</v>
      </c>
      <c r="AJ25" s="261">
        <v>11</v>
      </c>
      <c r="AK25" s="261"/>
      <c r="AL25" s="261">
        <v>5</v>
      </c>
      <c r="AM25" s="261">
        <v>9</v>
      </c>
      <c r="AN25" s="261">
        <v>9</v>
      </c>
      <c r="AO25" s="261"/>
      <c r="AP25" s="261">
        <v>1</v>
      </c>
      <c r="AQ25" s="261">
        <v>9</v>
      </c>
      <c r="AR25" s="261">
        <v>2</v>
      </c>
      <c r="AS25" s="261">
        <v>2</v>
      </c>
      <c r="AT25">
        <f t="shared" si="0"/>
        <v>80</v>
      </c>
      <c r="AU25">
        <v>56</v>
      </c>
      <c r="AV25">
        <f t="shared" si="1"/>
        <v>24</v>
      </c>
    </row>
    <row r="26" spans="1:48">
      <c r="A26" s="124" t="s">
        <v>54</v>
      </c>
      <c r="B26" s="261">
        <v>17</v>
      </c>
      <c r="C26" s="261">
        <v>8</v>
      </c>
      <c r="D26" s="261">
        <v>9</v>
      </c>
      <c r="E26" s="261">
        <v>2</v>
      </c>
      <c r="F26" s="261">
        <v>9</v>
      </c>
      <c r="G26" s="261">
        <v>9</v>
      </c>
      <c r="H26" s="261">
        <v>3</v>
      </c>
      <c r="I26" s="261">
        <v>7</v>
      </c>
      <c r="V26" s="124" t="s">
        <v>54</v>
      </c>
      <c r="W26" s="128">
        <v>64</v>
      </c>
      <c r="Z26" s="124" t="s">
        <v>54</v>
      </c>
      <c r="AA26" s="119">
        <v>1197000</v>
      </c>
      <c r="AE26" s="124" t="s">
        <v>57</v>
      </c>
      <c r="AF26" s="261"/>
      <c r="AG26" s="261">
        <v>8</v>
      </c>
      <c r="AH26" s="261"/>
      <c r="AI26" s="261">
        <v>11</v>
      </c>
      <c r="AJ26" s="261">
        <v>12</v>
      </c>
      <c r="AK26" s="261"/>
      <c r="AL26" s="261">
        <v>4</v>
      </c>
      <c r="AM26" s="261">
        <v>4</v>
      </c>
      <c r="AN26" s="261">
        <v>9</v>
      </c>
      <c r="AO26" s="261">
        <v>1</v>
      </c>
      <c r="AP26" s="261"/>
      <c r="AQ26" s="261">
        <v>5</v>
      </c>
      <c r="AR26" s="261">
        <v>2</v>
      </c>
      <c r="AS26" s="261">
        <v>1</v>
      </c>
      <c r="AT26">
        <f t="shared" si="0"/>
        <v>57</v>
      </c>
      <c r="AU26">
        <v>44</v>
      </c>
      <c r="AV26">
        <f t="shared" si="1"/>
        <v>13</v>
      </c>
    </row>
    <row r="27" spans="1:48">
      <c r="A27" s="124" t="s">
        <v>86</v>
      </c>
      <c r="B27" s="261">
        <v>13</v>
      </c>
      <c r="C27" s="261">
        <v>14</v>
      </c>
      <c r="D27" s="261">
        <v>13</v>
      </c>
      <c r="E27" s="261">
        <v>13</v>
      </c>
      <c r="F27" s="261">
        <v>7</v>
      </c>
      <c r="G27" s="261">
        <v>12</v>
      </c>
      <c r="H27" s="261">
        <v>6</v>
      </c>
      <c r="I27" s="261">
        <v>6</v>
      </c>
      <c r="V27" s="124" t="s">
        <v>86</v>
      </c>
      <c r="W27" s="128">
        <v>84</v>
      </c>
      <c r="Z27" s="124" t="s">
        <v>86</v>
      </c>
      <c r="AA27" s="119">
        <v>630790</v>
      </c>
      <c r="AE27" s="124" t="s">
        <v>66</v>
      </c>
      <c r="AF27" s="261">
        <v>11</v>
      </c>
      <c r="AG27" s="261">
        <v>10</v>
      </c>
      <c r="AH27" s="261"/>
      <c r="AI27" s="261">
        <v>12</v>
      </c>
      <c r="AJ27" s="261">
        <v>12</v>
      </c>
      <c r="AK27" s="261">
        <v>2</v>
      </c>
      <c r="AL27" s="261">
        <v>1</v>
      </c>
      <c r="AM27" s="261">
        <v>12</v>
      </c>
      <c r="AN27" s="261">
        <v>2</v>
      </c>
      <c r="AO27" s="261"/>
      <c r="AP27" s="261"/>
      <c r="AQ27" s="261"/>
      <c r="AR27" s="261"/>
      <c r="AS27" s="261"/>
      <c r="AT27">
        <f t="shared" si="0"/>
        <v>62</v>
      </c>
      <c r="AU27">
        <v>46</v>
      </c>
      <c r="AV27">
        <f t="shared" si="1"/>
        <v>16</v>
      </c>
    </row>
    <row r="28" spans="1:48">
      <c r="A28" s="124" t="s">
        <v>50</v>
      </c>
      <c r="B28" s="261">
        <v>13</v>
      </c>
      <c r="C28" s="261">
        <v>10</v>
      </c>
      <c r="D28" s="261">
        <v>5</v>
      </c>
      <c r="E28" s="261">
        <v>4</v>
      </c>
      <c r="F28" s="261">
        <v>9</v>
      </c>
      <c r="G28" s="261">
        <v>13</v>
      </c>
      <c r="H28" s="261">
        <v>1</v>
      </c>
      <c r="I28" s="261">
        <v>7</v>
      </c>
      <c r="V28" s="124" t="s">
        <v>50</v>
      </c>
      <c r="W28" s="128">
        <v>62</v>
      </c>
      <c r="Z28" s="124" t="s">
        <v>50</v>
      </c>
      <c r="AA28" s="119">
        <v>889200</v>
      </c>
      <c r="AE28" s="124" t="s">
        <v>82</v>
      </c>
      <c r="AF28" s="261">
        <v>7</v>
      </c>
      <c r="AG28" s="261">
        <v>12</v>
      </c>
      <c r="AH28" s="261">
        <v>3</v>
      </c>
      <c r="AI28" s="261">
        <v>12</v>
      </c>
      <c r="AJ28" s="261">
        <v>11</v>
      </c>
      <c r="AK28" s="261">
        <v>3</v>
      </c>
      <c r="AL28" s="261">
        <v>5</v>
      </c>
      <c r="AM28" s="261">
        <v>6</v>
      </c>
      <c r="AN28" s="261">
        <v>12</v>
      </c>
      <c r="AO28" s="261"/>
      <c r="AP28" s="261"/>
      <c r="AQ28" s="261"/>
      <c r="AR28" s="261">
        <v>1</v>
      </c>
      <c r="AS28" s="261">
        <v>2</v>
      </c>
      <c r="AT28">
        <f t="shared" si="0"/>
        <v>74</v>
      </c>
      <c r="AU28">
        <v>56</v>
      </c>
      <c r="AV28">
        <f t="shared" si="1"/>
        <v>18</v>
      </c>
    </row>
    <row r="29" spans="1:48">
      <c r="A29" s="124" t="s">
        <v>88</v>
      </c>
      <c r="B29" s="261">
        <v>8</v>
      </c>
      <c r="C29" s="261">
        <v>3</v>
      </c>
      <c r="D29" s="261">
        <v>20</v>
      </c>
      <c r="E29" s="261">
        <v>2</v>
      </c>
      <c r="F29" s="261">
        <v>7</v>
      </c>
      <c r="G29" s="261">
        <v>9</v>
      </c>
      <c r="H29" s="261">
        <v>5</v>
      </c>
      <c r="I29" s="261">
        <v>6</v>
      </c>
      <c r="V29" s="124" t="s">
        <v>88</v>
      </c>
      <c r="W29" s="128">
        <v>60</v>
      </c>
      <c r="Z29" s="124" t="s">
        <v>88</v>
      </c>
      <c r="AA29" s="119">
        <v>716000</v>
      </c>
      <c r="AE29" s="124" t="s">
        <v>48</v>
      </c>
      <c r="AF29" s="261">
        <v>1</v>
      </c>
      <c r="AG29" s="261">
        <v>7</v>
      </c>
      <c r="AH29" s="261">
        <v>1</v>
      </c>
      <c r="AI29" s="261">
        <v>12</v>
      </c>
      <c r="AJ29" s="261">
        <v>11</v>
      </c>
      <c r="AK29" s="261">
        <v>3</v>
      </c>
      <c r="AL29" s="261">
        <v>2</v>
      </c>
      <c r="AM29" s="261">
        <v>11</v>
      </c>
      <c r="AN29" s="261">
        <v>6</v>
      </c>
      <c r="AO29" s="261"/>
      <c r="AP29" s="261"/>
      <c r="AQ29" s="261">
        <v>2</v>
      </c>
      <c r="AR29" s="261"/>
      <c r="AS29" s="261"/>
      <c r="AT29">
        <f t="shared" si="0"/>
        <v>56</v>
      </c>
      <c r="AU29">
        <v>45</v>
      </c>
      <c r="AV29">
        <f t="shared" si="1"/>
        <v>11</v>
      </c>
    </row>
    <row r="30" spans="1:48">
      <c r="A30" s="124" t="s">
        <v>33</v>
      </c>
      <c r="B30" s="261">
        <v>6</v>
      </c>
      <c r="C30" s="261">
        <v>5</v>
      </c>
      <c r="D30" s="261">
        <v>9</v>
      </c>
      <c r="E30" s="261">
        <v>5</v>
      </c>
      <c r="F30" s="261">
        <v>5</v>
      </c>
      <c r="G30" s="261">
        <v>6</v>
      </c>
      <c r="H30" s="261">
        <v>2</v>
      </c>
      <c r="I30" s="261">
        <v>3</v>
      </c>
      <c r="V30" s="124" t="s">
        <v>33</v>
      </c>
      <c r="W30" s="128">
        <v>41</v>
      </c>
      <c r="Z30" s="124" t="s">
        <v>33</v>
      </c>
      <c r="AA30" s="119">
        <v>779000</v>
      </c>
      <c r="AE30" s="124" t="s">
        <v>76</v>
      </c>
      <c r="AF30" s="261">
        <v>5</v>
      </c>
      <c r="AG30" s="261">
        <v>2</v>
      </c>
      <c r="AH30" s="261"/>
      <c r="AI30" s="261">
        <v>12</v>
      </c>
      <c r="AJ30" s="261">
        <v>12</v>
      </c>
      <c r="AK30" s="261">
        <v>2</v>
      </c>
      <c r="AL30" s="261">
        <v>1</v>
      </c>
      <c r="AM30" s="261">
        <v>1</v>
      </c>
      <c r="AN30" s="261">
        <v>10</v>
      </c>
      <c r="AO30" s="261"/>
      <c r="AP30" s="261"/>
      <c r="AQ30" s="261">
        <v>1</v>
      </c>
      <c r="AR30" s="261">
        <v>1</v>
      </c>
      <c r="AS30" s="261"/>
      <c r="AT30">
        <f t="shared" si="0"/>
        <v>47</v>
      </c>
      <c r="AU30">
        <v>34</v>
      </c>
      <c r="AV30">
        <f t="shared" si="1"/>
        <v>13</v>
      </c>
    </row>
    <row r="31" spans="1:48">
      <c r="A31" s="124" t="s">
        <v>24</v>
      </c>
      <c r="B31" s="261">
        <v>17</v>
      </c>
      <c r="C31" s="261">
        <v>4</v>
      </c>
      <c r="D31" s="261">
        <v>9</v>
      </c>
      <c r="E31" s="261">
        <v>2</v>
      </c>
      <c r="F31" s="261">
        <v>3</v>
      </c>
      <c r="G31" s="261"/>
      <c r="H31" s="261">
        <v>1</v>
      </c>
      <c r="I31" s="261">
        <v>4</v>
      </c>
      <c r="V31" s="124" t="s">
        <v>24</v>
      </c>
      <c r="W31" s="128">
        <v>40</v>
      </c>
      <c r="Z31" s="124" t="s">
        <v>24</v>
      </c>
      <c r="AA31" s="119">
        <v>549779</v>
      </c>
      <c r="AE31" s="124" t="s">
        <v>27</v>
      </c>
      <c r="AF31" s="261">
        <v>6</v>
      </c>
      <c r="AG31" s="261">
        <v>9</v>
      </c>
      <c r="AH31" s="261"/>
      <c r="AI31" s="261">
        <v>12</v>
      </c>
      <c r="AJ31" s="261">
        <v>11</v>
      </c>
      <c r="AK31" s="261">
        <v>1</v>
      </c>
      <c r="AL31" s="261">
        <v>3</v>
      </c>
      <c r="AM31" s="261">
        <v>2</v>
      </c>
      <c r="AN31" s="261">
        <v>7</v>
      </c>
      <c r="AO31" s="261"/>
      <c r="AP31" s="261"/>
      <c r="AQ31" s="261">
        <v>1</v>
      </c>
      <c r="AR31" s="261"/>
      <c r="AS31" s="261"/>
      <c r="AT31">
        <f t="shared" si="0"/>
        <v>52</v>
      </c>
      <c r="AU31">
        <v>37</v>
      </c>
      <c r="AV31">
        <f t="shared" si="1"/>
        <v>15</v>
      </c>
    </row>
    <row r="32" spans="1:48">
      <c r="A32" s="124" t="s">
        <v>92</v>
      </c>
      <c r="B32" s="261">
        <v>15</v>
      </c>
      <c r="C32" s="261">
        <v>10</v>
      </c>
      <c r="D32" s="261">
        <v>11</v>
      </c>
      <c r="E32" s="261">
        <v>7</v>
      </c>
      <c r="F32" s="261">
        <v>11</v>
      </c>
      <c r="G32" s="261">
        <v>5</v>
      </c>
      <c r="H32" s="261"/>
      <c r="I32" s="261">
        <v>7</v>
      </c>
      <c r="V32" s="124" t="s">
        <v>92</v>
      </c>
      <c r="W32" s="128">
        <v>66</v>
      </c>
      <c r="Z32" s="124" t="s">
        <v>92</v>
      </c>
      <c r="AA32" s="119">
        <v>678900</v>
      </c>
      <c r="AE32" s="124" t="s">
        <v>73</v>
      </c>
      <c r="AF32" s="261">
        <v>5</v>
      </c>
      <c r="AG32" s="261">
        <v>8</v>
      </c>
      <c r="AH32" s="261"/>
      <c r="AI32" s="261">
        <v>12</v>
      </c>
      <c r="AJ32" s="261">
        <v>12</v>
      </c>
      <c r="AK32" s="261">
        <v>5</v>
      </c>
      <c r="AL32" s="261">
        <v>9</v>
      </c>
      <c r="AM32" s="261">
        <v>9</v>
      </c>
      <c r="AN32" s="261">
        <v>11</v>
      </c>
      <c r="AO32" s="261"/>
      <c r="AP32" s="261"/>
      <c r="AQ32" s="261"/>
      <c r="AR32" s="261">
        <v>1</v>
      </c>
      <c r="AS32" s="261">
        <v>1</v>
      </c>
      <c r="AT32">
        <f t="shared" si="0"/>
        <v>73</v>
      </c>
      <c r="AU32">
        <v>50</v>
      </c>
      <c r="AV32">
        <f t="shared" si="1"/>
        <v>23</v>
      </c>
    </row>
    <row r="33" spans="1:48">
      <c r="A33" s="124" t="s">
        <v>244</v>
      </c>
      <c r="B33" s="261"/>
      <c r="C33" s="261"/>
      <c r="D33" s="261"/>
      <c r="E33" s="261"/>
      <c r="F33" s="261"/>
      <c r="G33" s="261"/>
      <c r="H33" s="261"/>
      <c r="I33" s="261"/>
      <c r="V33" s="124" t="s">
        <v>244</v>
      </c>
      <c r="Z33" s="124" t="s">
        <v>244</v>
      </c>
      <c r="AA33" s="119"/>
      <c r="AE33" s="124" t="s">
        <v>30</v>
      </c>
      <c r="AF33" s="261">
        <v>1</v>
      </c>
      <c r="AG33" s="261">
        <v>7</v>
      </c>
      <c r="AH33" s="261"/>
      <c r="AI33" s="261">
        <v>10</v>
      </c>
      <c r="AJ33" s="261">
        <v>10</v>
      </c>
      <c r="AK33" s="261">
        <v>1</v>
      </c>
      <c r="AL33" s="261">
        <v>3</v>
      </c>
      <c r="AM33" s="261">
        <v>10</v>
      </c>
      <c r="AN33" s="261">
        <v>7</v>
      </c>
      <c r="AO33" s="261"/>
      <c r="AP33" s="261"/>
      <c r="AQ33" s="261"/>
      <c r="AR33" s="261"/>
      <c r="AS33" s="261"/>
      <c r="AT33">
        <f t="shared" si="0"/>
        <v>49</v>
      </c>
      <c r="AU33">
        <v>33</v>
      </c>
      <c r="AV33">
        <f t="shared" si="1"/>
        <v>16</v>
      </c>
    </row>
    <row r="34" spans="1:48">
      <c r="A34" s="124" t="s">
        <v>143</v>
      </c>
      <c r="B34" s="261">
        <v>302</v>
      </c>
      <c r="C34" s="261">
        <v>150</v>
      </c>
      <c r="D34" s="261">
        <v>240</v>
      </c>
      <c r="E34" s="261">
        <v>118</v>
      </c>
      <c r="F34" s="261">
        <v>182</v>
      </c>
      <c r="G34" s="261">
        <v>154</v>
      </c>
      <c r="H34" s="261">
        <v>75</v>
      </c>
      <c r="I34" s="261">
        <v>148</v>
      </c>
      <c r="V34" s="124" t="s">
        <v>143</v>
      </c>
      <c r="W34" s="128">
        <v>1370</v>
      </c>
      <c r="Z34" s="124" t="s">
        <v>143</v>
      </c>
      <c r="AA34" s="119">
        <v>21176531</v>
      </c>
      <c r="AE34" s="124" t="s">
        <v>85</v>
      </c>
      <c r="AF34" s="261"/>
      <c r="AG34" s="261">
        <v>4</v>
      </c>
      <c r="AH34" s="261"/>
      <c r="AI34" s="261">
        <v>12</v>
      </c>
      <c r="AJ34" s="261">
        <v>12</v>
      </c>
      <c r="AK34" s="261"/>
      <c r="AL34" s="261"/>
      <c r="AM34" s="261">
        <v>4</v>
      </c>
      <c r="AN34" s="261">
        <v>5</v>
      </c>
      <c r="AO34" s="261"/>
      <c r="AP34" s="261"/>
      <c r="AQ34" s="261"/>
      <c r="AR34" s="261"/>
      <c r="AS34" s="261">
        <v>1</v>
      </c>
      <c r="AT34">
        <f t="shared" si="0"/>
        <v>38</v>
      </c>
      <c r="AU34">
        <v>27</v>
      </c>
      <c r="AV34">
        <f t="shared" si="1"/>
        <v>11</v>
      </c>
    </row>
    <row r="35" spans="1:48">
      <c r="W35"/>
      <c r="AA35"/>
      <c r="AE35" s="124" t="s">
        <v>45</v>
      </c>
      <c r="AF35" s="261">
        <v>1</v>
      </c>
      <c r="AG35" s="261">
        <v>8</v>
      </c>
      <c r="AH35" s="261">
        <v>1</v>
      </c>
      <c r="AI35" s="261">
        <v>11</v>
      </c>
      <c r="AJ35" s="261">
        <v>11</v>
      </c>
      <c r="AK35" s="261">
        <v>5</v>
      </c>
      <c r="AL35" s="261">
        <v>3</v>
      </c>
      <c r="AM35" s="261">
        <v>6</v>
      </c>
      <c r="AN35" s="261">
        <v>6</v>
      </c>
      <c r="AO35" s="261"/>
      <c r="AP35" s="261"/>
      <c r="AQ35" s="261"/>
      <c r="AR35" s="261">
        <v>1</v>
      </c>
      <c r="AS35" s="261">
        <v>1</v>
      </c>
      <c r="AT35">
        <f t="shared" si="0"/>
        <v>54</v>
      </c>
      <c r="AU35">
        <v>39</v>
      </c>
      <c r="AV35">
        <f t="shared" si="1"/>
        <v>15</v>
      </c>
    </row>
    <row r="36" spans="1:48">
      <c r="W36"/>
      <c r="AA36"/>
      <c r="AE36" s="124" t="s">
        <v>20</v>
      </c>
      <c r="AF36" s="261">
        <v>2</v>
      </c>
      <c r="AG36" s="261">
        <v>11</v>
      </c>
      <c r="AH36" s="261">
        <v>1</v>
      </c>
      <c r="AI36" s="261">
        <v>15</v>
      </c>
      <c r="AJ36" s="261">
        <v>15</v>
      </c>
      <c r="AK36" s="261">
        <v>6</v>
      </c>
      <c r="AL36" s="261">
        <v>5</v>
      </c>
      <c r="AM36" s="261">
        <v>12</v>
      </c>
      <c r="AN36" s="261">
        <v>13</v>
      </c>
      <c r="AO36" s="261">
        <v>1</v>
      </c>
      <c r="AP36" s="261"/>
      <c r="AQ36" s="261">
        <v>10</v>
      </c>
      <c r="AR36" s="261">
        <v>8</v>
      </c>
      <c r="AS36" s="261">
        <v>4</v>
      </c>
      <c r="AT36">
        <f t="shared" si="0"/>
        <v>103</v>
      </c>
      <c r="AU36">
        <v>65</v>
      </c>
      <c r="AV36">
        <f t="shared" si="1"/>
        <v>38</v>
      </c>
    </row>
    <row r="37" spans="1:48">
      <c r="Q37" s="171"/>
      <c r="R37" s="171"/>
      <c r="AE37" s="124" t="s">
        <v>54</v>
      </c>
      <c r="AF37" s="261">
        <v>10</v>
      </c>
      <c r="AG37" s="261">
        <v>9</v>
      </c>
      <c r="AH37" s="261"/>
      <c r="AI37" s="261">
        <v>12</v>
      </c>
      <c r="AJ37" s="261">
        <v>5</v>
      </c>
      <c r="AK37" s="261"/>
      <c r="AL37" s="261">
        <v>12</v>
      </c>
      <c r="AM37" s="261">
        <v>11</v>
      </c>
      <c r="AN37" s="261">
        <v>11</v>
      </c>
      <c r="AO37" s="261"/>
      <c r="AP37" s="261"/>
      <c r="AQ37" s="261">
        <v>2</v>
      </c>
      <c r="AR37" s="261">
        <v>1</v>
      </c>
      <c r="AS37" s="261">
        <v>2</v>
      </c>
      <c r="AT37">
        <f t="shared" si="0"/>
        <v>75</v>
      </c>
      <c r="AU37">
        <v>55</v>
      </c>
      <c r="AV37">
        <f t="shared" si="1"/>
        <v>20</v>
      </c>
    </row>
    <row r="38" spans="1:48">
      <c r="C38" s="123" t="s">
        <v>144</v>
      </c>
      <c r="D38" t="s">
        <v>176</v>
      </c>
      <c r="I38" s="123" t="s">
        <v>144</v>
      </c>
      <c r="J38" t="s">
        <v>172</v>
      </c>
      <c r="Q38" s="172" t="s">
        <v>144</v>
      </c>
      <c r="R38" s="171" t="s">
        <v>230</v>
      </c>
      <c r="AA38" s="156" t="s">
        <v>144</v>
      </c>
      <c r="AB38" s="128" t="s">
        <v>220</v>
      </c>
      <c r="AE38" s="124" t="s">
        <v>86</v>
      </c>
      <c r="AF38" s="261">
        <v>5</v>
      </c>
      <c r="AG38" s="261">
        <v>8</v>
      </c>
      <c r="AH38" s="261"/>
      <c r="AI38" s="261">
        <v>12</v>
      </c>
      <c r="AJ38" s="261">
        <v>12</v>
      </c>
      <c r="AK38" s="261">
        <v>6</v>
      </c>
      <c r="AL38" s="261">
        <v>5</v>
      </c>
      <c r="AM38" s="261">
        <v>8</v>
      </c>
      <c r="AN38" s="261">
        <v>7</v>
      </c>
      <c r="AO38" s="261"/>
      <c r="AP38" s="261"/>
      <c r="AQ38" s="261">
        <v>1</v>
      </c>
      <c r="AR38" s="261">
        <v>4</v>
      </c>
      <c r="AS38" s="261">
        <v>1</v>
      </c>
      <c r="AT38">
        <f t="shared" si="0"/>
        <v>69</v>
      </c>
      <c r="AU38">
        <v>7</v>
      </c>
      <c r="AV38">
        <f t="shared" si="1"/>
        <v>62</v>
      </c>
    </row>
    <row r="39" spans="1:48">
      <c r="C39" s="124" t="s">
        <v>69</v>
      </c>
      <c r="D39" s="119">
        <v>1893</v>
      </c>
      <c r="I39" s="124" t="s">
        <v>69</v>
      </c>
      <c r="J39" s="119">
        <v>100</v>
      </c>
      <c r="Q39" s="173" t="s">
        <v>69</v>
      </c>
      <c r="R39" s="174">
        <v>5.2826201796090863E-2</v>
      </c>
      <c r="AA39" s="157" t="s">
        <v>69</v>
      </c>
      <c r="AB39" s="128">
        <v>67</v>
      </c>
      <c r="AE39" s="124" t="s">
        <v>50</v>
      </c>
      <c r="AF39" s="261">
        <v>9</v>
      </c>
      <c r="AG39" s="261">
        <v>10</v>
      </c>
      <c r="AH39" s="261"/>
      <c r="AI39" s="261">
        <v>12</v>
      </c>
      <c r="AJ39" s="261">
        <v>12</v>
      </c>
      <c r="AK39" s="261"/>
      <c r="AL39" s="261">
        <v>5</v>
      </c>
      <c r="AM39" s="261">
        <v>6</v>
      </c>
      <c r="AN39" s="261">
        <v>9</v>
      </c>
      <c r="AO39" s="261"/>
      <c r="AP39" s="261"/>
      <c r="AQ39" s="261">
        <v>2</v>
      </c>
      <c r="AR39" s="261">
        <v>1</v>
      </c>
      <c r="AS39" s="261">
        <v>3</v>
      </c>
      <c r="AT39">
        <f t="shared" si="0"/>
        <v>69</v>
      </c>
      <c r="AU39">
        <v>2</v>
      </c>
      <c r="AV39">
        <f t="shared" si="1"/>
        <v>67</v>
      </c>
    </row>
    <row r="40" spans="1:48">
      <c r="C40" s="124" t="s">
        <v>36</v>
      </c>
      <c r="D40" s="119">
        <v>488</v>
      </c>
      <c r="I40" s="124" t="s">
        <v>36</v>
      </c>
      <c r="J40" s="119">
        <v>11</v>
      </c>
      <c r="Q40" s="173" t="s">
        <v>36</v>
      </c>
      <c r="R40" s="174">
        <v>2.2540983606557378E-2</v>
      </c>
      <c r="AA40" s="157" t="s">
        <v>36</v>
      </c>
      <c r="AB40" s="128">
        <v>17</v>
      </c>
      <c r="AE40" s="124" t="s">
        <v>88</v>
      </c>
      <c r="AF40" s="261">
        <v>7</v>
      </c>
      <c r="AG40" s="261">
        <v>7</v>
      </c>
      <c r="AH40" s="261"/>
      <c r="AI40" s="261">
        <v>12</v>
      </c>
      <c r="AJ40" s="261">
        <v>12</v>
      </c>
      <c r="AK40" s="261">
        <v>5</v>
      </c>
      <c r="AL40" s="261">
        <v>11</v>
      </c>
      <c r="AM40" s="261">
        <v>11</v>
      </c>
      <c r="AN40" s="261">
        <v>7</v>
      </c>
      <c r="AO40" s="261"/>
      <c r="AP40" s="261"/>
      <c r="AQ40" s="261">
        <v>3</v>
      </c>
      <c r="AR40" s="261">
        <v>3</v>
      </c>
      <c r="AS40" s="261"/>
      <c r="AT40">
        <f t="shared" si="0"/>
        <v>78</v>
      </c>
      <c r="AU40">
        <v>50</v>
      </c>
      <c r="AV40">
        <f t="shared" si="1"/>
        <v>28</v>
      </c>
    </row>
    <row r="41" spans="1:48">
      <c r="C41" s="124" t="s">
        <v>149</v>
      </c>
      <c r="D41" s="119">
        <v>2281</v>
      </c>
      <c r="I41" s="124" t="s">
        <v>149</v>
      </c>
      <c r="J41" s="119">
        <v>264</v>
      </c>
      <c r="Q41" s="173" t="s">
        <v>149</v>
      </c>
      <c r="R41" s="174">
        <v>0.11573871109162648</v>
      </c>
      <c r="AA41" s="157" t="s">
        <v>149</v>
      </c>
      <c r="AB41" s="128">
        <v>83</v>
      </c>
      <c r="AE41" s="124" t="s">
        <v>33</v>
      </c>
      <c r="AF41" s="261">
        <v>3</v>
      </c>
      <c r="AG41" s="261">
        <v>2</v>
      </c>
      <c r="AH41" s="261"/>
      <c r="AI41" s="261">
        <v>11</v>
      </c>
      <c r="AJ41" s="261">
        <v>10</v>
      </c>
      <c r="AK41" s="261">
        <v>2</v>
      </c>
      <c r="AL41" s="261">
        <v>1</v>
      </c>
      <c r="AM41" s="261">
        <v>1</v>
      </c>
      <c r="AN41" s="261">
        <v>4</v>
      </c>
      <c r="AO41" s="261"/>
      <c r="AP41" s="261">
        <v>1</v>
      </c>
      <c r="AQ41" s="261">
        <v>3</v>
      </c>
      <c r="AR41" s="261"/>
      <c r="AS41" s="261"/>
      <c r="AT41">
        <f t="shared" si="0"/>
        <v>38</v>
      </c>
      <c r="AU41">
        <v>52</v>
      </c>
      <c r="AV41">
        <f t="shared" si="1"/>
        <v>-14</v>
      </c>
    </row>
    <row r="42" spans="1:48">
      <c r="C42" s="124" t="s">
        <v>90</v>
      </c>
      <c r="D42" s="119">
        <v>1625</v>
      </c>
      <c r="I42" s="124" t="s">
        <v>90</v>
      </c>
      <c r="J42" s="119">
        <v>72</v>
      </c>
      <c r="Q42" s="173" t="s">
        <v>90</v>
      </c>
      <c r="R42" s="174">
        <v>4.4307692307692305E-2</v>
      </c>
      <c r="AA42" s="157" t="s">
        <v>90</v>
      </c>
      <c r="AB42" s="128">
        <v>56</v>
      </c>
      <c r="AE42" s="124" t="s">
        <v>24</v>
      </c>
      <c r="AF42" s="261">
        <v>1</v>
      </c>
      <c r="AG42" s="261">
        <v>11</v>
      </c>
      <c r="AH42" s="261">
        <v>1</v>
      </c>
      <c r="AI42" s="261">
        <v>11</v>
      </c>
      <c r="AJ42" s="261">
        <v>3</v>
      </c>
      <c r="AK42" s="261">
        <v>1</v>
      </c>
      <c r="AL42" s="261">
        <v>5</v>
      </c>
      <c r="AM42" s="261">
        <v>4</v>
      </c>
      <c r="AN42" s="261">
        <v>5</v>
      </c>
      <c r="AO42" s="261"/>
      <c r="AP42" s="261"/>
      <c r="AQ42" s="261">
        <v>9</v>
      </c>
      <c r="AR42" s="261">
        <v>3</v>
      </c>
      <c r="AS42" s="261">
        <v>4</v>
      </c>
      <c r="AT42">
        <f t="shared" si="0"/>
        <v>58</v>
      </c>
      <c r="AU42">
        <v>51</v>
      </c>
      <c r="AV42">
        <f t="shared" si="1"/>
        <v>7</v>
      </c>
    </row>
    <row r="43" spans="1:48">
      <c r="C43" s="124" t="s">
        <v>79</v>
      </c>
      <c r="D43" s="119">
        <v>1221</v>
      </c>
      <c r="I43" s="124" t="s">
        <v>79</v>
      </c>
      <c r="J43" s="119">
        <v>71</v>
      </c>
      <c r="Q43" s="173" t="s">
        <v>79</v>
      </c>
      <c r="R43" s="174">
        <v>5.8149058149058151E-2</v>
      </c>
      <c r="AA43" s="157" t="s">
        <v>79</v>
      </c>
      <c r="AB43" s="128">
        <v>56</v>
      </c>
      <c r="AE43" s="124" t="s">
        <v>92</v>
      </c>
      <c r="AF43" s="261">
        <v>3</v>
      </c>
      <c r="AG43" s="261">
        <v>8</v>
      </c>
      <c r="AH43" s="261"/>
      <c r="AI43" s="261">
        <v>12</v>
      </c>
      <c r="AJ43" s="261">
        <v>12</v>
      </c>
      <c r="AK43" s="261">
        <v>6</v>
      </c>
      <c r="AL43" s="261">
        <v>12</v>
      </c>
      <c r="AM43" s="261">
        <v>3</v>
      </c>
      <c r="AN43" s="261">
        <v>9</v>
      </c>
      <c r="AO43" s="261"/>
      <c r="AP43" s="261"/>
      <c r="AQ43" s="261"/>
      <c r="AR43" s="261"/>
      <c r="AS43" s="261">
        <v>1</v>
      </c>
      <c r="AT43">
        <f t="shared" si="0"/>
        <v>66</v>
      </c>
      <c r="AU43">
        <v>17</v>
      </c>
      <c r="AV43">
        <f t="shared" si="1"/>
        <v>49</v>
      </c>
    </row>
    <row r="44" spans="1:48">
      <c r="C44" s="124" t="s">
        <v>60</v>
      </c>
      <c r="D44" s="119">
        <v>2005</v>
      </c>
      <c r="I44" s="124" t="s">
        <v>60</v>
      </c>
      <c r="J44" s="119">
        <v>179</v>
      </c>
      <c r="Q44" s="173" t="s">
        <v>60</v>
      </c>
      <c r="R44" s="174">
        <v>8.9276807980049874E-2</v>
      </c>
      <c r="AA44" s="157" t="s">
        <v>60</v>
      </c>
      <c r="AB44" s="128">
        <v>78</v>
      </c>
      <c r="AE44" s="124" t="s">
        <v>244</v>
      </c>
      <c r="AF44" s="261"/>
      <c r="AG44" s="261"/>
      <c r="AH44" s="261"/>
      <c r="AI44" s="261"/>
      <c r="AJ44" s="261"/>
      <c r="AK44" s="261"/>
      <c r="AL44" s="261"/>
      <c r="AM44" s="261"/>
      <c r="AN44" s="261"/>
      <c r="AO44" s="261"/>
      <c r="AP44" s="261"/>
      <c r="AQ44" s="261"/>
      <c r="AR44" s="261"/>
      <c r="AS44" s="261"/>
      <c r="AT44">
        <f t="shared" si="0"/>
        <v>0</v>
      </c>
      <c r="AU44">
        <v>37</v>
      </c>
      <c r="AV44">
        <f t="shared" si="1"/>
        <v>-37</v>
      </c>
    </row>
    <row r="45" spans="1:48">
      <c r="C45" s="124" t="s">
        <v>57</v>
      </c>
      <c r="D45" s="119">
        <v>1256</v>
      </c>
      <c r="I45" s="124" t="s">
        <v>57</v>
      </c>
      <c r="J45" s="119">
        <v>91</v>
      </c>
      <c r="Q45" s="173" t="s">
        <v>57</v>
      </c>
      <c r="R45" s="174">
        <v>7.2452229299363055E-2</v>
      </c>
      <c r="AA45" s="157" t="s">
        <v>57</v>
      </c>
      <c r="AB45" s="128">
        <v>57</v>
      </c>
      <c r="AE45" s="124" t="s">
        <v>143</v>
      </c>
      <c r="AF45" s="261">
        <v>119</v>
      </c>
      <c r="AG45" s="261">
        <v>188</v>
      </c>
      <c r="AH45" s="261">
        <v>9</v>
      </c>
      <c r="AI45" s="261">
        <v>278</v>
      </c>
      <c r="AJ45" s="261">
        <v>258</v>
      </c>
      <c r="AK45" s="261">
        <v>61</v>
      </c>
      <c r="AL45" s="261">
        <v>103</v>
      </c>
      <c r="AM45" s="261">
        <v>150</v>
      </c>
      <c r="AN45" s="261">
        <v>187</v>
      </c>
      <c r="AO45" s="261">
        <v>2</v>
      </c>
      <c r="AP45" s="261">
        <v>2</v>
      </c>
      <c r="AQ45" s="261">
        <v>51</v>
      </c>
      <c r="AR45" s="261">
        <v>35</v>
      </c>
      <c r="AS45" s="261">
        <v>36</v>
      </c>
      <c r="AT45">
        <f t="shared" si="0"/>
        <v>1479</v>
      </c>
      <c r="AU45">
        <v>51</v>
      </c>
      <c r="AV45">
        <f t="shared" si="1"/>
        <v>1428</v>
      </c>
    </row>
    <row r="46" spans="1:48">
      <c r="C46" s="124" t="s">
        <v>66</v>
      </c>
      <c r="D46" s="119">
        <v>1783</v>
      </c>
      <c r="I46" s="124" t="s">
        <v>66</v>
      </c>
      <c r="J46" s="119">
        <v>201</v>
      </c>
      <c r="Q46" s="173" t="s">
        <v>66</v>
      </c>
      <c r="R46" s="174">
        <v>0.11273135165451487</v>
      </c>
      <c r="AA46" s="157" t="s">
        <v>66</v>
      </c>
      <c r="AB46" s="128">
        <v>62</v>
      </c>
      <c r="AE46">
        <v>1479</v>
      </c>
      <c r="AT46">
        <f t="shared" si="0"/>
        <v>0</v>
      </c>
      <c r="AV46">
        <f t="shared" si="1"/>
        <v>0</v>
      </c>
    </row>
    <row r="47" spans="1:48">
      <c r="C47" s="124" t="s">
        <v>82</v>
      </c>
      <c r="D47" s="119">
        <v>1635</v>
      </c>
      <c r="I47" s="124" t="s">
        <v>82</v>
      </c>
      <c r="J47" s="119">
        <v>150</v>
      </c>
      <c r="Q47" s="173" t="s">
        <v>82</v>
      </c>
      <c r="R47" s="174">
        <v>9.1743119266055051E-2</v>
      </c>
      <c r="AA47" s="157" t="s">
        <v>82</v>
      </c>
      <c r="AB47" s="128">
        <v>74</v>
      </c>
      <c r="AT47">
        <f>SUM(AT20:AT46)</f>
        <v>2958</v>
      </c>
    </row>
    <row r="48" spans="1:48">
      <c r="C48" s="124" t="s">
        <v>48</v>
      </c>
      <c r="D48" s="119">
        <v>2237</v>
      </c>
      <c r="I48" s="124" t="s">
        <v>48</v>
      </c>
      <c r="J48" s="119">
        <v>171</v>
      </c>
      <c r="Q48" s="173" t="s">
        <v>48</v>
      </c>
      <c r="R48" s="174">
        <v>7.6441662941439434E-2</v>
      </c>
      <c r="AA48" s="157" t="s">
        <v>48</v>
      </c>
      <c r="AB48" s="128">
        <v>56</v>
      </c>
    </row>
    <row r="49" spans="3:28">
      <c r="C49" s="124" t="s">
        <v>76</v>
      </c>
      <c r="D49" s="119">
        <v>1567</v>
      </c>
      <c r="I49" s="124" t="s">
        <v>76</v>
      </c>
      <c r="J49" s="119">
        <v>122</v>
      </c>
      <c r="Q49" s="173" t="s">
        <v>76</v>
      </c>
      <c r="R49" s="174">
        <v>7.78557753669432E-2</v>
      </c>
      <c r="AA49" s="157" t="s">
        <v>76</v>
      </c>
      <c r="AB49" s="128">
        <v>47</v>
      </c>
    </row>
    <row r="50" spans="3:28">
      <c r="C50" s="124" t="s">
        <v>27</v>
      </c>
      <c r="D50" s="119">
        <v>1434</v>
      </c>
      <c r="I50" s="124" t="s">
        <v>27</v>
      </c>
      <c r="J50" s="119">
        <v>85</v>
      </c>
      <c r="Q50" s="173" t="s">
        <v>27</v>
      </c>
      <c r="R50" s="174">
        <v>5.9274755927475595E-2</v>
      </c>
      <c r="AA50" s="157" t="s">
        <v>27</v>
      </c>
      <c r="AB50" s="128">
        <v>52</v>
      </c>
    </row>
    <row r="51" spans="3:28">
      <c r="C51" s="124" t="s">
        <v>73</v>
      </c>
      <c r="D51" s="119">
        <v>1380</v>
      </c>
      <c r="I51" s="124" t="s">
        <v>73</v>
      </c>
      <c r="J51" s="119">
        <v>140</v>
      </c>
      <c r="Q51" s="173" t="s">
        <v>73</v>
      </c>
      <c r="R51" s="174">
        <v>0.10144927536231885</v>
      </c>
      <c r="AA51" s="157" t="s">
        <v>73</v>
      </c>
      <c r="AB51" s="128">
        <v>72</v>
      </c>
    </row>
    <row r="52" spans="3:28">
      <c r="C52" s="124" t="s">
        <v>30</v>
      </c>
      <c r="D52" s="119">
        <v>863</v>
      </c>
      <c r="I52" s="124" t="s">
        <v>30</v>
      </c>
      <c r="J52" s="119">
        <v>80</v>
      </c>
      <c r="Q52" s="173" t="s">
        <v>30</v>
      </c>
      <c r="R52" s="174">
        <v>9.2699884125144849E-2</v>
      </c>
      <c r="AA52" s="157" t="s">
        <v>30</v>
      </c>
      <c r="AB52" s="128">
        <v>49</v>
      </c>
    </row>
    <row r="53" spans="3:28">
      <c r="C53" s="124" t="s">
        <v>85</v>
      </c>
      <c r="D53" s="119">
        <v>1243</v>
      </c>
      <c r="I53" s="124" t="s">
        <v>85</v>
      </c>
      <c r="J53" s="119">
        <v>143</v>
      </c>
      <c r="Q53" s="173" t="s">
        <v>85</v>
      </c>
      <c r="R53" s="174">
        <v>0.11504424778761062</v>
      </c>
      <c r="AA53" s="157" t="s">
        <v>85</v>
      </c>
      <c r="AB53" s="128">
        <v>36</v>
      </c>
    </row>
    <row r="54" spans="3:28">
      <c r="C54" s="124" t="s">
        <v>45</v>
      </c>
      <c r="D54" s="119">
        <v>782</v>
      </c>
      <c r="I54" s="124" t="s">
        <v>45</v>
      </c>
      <c r="J54" s="119">
        <v>44</v>
      </c>
      <c r="Q54" s="173" t="s">
        <v>45</v>
      </c>
      <c r="R54" s="174">
        <v>5.6265984654731455E-2</v>
      </c>
      <c r="AA54" s="157" t="s">
        <v>45</v>
      </c>
      <c r="AB54" s="128">
        <v>54</v>
      </c>
    </row>
    <row r="55" spans="3:28">
      <c r="C55" s="124" t="s">
        <v>20</v>
      </c>
      <c r="D55" s="119">
        <v>2363</v>
      </c>
      <c r="I55" s="124" t="s">
        <v>20</v>
      </c>
      <c r="J55" s="119">
        <v>226</v>
      </c>
      <c r="Q55" s="173" t="s">
        <v>20</v>
      </c>
      <c r="R55" s="174">
        <v>9.5641134151502327E-2</v>
      </c>
      <c r="AA55" s="157" t="s">
        <v>20</v>
      </c>
      <c r="AB55" s="128">
        <v>98</v>
      </c>
    </row>
    <row r="56" spans="3:28">
      <c r="C56" s="124" t="s">
        <v>54</v>
      </c>
      <c r="D56" s="119">
        <v>2372</v>
      </c>
      <c r="I56" s="124" t="s">
        <v>54</v>
      </c>
      <c r="J56" s="119">
        <v>258</v>
      </c>
      <c r="Q56" s="173" t="s">
        <v>54</v>
      </c>
      <c r="R56" s="174">
        <v>0.1087689713322091</v>
      </c>
      <c r="AA56" s="157" t="s">
        <v>54</v>
      </c>
      <c r="AB56" s="128">
        <v>75</v>
      </c>
    </row>
    <row r="57" spans="3:28">
      <c r="C57" s="124" t="s">
        <v>86</v>
      </c>
      <c r="D57" s="119">
        <v>1683</v>
      </c>
      <c r="I57" s="124" t="s">
        <v>86</v>
      </c>
      <c r="J57" s="119">
        <v>84</v>
      </c>
      <c r="Q57" s="173" t="s">
        <v>86</v>
      </c>
      <c r="R57" s="174">
        <v>4.9910873440285206E-2</v>
      </c>
      <c r="AA57" s="157" t="s">
        <v>86</v>
      </c>
      <c r="AB57" s="128">
        <v>69</v>
      </c>
    </row>
    <row r="58" spans="3:28">
      <c r="C58" s="124" t="s">
        <v>50</v>
      </c>
      <c r="D58" s="119">
        <v>1224</v>
      </c>
      <c r="I58" s="124" t="s">
        <v>50</v>
      </c>
      <c r="J58" s="119">
        <v>99</v>
      </c>
      <c r="Q58" s="173" t="s">
        <v>50</v>
      </c>
      <c r="R58" s="174">
        <v>8.0882352941176475E-2</v>
      </c>
      <c r="AA58" s="157" t="s">
        <v>50</v>
      </c>
      <c r="AB58" s="128">
        <v>69</v>
      </c>
    </row>
    <row r="59" spans="3:28">
      <c r="C59" s="124" t="s">
        <v>88</v>
      </c>
      <c r="D59" s="119">
        <v>1313</v>
      </c>
      <c r="I59" s="124" t="s">
        <v>88</v>
      </c>
      <c r="J59" s="119">
        <v>130</v>
      </c>
      <c r="Q59" s="173" t="s">
        <v>88</v>
      </c>
      <c r="R59" s="174">
        <v>9.9009900990099015E-2</v>
      </c>
      <c r="AA59" s="157" t="s">
        <v>88</v>
      </c>
      <c r="AB59" s="128">
        <v>78</v>
      </c>
    </row>
    <row r="60" spans="3:28">
      <c r="C60" s="124" t="s">
        <v>33</v>
      </c>
      <c r="D60" s="119">
        <v>1837</v>
      </c>
      <c r="I60" s="124" t="s">
        <v>33</v>
      </c>
      <c r="J60" s="119">
        <v>151</v>
      </c>
      <c r="Q60" s="173" t="s">
        <v>33</v>
      </c>
      <c r="R60" s="174">
        <v>8.2199237887860641E-2</v>
      </c>
      <c r="AA60" s="157" t="s">
        <v>33</v>
      </c>
      <c r="AB60" s="128">
        <v>38</v>
      </c>
    </row>
    <row r="61" spans="3:28">
      <c r="C61" s="124" t="s">
        <v>24</v>
      </c>
      <c r="D61" s="119">
        <v>1519</v>
      </c>
      <c r="I61" s="124" t="s">
        <v>24</v>
      </c>
      <c r="J61" s="119">
        <v>50</v>
      </c>
      <c r="Q61" s="173" t="s">
        <v>24</v>
      </c>
      <c r="R61" s="174">
        <v>3.2916392363396975E-2</v>
      </c>
      <c r="AA61" s="157" t="s">
        <v>24</v>
      </c>
      <c r="AB61" s="128">
        <v>58</v>
      </c>
    </row>
    <row r="62" spans="3:28">
      <c r="C62" s="124" t="s">
        <v>92</v>
      </c>
      <c r="D62" s="119">
        <v>1357</v>
      </c>
      <c r="I62" s="124" t="s">
        <v>92</v>
      </c>
      <c r="J62" s="119">
        <v>50</v>
      </c>
      <c r="Q62" s="173" t="s">
        <v>92</v>
      </c>
      <c r="R62" s="174">
        <v>3.6845983787767135E-2</v>
      </c>
      <c r="AA62" s="157" t="s">
        <v>92</v>
      </c>
      <c r="AB62" s="128">
        <v>66</v>
      </c>
    </row>
    <row r="63" spans="3:28">
      <c r="C63" s="124" t="s">
        <v>244</v>
      </c>
      <c r="D63" s="119"/>
      <c r="I63" s="124" t="s">
        <v>244</v>
      </c>
      <c r="J63" s="119"/>
      <c r="Q63" s="173" t="s">
        <v>244</v>
      </c>
      <c r="R63" s="174" t="e">
        <v>#DIV/0!</v>
      </c>
      <c r="AA63" s="157" t="s">
        <v>244</v>
      </c>
      <c r="AB63" s="128"/>
    </row>
    <row r="64" spans="3:28">
      <c r="C64" s="124" t="s">
        <v>143</v>
      </c>
      <c r="D64" s="119">
        <v>37361</v>
      </c>
      <c r="I64" s="124" t="s">
        <v>143</v>
      </c>
      <c r="J64" s="119">
        <v>2972</v>
      </c>
      <c r="Q64" s="173" t="s">
        <v>143</v>
      </c>
      <c r="R64" s="174">
        <v>7.9548191964883164E-2</v>
      </c>
      <c r="AA64" s="157" t="s">
        <v>143</v>
      </c>
      <c r="AB64" s="128">
        <v>1467</v>
      </c>
    </row>
    <row r="65" spans="1:28">
      <c r="AA65"/>
    </row>
    <row r="66" spans="1:28">
      <c r="AA66"/>
    </row>
    <row r="67" spans="1:28">
      <c r="G67" s="153">
        <f>GETPIVOTDATA("HĐ MKT",$I$38)/GETPIVOTDATA("Data KH",$C$38)</f>
        <v>7.9548191964883164E-2</v>
      </c>
    </row>
    <row r="68" spans="1:28">
      <c r="AA68" s="175" t="s">
        <v>144</v>
      </c>
      <c r="AB68" s="119" t="s">
        <v>239</v>
      </c>
    </row>
    <row r="69" spans="1:28">
      <c r="Q69" s="123" t="s">
        <v>144</v>
      </c>
      <c r="R69" s="262" t="s">
        <v>178</v>
      </c>
      <c r="S69" s="262" t="s">
        <v>238</v>
      </c>
      <c r="AA69" s="176" t="s">
        <v>69</v>
      </c>
      <c r="AB69" s="119">
        <v>370500</v>
      </c>
    </row>
    <row r="70" spans="1:28">
      <c r="A70" s="123" t="s">
        <v>144</v>
      </c>
      <c r="B70" s="262" t="s">
        <v>170</v>
      </c>
      <c r="C70" s="262" t="s">
        <v>171</v>
      </c>
      <c r="E70" s="123" t="s">
        <v>144</v>
      </c>
      <c r="F70" s="262" t="s">
        <v>313</v>
      </c>
      <c r="G70" s="262" t="s">
        <v>170</v>
      </c>
      <c r="H70" s="262" t="s">
        <v>242</v>
      </c>
      <c r="I70" s="262" t="s">
        <v>312</v>
      </c>
      <c r="K70" s="123" t="s">
        <v>144</v>
      </c>
      <c r="L70" t="s">
        <v>231</v>
      </c>
      <c r="Q70" s="124" t="s">
        <v>69</v>
      </c>
      <c r="R70" s="127">
        <v>1.1249999999999998</v>
      </c>
      <c r="S70" s="127">
        <v>1</v>
      </c>
      <c r="AA70" s="176" t="s">
        <v>36</v>
      </c>
      <c r="AB70" s="119">
        <v>324180</v>
      </c>
    </row>
    <row r="71" spans="1:28">
      <c r="A71" s="124" t="s">
        <v>69</v>
      </c>
      <c r="B71" s="119">
        <v>100</v>
      </c>
      <c r="C71" s="119">
        <v>385</v>
      </c>
      <c r="D71" s="119">
        <f>SUM(B71:C71)</f>
        <v>485</v>
      </c>
      <c r="E71" s="124" t="s">
        <v>139</v>
      </c>
      <c r="F71" s="119">
        <v>10921</v>
      </c>
      <c r="G71" s="119">
        <v>1092</v>
      </c>
      <c r="H71" s="127">
        <v>9.9990843329365448E-2</v>
      </c>
      <c r="I71" s="127">
        <v>0.12447281431665337</v>
      </c>
      <c r="K71" s="124" t="s">
        <v>69</v>
      </c>
      <c r="L71" s="127">
        <v>0.20618556701030927</v>
      </c>
      <c r="Q71" s="124" t="s">
        <v>36</v>
      </c>
      <c r="R71" s="127">
        <v>0.19583333333333333</v>
      </c>
      <c r="S71" s="127">
        <v>8.3333333333333329E-2</v>
      </c>
      <c r="AA71" s="176" t="s">
        <v>149</v>
      </c>
      <c r="AB71" s="119">
        <v>1084000</v>
      </c>
    </row>
    <row r="72" spans="1:28">
      <c r="A72" s="124" t="s">
        <v>36</v>
      </c>
      <c r="B72" s="119">
        <v>11</v>
      </c>
      <c r="C72" s="119">
        <v>242</v>
      </c>
      <c r="D72" s="119">
        <f>SUM(B72:C72)</f>
        <v>253</v>
      </c>
      <c r="E72" s="124" t="s">
        <v>21</v>
      </c>
      <c r="F72" s="119">
        <v>11523</v>
      </c>
      <c r="G72" s="119">
        <v>818</v>
      </c>
      <c r="H72" s="127">
        <v>7.0988457866874952E-2</v>
      </c>
      <c r="I72" s="127">
        <v>7.4465179790623573E-2</v>
      </c>
      <c r="K72" s="124" t="s">
        <v>36</v>
      </c>
      <c r="L72" s="127">
        <v>4.3478260869565216E-2</v>
      </c>
      <c r="Q72" s="124" t="s">
        <v>149</v>
      </c>
      <c r="R72" s="127">
        <v>1.0941666666666665</v>
      </c>
      <c r="S72" s="127">
        <v>1</v>
      </c>
      <c r="AA72" s="176" t="s">
        <v>90</v>
      </c>
      <c r="AB72" s="119">
        <v>735400</v>
      </c>
    </row>
    <row r="73" spans="1:28">
      <c r="A73" s="124" t="s">
        <v>149</v>
      </c>
      <c r="B73" s="119">
        <v>264</v>
      </c>
      <c r="C73" s="119">
        <v>915</v>
      </c>
      <c r="D73" s="119">
        <f t="shared" ref="D73:D94" si="2">SUM(B73:C73)</f>
        <v>1179</v>
      </c>
      <c r="E73" s="124" t="s">
        <v>70</v>
      </c>
      <c r="F73" s="119">
        <v>14917</v>
      </c>
      <c r="G73" s="119">
        <v>1062</v>
      </c>
      <c r="H73" s="127">
        <v>7.1193939800227923E-2</v>
      </c>
      <c r="I73" s="127">
        <v>0.19312602291325695</v>
      </c>
      <c r="K73" s="124" t="s">
        <v>149</v>
      </c>
      <c r="L73" s="127">
        <v>0.22391857506361323</v>
      </c>
      <c r="Q73" s="124" t="s">
        <v>90</v>
      </c>
      <c r="R73" s="127">
        <v>0.97500000000000009</v>
      </c>
      <c r="S73" s="127">
        <v>0.83333333333333337</v>
      </c>
      <c r="AA73" s="176" t="s">
        <v>79</v>
      </c>
      <c r="AB73" s="119">
        <v>374000</v>
      </c>
    </row>
    <row r="74" spans="1:28">
      <c r="A74" s="124" t="s">
        <v>90</v>
      </c>
      <c r="B74" s="119">
        <v>72</v>
      </c>
      <c r="C74" s="119">
        <v>206</v>
      </c>
      <c r="D74" s="119">
        <f t="shared" si="2"/>
        <v>278</v>
      </c>
      <c r="E74" s="124" t="s">
        <v>244</v>
      </c>
      <c r="F74" s="119"/>
      <c r="G74" s="119"/>
      <c r="H74" s="127" t="e">
        <v>#DIV/0!</v>
      </c>
      <c r="I74" s="127" t="e">
        <v>#DIV/0!</v>
      </c>
      <c r="K74" s="124" t="s">
        <v>90</v>
      </c>
      <c r="L74" s="127">
        <v>0.25899280575539568</v>
      </c>
      <c r="Q74" s="124" t="s">
        <v>79</v>
      </c>
      <c r="R74" s="127">
        <v>0.96583333333333332</v>
      </c>
      <c r="S74" s="127">
        <v>0.77083333333333337</v>
      </c>
      <c r="AA74" s="176" t="s">
        <v>60</v>
      </c>
      <c r="AB74" s="119">
        <v>718000</v>
      </c>
    </row>
    <row r="75" spans="1:28">
      <c r="A75" s="124" t="s">
        <v>79</v>
      </c>
      <c r="B75" s="119">
        <v>71</v>
      </c>
      <c r="C75" s="119">
        <v>415</v>
      </c>
      <c r="D75" s="119">
        <f t="shared" si="2"/>
        <v>486</v>
      </c>
      <c r="E75" s="124" t="s">
        <v>143</v>
      </c>
      <c r="F75" s="119">
        <v>37361</v>
      </c>
      <c r="G75" s="119">
        <v>2972</v>
      </c>
      <c r="H75" s="127">
        <v>7.9548191964883164E-2</v>
      </c>
      <c r="I75" s="127">
        <v>0.11767034881419013</v>
      </c>
      <c r="K75" s="124" t="s">
        <v>79</v>
      </c>
      <c r="L75" s="127">
        <v>0.14609053497942387</v>
      </c>
      <c r="Q75" s="124" t="s">
        <v>60</v>
      </c>
      <c r="R75" s="127">
        <v>1.0158333333333334</v>
      </c>
      <c r="S75" s="127">
        <v>0.89583333333333337</v>
      </c>
      <c r="AA75" s="176" t="s">
        <v>57</v>
      </c>
      <c r="AB75" s="119">
        <v>1044000</v>
      </c>
    </row>
    <row r="76" spans="1:28">
      <c r="A76" s="124" t="s">
        <v>60</v>
      </c>
      <c r="B76" s="119">
        <v>179</v>
      </c>
      <c r="C76" s="119">
        <v>2643</v>
      </c>
      <c r="D76" s="119">
        <f t="shared" si="2"/>
        <v>2822</v>
      </c>
      <c r="K76" s="124" t="s">
        <v>60</v>
      </c>
      <c r="L76" s="127">
        <v>6.3430191353649898E-2</v>
      </c>
      <c r="Q76" s="124" t="s">
        <v>57</v>
      </c>
      <c r="R76" s="127">
        <v>0.93416666666666659</v>
      </c>
      <c r="S76" s="127">
        <v>0.89583333333333337</v>
      </c>
      <c r="AA76" s="176" t="s">
        <v>66</v>
      </c>
      <c r="AB76" s="119">
        <v>679000</v>
      </c>
    </row>
    <row r="77" spans="1:28">
      <c r="A77" s="124" t="s">
        <v>57</v>
      </c>
      <c r="B77" s="119">
        <v>91</v>
      </c>
      <c r="C77" s="119">
        <v>1325</v>
      </c>
      <c r="D77" s="119">
        <f t="shared" si="2"/>
        <v>1416</v>
      </c>
      <c r="K77" s="124" t="s">
        <v>57</v>
      </c>
      <c r="L77" s="127">
        <v>6.4265536723163846E-2</v>
      </c>
      <c r="Q77" s="124" t="s">
        <v>66</v>
      </c>
      <c r="R77" s="127">
        <v>1.18</v>
      </c>
      <c r="S77" s="127">
        <v>1</v>
      </c>
      <c r="AA77" s="176" t="s">
        <v>82</v>
      </c>
      <c r="AB77" s="119">
        <v>616000</v>
      </c>
    </row>
    <row r="78" spans="1:28">
      <c r="A78" s="124" t="s">
        <v>66</v>
      </c>
      <c r="B78" s="119">
        <v>201</v>
      </c>
      <c r="C78" s="119">
        <v>330</v>
      </c>
      <c r="D78" s="119">
        <f t="shared" si="2"/>
        <v>531</v>
      </c>
      <c r="K78" s="124" t="s">
        <v>66</v>
      </c>
      <c r="L78" s="127">
        <v>0.37853107344632769</v>
      </c>
      <c r="Q78" s="124" t="s">
        <v>82</v>
      </c>
      <c r="R78" s="127">
        <v>1.1099999999999999</v>
      </c>
      <c r="S78" s="127">
        <v>0.9375</v>
      </c>
      <c r="AA78" s="176" t="s">
        <v>48</v>
      </c>
      <c r="AB78" s="119">
        <v>717000</v>
      </c>
    </row>
    <row r="79" spans="1:28">
      <c r="A79" s="124" t="s">
        <v>82</v>
      </c>
      <c r="B79" s="119">
        <v>150</v>
      </c>
      <c r="C79" s="119">
        <v>291</v>
      </c>
      <c r="D79" s="119">
        <f t="shared" si="2"/>
        <v>441</v>
      </c>
      <c r="K79" s="124" t="s">
        <v>82</v>
      </c>
      <c r="L79" s="127">
        <v>0.3401360544217687</v>
      </c>
      <c r="Q79" s="124" t="s">
        <v>48</v>
      </c>
      <c r="R79" s="127">
        <v>0.98491666666666655</v>
      </c>
      <c r="S79" s="127">
        <v>0.75</v>
      </c>
      <c r="AA79" s="176" t="s">
        <v>76</v>
      </c>
      <c r="AB79" s="119">
        <v>596000</v>
      </c>
    </row>
    <row r="80" spans="1:28">
      <c r="A80" s="124" t="s">
        <v>48</v>
      </c>
      <c r="B80" s="119">
        <v>171</v>
      </c>
      <c r="C80" s="119">
        <v>891</v>
      </c>
      <c r="D80" s="119">
        <f t="shared" si="2"/>
        <v>1062</v>
      </c>
      <c r="K80" s="124" t="s">
        <v>48</v>
      </c>
      <c r="L80" s="127">
        <v>0.16101694915254236</v>
      </c>
      <c r="Q80" s="124" t="s">
        <v>76</v>
      </c>
      <c r="R80" s="127">
        <v>1.1616666666666668</v>
      </c>
      <c r="S80" s="127">
        <v>1</v>
      </c>
      <c r="AA80" s="176" t="s">
        <v>27</v>
      </c>
      <c r="AB80" s="119">
        <v>695900</v>
      </c>
    </row>
    <row r="81" spans="1:28">
      <c r="A81" s="124" t="s">
        <v>76</v>
      </c>
      <c r="B81" s="119">
        <v>122</v>
      </c>
      <c r="C81" s="119">
        <v>344</v>
      </c>
      <c r="D81" s="119">
        <f t="shared" si="2"/>
        <v>466</v>
      </c>
      <c r="K81" s="124" t="s">
        <v>76</v>
      </c>
      <c r="L81" s="127">
        <v>0.26180257510729615</v>
      </c>
      <c r="Q81" s="124" t="s">
        <v>27</v>
      </c>
      <c r="R81" s="127">
        <v>0.85666666666666647</v>
      </c>
      <c r="S81" s="127">
        <v>0.52083333333333337</v>
      </c>
      <c r="AA81" s="176" t="s">
        <v>73</v>
      </c>
      <c r="AB81" s="119">
        <v>715300</v>
      </c>
    </row>
    <row r="82" spans="1:28">
      <c r="A82" s="124" t="s">
        <v>27</v>
      </c>
      <c r="B82" s="119">
        <v>85</v>
      </c>
      <c r="C82" s="119">
        <v>836</v>
      </c>
      <c r="D82" s="119">
        <f t="shared" si="2"/>
        <v>921</v>
      </c>
      <c r="K82" s="124" t="s">
        <v>27</v>
      </c>
      <c r="L82" s="127">
        <v>9.2290988056460369E-2</v>
      </c>
      <c r="Q82" s="124" t="s">
        <v>73</v>
      </c>
      <c r="R82" s="127">
        <v>1.1775</v>
      </c>
      <c r="S82" s="127">
        <v>0.95833333333333337</v>
      </c>
      <c r="AA82" s="176" t="s">
        <v>30</v>
      </c>
      <c r="AB82" s="119">
        <v>758550</v>
      </c>
    </row>
    <row r="83" spans="1:28">
      <c r="A83" s="124" t="s">
        <v>73</v>
      </c>
      <c r="B83" s="119">
        <v>140</v>
      </c>
      <c r="C83" s="119">
        <v>372</v>
      </c>
      <c r="D83" s="119">
        <f t="shared" si="2"/>
        <v>512</v>
      </c>
      <c r="K83" s="124" t="s">
        <v>73</v>
      </c>
      <c r="L83" s="127">
        <v>0.2734375</v>
      </c>
      <c r="Q83" s="124" t="s">
        <v>30</v>
      </c>
      <c r="R83" s="127">
        <v>0.63833333333333331</v>
      </c>
      <c r="S83" s="127">
        <v>0.41666666666666669</v>
      </c>
      <c r="AA83" s="176" t="s">
        <v>85</v>
      </c>
      <c r="AB83" s="119">
        <v>329700</v>
      </c>
    </row>
    <row r="84" spans="1:28">
      <c r="A84" s="124" t="s">
        <v>30</v>
      </c>
      <c r="B84" s="119">
        <v>80</v>
      </c>
      <c r="C84" s="119">
        <v>792</v>
      </c>
      <c r="D84" s="119">
        <f t="shared" si="2"/>
        <v>872</v>
      </c>
      <c r="K84" s="124" t="s">
        <v>30</v>
      </c>
      <c r="L84" s="127">
        <v>9.1743119266055051E-2</v>
      </c>
      <c r="Q84" s="124" t="s">
        <v>85</v>
      </c>
      <c r="R84" s="127">
        <v>1.2591666666666665</v>
      </c>
      <c r="S84" s="127">
        <v>1</v>
      </c>
      <c r="AA84" s="176" t="s">
        <v>45</v>
      </c>
      <c r="AB84" s="119">
        <v>1314800</v>
      </c>
    </row>
    <row r="85" spans="1:28">
      <c r="A85" s="124" t="s">
        <v>85</v>
      </c>
      <c r="B85" s="119">
        <v>143</v>
      </c>
      <c r="C85" s="119">
        <v>709</v>
      </c>
      <c r="D85" s="119">
        <f t="shared" si="2"/>
        <v>852</v>
      </c>
      <c r="K85" s="124" t="s">
        <v>85</v>
      </c>
      <c r="L85" s="127">
        <v>0.16784037558685447</v>
      </c>
      <c r="Q85" s="124" t="s">
        <v>45</v>
      </c>
      <c r="R85" s="127">
        <v>1.04</v>
      </c>
      <c r="S85" s="127">
        <v>0.875</v>
      </c>
      <c r="AA85" s="176" t="s">
        <v>20</v>
      </c>
      <c r="AB85" s="119">
        <v>2504325</v>
      </c>
    </row>
    <row r="86" spans="1:28">
      <c r="A86" s="124" t="s">
        <v>45</v>
      </c>
      <c r="B86" s="119">
        <v>44</v>
      </c>
      <c r="C86" s="119">
        <v>2079</v>
      </c>
      <c r="D86" s="119">
        <f t="shared" si="2"/>
        <v>2123</v>
      </c>
      <c r="K86" s="124" t="s">
        <v>45</v>
      </c>
      <c r="L86" s="127">
        <v>2.072538860103627E-2</v>
      </c>
      <c r="Q86" s="124" t="s">
        <v>20</v>
      </c>
      <c r="R86" s="127">
        <v>1.2068749999999999</v>
      </c>
      <c r="S86" s="127">
        <v>0.921875</v>
      </c>
      <c r="AA86" s="176" t="s">
        <v>54</v>
      </c>
      <c r="AB86" s="119">
        <v>1121000</v>
      </c>
    </row>
    <row r="87" spans="1:28">
      <c r="A87" s="124" t="s">
        <v>20</v>
      </c>
      <c r="B87" s="119">
        <v>226</v>
      </c>
      <c r="C87" s="119">
        <v>2487</v>
      </c>
      <c r="D87" s="119">
        <f t="shared" si="2"/>
        <v>2713</v>
      </c>
      <c r="K87" s="124" t="s">
        <v>20</v>
      </c>
      <c r="L87" s="127">
        <v>8.330261702911905E-2</v>
      </c>
      <c r="Q87" s="124" t="s">
        <v>54</v>
      </c>
      <c r="R87" s="127">
        <v>1.0825000000000002</v>
      </c>
      <c r="S87" s="127">
        <v>1</v>
      </c>
      <c r="AA87" s="176" t="s">
        <v>86</v>
      </c>
      <c r="AB87" s="119">
        <v>591000</v>
      </c>
    </row>
    <row r="88" spans="1:28">
      <c r="A88" s="124" t="s">
        <v>54</v>
      </c>
      <c r="B88" s="119">
        <v>258</v>
      </c>
      <c r="C88" s="119">
        <v>1860</v>
      </c>
      <c r="D88" s="119">
        <f t="shared" si="2"/>
        <v>2118</v>
      </c>
      <c r="K88" s="124" t="s">
        <v>54</v>
      </c>
      <c r="L88" s="127">
        <v>0.12181303116147309</v>
      </c>
      <c r="Q88" s="124" t="s">
        <v>86</v>
      </c>
      <c r="R88" s="127">
        <v>1.1850000000000001</v>
      </c>
      <c r="S88" s="127">
        <v>0.97916666666666663</v>
      </c>
      <c r="AA88" s="176" t="s">
        <v>50</v>
      </c>
      <c r="AB88" s="119">
        <v>821700</v>
      </c>
    </row>
    <row r="89" spans="1:28">
      <c r="A89" s="124" t="s">
        <v>86</v>
      </c>
      <c r="B89" s="119">
        <v>84</v>
      </c>
      <c r="C89" s="119">
        <v>857</v>
      </c>
      <c r="D89" s="119">
        <f t="shared" si="2"/>
        <v>941</v>
      </c>
      <c r="K89" s="124" t="s">
        <v>86</v>
      </c>
      <c r="L89" s="127">
        <v>8.9266737513283748E-2</v>
      </c>
      <c r="Q89" s="124" t="s">
        <v>50</v>
      </c>
      <c r="R89" s="127">
        <v>1.0033333333333334</v>
      </c>
      <c r="S89" s="127">
        <v>0.85416666666666663</v>
      </c>
      <c r="AA89" s="176" t="s">
        <v>88</v>
      </c>
      <c r="AB89" s="119">
        <v>708790</v>
      </c>
    </row>
    <row r="90" spans="1:28">
      <c r="A90" s="124" t="s">
        <v>50</v>
      </c>
      <c r="B90" s="119">
        <v>99</v>
      </c>
      <c r="C90" s="119">
        <v>608</v>
      </c>
      <c r="D90" s="119">
        <f t="shared" si="2"/>
        <v>707</v>
      </c>
      <c r="K90" s="124" t="s">
        <v>50</v>
      </c>
      <c r="L90" s="127">
        <v>0.14002828854314003</v>
      </c>
      <c r="Q90" s="124" t="s">
        <v>88</v>
      </c>
      <c r="R90" s="127">
        <v>1.2025000000000001</v>
      </c>
      <c r="S90" s="127">
        <v>1</v>
      </c>
      <c r="AA90" s="176" t="s">
        <v>33</v>
      </c>
      <c r="AB90" s="119">
        <v>692000</v>
      </c>
    </row>
    <row r="91" spans="1:28">
      <c r="A91" s="124" t="s">
        <v>88</v>
      </c>
      <c r="B91" s="119">
        <v>130</v>
      </c>
      <c r="C91" s="119">
        <v>578</v>
      </c>
      <c r="D91" s="119">
        <f t="shared" si="2"/>
        <v>708</v>
      </c>
      <c r="K91" s="124" t="s">
        <v>88</v>
      </c>
      <c r="L91" s="127">
        <v>0.18361581920903955</v>
      </c>
      <c r="Q91" s="124" t="s">
        <v>33</v>
      </c>
      <c r="R91" s="127">
        <v>1.0416666666666667</v>
      </c>
      <c r="S91" s="127">
        <v>0.89583333333333337</v>
      </c>
      <c r="AA91" s="176" t="s">
        <v>24</v>
      </c>
      <c r="AB91" s="119">
        <v>470020</v>
      </c>
    </row>
    <row r="92" spans="1:28">
      <c r="A92" s="124" t="s">
        <v>33</v>
      </c>
      <c r="B92" s="119">
        <v>151</v>
      </c>
      <c r="C92" s="119">
        <v>1934</v>
      </c>
      <c r="D92" s="119">
        <f t="shared" si="2"/>
        <v>2085</v>
      </c>
      <c r="K92" s="124" t="s">
        <v>33</v>
      </c>
      <c r="L92" s="127">
        <v>7.2422062350119901E-2</v>
      </c>
      <c r="Q92" s="124" t="s">
        <v>24</v>
      </c>
      <c r="R92" s="127">
        <v>0.91499999999999992</v>
      </c>
      <c r="S92" s="127">
        <v>0.77083333333333337</v>
      </c>
      <c r="AA92" s="176" t="s">
        <v>92</v>
      </c>
      <c r="AB92" s="119">
        <v>628900</v>
      </c>
    </row>
    <row r="93" spans="1:28">
      <c r="A93" s="124" t="s">
        <v>24</v>
      </c>
      <c r="B93" s="119">
        <v>50</v>
      </c>
      <c r="C93" s="119">
        <v>906</v>
      </c>
      <c r="D93" s="119">
        <f t="shared" si="2"/>
        <v>956</v>
      </c>
      <c r="K93" s="124" t="s">
        <v>24</v>
      </c>
      <c r="L93" s="127">
        <v>5.2301255230125521E-2</v>
      </c>
      <c r="Q93" s="124" t="s">
        <v>92</v>
      </c>
      <c r="R93" s="127">
        <v>1.0991666666666668</v>
      </c>
      <c r="S93" s="127">
        <v>0.97916666666666663</v>
      </c>
      <c r="AA93" s="176" t="s">
        <v>244</v>
      </c>
      <c r="AB93" s="119"/>
    </row>
    <row r="94" spans="1:28">
      <c r="A94" s="124" t="s">
        <v>92</v>
      </c>
      <c r="B94" s="119">
        <v>50</v>
      </c>
      <c r="C94" s="119">
        <v>280</v>
      </c>
      <c r="D94" s="119">
        <f t="shared" si="2"/>
        <v>330</v>
      </c>
      <c r="K94" s="124" t="s">
        <v>92</v>
      </c>
      <c r="L94" s="127">
        <v>0.15151515151515152</v>
      </c>
      <c r="Q94" s="124" t="s">
        <v>244</v>
      </c>
      <c r="R94" s="119"/>
      <c r="S94" s="119"/>
      <c r="AA94" s="176" t="s">
        <v>143</v>
      </c>
      <c r="AB94" s="119">
        <v>18610065</v>
      </c>
    </row>
    <row r="95" spans="1:28">
      <c r="A95" s="124" t="s">
        <v>244</v>
      </c>
      <c r="B95" s="119"/>
      <c r="C95" s="119"/>
      <c r="K95" s="124" t="s">
        <v>244</v>
      </c>
      <c r="L95" s="127" t="e">
        <v>#DIV/0!</v>
      </c>
      <c r="Q95" s="124" t="s">
        <v>143</v>
      </c>
      <c r="R95" s="127">
        <v>1.0213321917808227</v>
      </c>
      <c r="S95" s="127">
        <v>0.84845890410958902</v>
      </c>
    </row>
    <row r="96" spans="1:28">
      <c r="A96" s="124" t="s">
        <v>143</v>
      </c>
      <c r="B96" s="119">
        <v>2972</v>
      </c>
      <c r="C96" s="119">
        <v>22285</v>
      </c>
      <c r="K96" s="124" t="s">
        <v>143</v>
      </c>
      <c r="L96" s="127">
        <v>0.11767034881419013</v>
      </c>
    </row>
    <row r="103" spans="1:24">
      <c r="A103" s="123" t="s">
        <v>144</v>
      </c>
      <c r="B103" t="s">
        <v>179</v>
      </c>
      <c r="W103"/>
    </row>
    <row r="104" spans="1:24">
      <c r="A104" s="124" t="s">
        <v>69</v>
      </c>
      <c r="B104" s="130">
        <v>60711242.931914002</v>
      </c>
      <c r="W104"/>
    </row>
    <row r="105" spans="1:24">
      <c r="A105" s="124" t="s">
        <v>36</v>
      </c>
      <c r="B105" s="130">
        <v>0</v>
      </c>
      <c r="V105" s="128"/>
      <c r="W105"/>
    </row>
    <row r="106" spans="1:24">
      <c r="A106" s="124" t="s">
        <v>149</v>
      </c>
      <c r="B106" s="130">
        <v>219353708.51946479</v>
      </c>
      <c r="J106" s="262" t="s">
        <v>216</v>
      </c>
      <c r="K106" s="262" t="s">
        <v>217</v>
      </c>
      <c r="L106" s="262" t="s">
        <v>213</v>
      </c>
      <c r="M106" s="262" t="s">
        <v>101</v>
      </c>
      <c r="N106" s="262" t="s">
        <v>102</v>
      </c>
      <c r="O106" s="262" t="s">
        <v>148</v>
      </c>
      <c r="P106" s="262" t="s">
        <v>214</v>
      </c>
      <c r="Q106" s="262" t="s">
        <v>218</v>
      </c>
      <c r="R106" s="262" t="s">
        <v>100</v>
      </c>
      <c r="S106" s="262" t="s">
        <v>103</v>
      </c>
      <c r="T106" s="262" t="s">
        <v>215</v>
      </c>
      <c r="U106" s="262" t="s">
        <v>14</v>
      </c>
      <c r="V106" s="262" t="s">
        <v>212</v>
      </c>
      <c r="W106" s="262" t="s">
        <v>147</v>
      </c>
      <c r="X106" s="262" t="s">
        <v>109</v>
      </c>
    </row>
    <row r="107" spans="1:24">
      <c r="A107" s="124" t="s">
        <v>90</v>
      </c>
      <c r="B107" s="130">
        <v>10925068.305635199</v>
      </c>
      <c r="J107" s="261">
        <v>48</v>
      </c>
      <c r="K107" s="261">
        <v>9</v>
      </c>
      <c r="L107" s="261">
        <v>37</v>
      </c>
      <c r="M107" s="261">
        <v>8859</v>
      </c>
      <c r="N107" s="261">
        <v>14815</v>
      </c>
      <c r="O107" s="261">
        <v>15</v>
      </c>
      <c r="P107" s="261">
        <v>149</v>
      </c>
      <c r="Q107" s="261">
        <v>202</v>
      </c>
      <c r="R107" s="261">
        <v>818</v>
      </c>
      <c r="S107" s="261">
        <v>1872</v>
      </c>
      <c r="T107" s="261">
        <v>78</v>
      </c>
      <c r="U107" s="261">
        <v>512</v>
      </c>
      <c r="V107" s="261">
        <v>8603</v>
      </c>
      <c r="W107" s="261">
        <v>9688</v>
      </c>
      <c r="X107" s="261">
        <v>1748</v>
      </c>
    </row>
    <row r="108" spans="1:24">
      <c r="A108" s="124" t="s">
        <v>79</v>
      </c>
      <c r="B108" s="130">
        <v>21656340.598848701</v>
      </c>
      <c r="W108"/>
    </row>
    <row r="109" spans="1:24">
      <c r="A109" s="124" t="s">
        <v>60</v>
      </c>
      <c r="B109" s="130">
        <v>235028556.1070326</v>
      </c>
      <c r="W109"/>
    </row>
    <row r="110" spans="1:24">
      <c r="A110" s="124" t="s">
        <v>57</v>
      </c>
      <c r="B110" s="130">
        <v>107341491.285384</v>
      </c>
      <c r="W110"/>
    </row>
    <row r="111" spans="1:24">
      <c r="A111" s="124" t="s">
        <v>66</v>
      </c>
      <c r="B111" s="130">
        <v>84827094.871650994</v>
      </c>
      <c r="J111" s="262" t="s">
        <v>216</v>
      </c>
      <c r="K111" s="262" t="s">
        <v>217</v>
      </c>
      <c r="L111" s="262" t="s">
        <v>213</v>
      </c>
      <c r="M111" s="262" t="s">
        <v>101</v>
      </c>
      <c r="N111" s="262" t="s">
        <v>102</v>
      </c>
      <c r="O111" s="262" t="s">
        <v>148</v>
      </c>
      <c r="P111" s="262" t="s">
        <v>106</v>
      </c>
      <c r="Q111" s="262" t="s">
        <v>218</v>
      </c>
      <c r="R111" s="262" t="s">
        <v>100</v>
      </c>
      <c r="S111" s="262" t="s">
        <v>103</v>
      </c>
      <c r="T111" s="262" t="s">
        <v>215</v>
      </c>
      <c r="U111" s="262" t="s">
        <v>14</v>
      </c>
      <c r="V111" s="262" t="s">
        <v>212</v>
      </c>
      <c r="W111" s="262" t="s">
        <v>147</v>
      </c>
      <c r="X111" s="262" t="s">
        <v>109</v>
      </c>
    </row>
    <row r="112" spans="1:24">
      <c r="A112" s="124" t="s">
        <v>82</v>
      </c>
      <c r="B112" s="130">
        <v>26329536.376137</v>
      </c>
      <c r="J112" s="261">
        <v>712.2</v>
      </c>
      <c r="K112" s="261">
        <v>48.9</v>
      </c>
      <c r="L112" s="261">
        <v>41.436999999999998</v>
      </c>
      <c r="M112" s="261">
        <v>4044.76</v>
      </c>
      <c r="N112" s="261">
        <v>5412.3450000000003</v>
      </c>
      <c r="O112" s="261">
        <v>12</v>
      </c>
      <c r="P112" s="261">
        <v>1839.5499999999993</v>
      </c>
      <c r="Q112" s="261">
        <v>339.46300000000014</v>
      </c>
      <c r="R112" s="261">
        <v>1268.8389999999999</v>
      </c>
      <c r="S112" s="261">
        <v>518.11599999999999</v>
      </c>
      <c r="T112" s="261">
        <v>378.4</v>
      </c>
      <c r="U112" s="261">
        <v>461.69</v>
      </c>
      <c r="V112" s="261">
        <v>6428.5150000000003</v>
      </c>
      <c r="W112" s="261">
        <v>115</v>
      </c>
      <c r="X112" s="261">
        <v>475.8</v>
      </c>
    </row>
    <row r="113" spans="1:36">
      <c r="A113" s="124" t="s">
        <v>48</v>
      </c>
      <c r="B113" s="130">
        <v>40808152.4324774</v>
      </c>
      <c r="W113"/>
    </row>
    <row r="114" spans="1:36">
      <c r="A114" s="124" t="s">
        <v>76</v>
      </c>
      <c r="B114" s="130">
        <v>56670202.025511995</v>
      </c>
      <c r="W114"/>
    </row>
    <row r="115" spans="1:36">
      <c r="A115" s="124" t="s">
        <v>27</v>
      </c>
      <c r="B115" s="130">
        <v>24600552.441328198</v>
      </c>
      <c r="W115"/>
    </row>
    <row r="116" spans="1:36">
      <c r="A116" s="124" t="s">
        <v>73</v>
      </c>
      <c r="B116" s="130">
        <v>61599085.712575197</v>
      </c>
      <c r="W116"/>
    </row>
    <row r="117" spans="1:36" ht="15" thickBot="1">
      <c r="A117" s="124" t="s">
        <v>30</v>
      </c>
      <c r="B117" s="130">
        <v>17741953</v>
      </c>
      <c r="W117"/>
    </row>
    <row r="118" spans="1:36">
      <c r="A118" s="124" t="s">
        <v>85</v>
      </c>
      <c r="B118" s="130">
        <v>73015679.816096008</v>
      </c>
      <c r="V118" s="177" t="s">
        <v>216</v>
      </c>
      <c r="W118" s="177" t="s">
        <v>217</v>
      </c>
      <c r="X118" s="177" t="s">
        <v>213</v>
      </c>
      <c r="Y118" s="177" t="s">
        <v>101</v>
      </c>
      <c r="Z118" s="177" t="s">
        <v>102</v>
      </c>
      <c r="AA118" s="177" t="s">
        <v>148</v>
      </c>
      <c r="AB118" s="177" t="s">
        <v>214</v>
      </c>
      <c r="AC118" s="177" t="s">
        <v>218</v>
      </c>
      <c r="AD118" s="177" t="s">
        <v>100</v>
      </c>
      <c r="AE118" s="177" t="s">
        <v>103</v>
      </c>
      <c r="AF118" s="177" t="s">
        <v>215</v>
      </c>
      <c r="AG118" s="177" t="s">
        <v>14</v>
      </c>
      <c r="AH118" s="177" t="s">
        <v>241</v>
      </c>
      <c r="AI118" s="177" t="s">
        <v>147</v>
      </c>
      <c r="AJ118" s="177" t="s">
        <v>109</v>
      </c>
    </row>
    <row r="119" spans="1:36">
      <c r="A119" s="124" t="s">
        <v>45</v>
      </c>
      <c r="B119" s="130">
        <v>86380080.6938546</v>
      </c>
      <c r="U119" t="s">
        <v>233</v>
      </c>
      <c r="V119" s="134">
        <f>GETPIVOTDATA("Gifts",$J$106)</f>
        <v>48</v>
      </c>
      <c r="W119" s="134">
        <f>GETPIVOTDATA("Car club/Sponsor",$J$106)</f>
        <v>9</v>
      </c>
      <c r="X119" s="134">
        <f>GETPIVOTDATA("E mail",$J$106)</f>
        <v>37</v>
      </c>
      <c r="Y119" s="134">
        <f>GETPIVOTDATA("Google Adwords",$J$106)</f>
        <v>8859</v>
      </c>
      <c r="Z119" s="134">
        <f>GETPIVOTDATA("Facebook",$J$106)</f>
        <v>14815</v>
      </c>
      <c r="AA119" s="134">
        <f>GETPIVOTDATA("TV/Radio",$J$106)</f>
        <v>15</v>
      </c>
      <c r="AB119" s="134">
        <f>GETPIVOTDATA("Biển bảng/OOH",$J$106)</f>
        <v>149</v>
      </c>
      <c r="AC119" s="134">
        <f>GETPIVOTDATA("SMS",$J$106)</f>
        <v>202</v>
      </c>
      <c r="AD119" s="134">
        <f>GETPIVOTDATA("Online banner",$J$106)</f>
        <v>818</v>
      </c>
      <c r="AE119" s="134">
        <f>GETPIVOTDATA("Zalo",$J$106)</f>
        <v>1872</v>
      </c>
      <c r="AF119" s="134">
        <f>GETPIVOTDATA("Print Ads/ PR",$J$106)</f>
        <v>78</v>
      </c>
      <c r="AG119" s="134">
        <f>GETPIVOTDATA("Youtube",$J$106)</f>
        <v>512</v>
      </c>
      <c r="AH119" s="134">
        <f>GETPIVOTDATA("Sự kiện(lái thử/ roadshow)",$J$106)</f>
        <v>8603</v>
      </c>
      <c r="AI119" s="134">
        <f>GETPIVOTDATA("KH Showroom",$J$106)</f>
        <v>9688</v>
      </c>
      <c r="AJ119" s="134">
        <f>GETPIVOTDATA("Khác",$J$106)</f>
        <v>1748</v>
      </c>
    </row>
    <row r="120" spans="1:36">
      <c r="A120" s="124" t="s">
        <v>20</v>
      </c>
      <c r="B120" s="130">
        <v>146084940.82856399</v>
      </c>
      <c r="U120" t="s">
        <v>240</v>
      </c>
      <c r="V120" s="134">
        <f>GETPIVOTDATA("Gifts",$J$111)</f>
        <v>712.2</v>
      </c>
      <c r="W120" s="134">
        <f>GETPIVOTDATA("Car club/Sponsor",$J$111)</f>
        <v>48.9</v>
      </c>
      <c r="X120" s="134">
        <f>GETPIVOTDATA("E mail",$J$111)</f>
        <v>41.436999999999998</v>
      </c>
      <c r="Y120" s="134">
        <f>GETPIVOTDATA("Google Adwords",$J$111)</f>
        <v>4044.76</v>
      </c>
      <c r="Z120" s="134">
        <f>GETPIVOTDATA("Facebook",$J$111)</f>
        <v>5412.3450000000003</v>
      </c>
      <c r="AA120" s="134">
        <f>GETPIVOTDATA("TV/Radio",$J$111)</f>
        <v>12</v>
      </c>
      <c r="AB120" s="134">
        <f>GETPIVOTDATA("Biển bảng/ OOH",$J$111)</f>
        <v>1839.5499999999993</v>
      </c>
      <c r="AC120" s="134">
        <f>GETPIVOTDATA("SMS",$J$111)</f>
        <v>339.46300000000014</v>
      </c>
      <c r="AD120" s="134">
        <f>GETPIVOTDATA("Online banner",$J$111)</f>
        <v>1268.8389999999999</v>
      </c>
      <c r="AE120" s="134">
        <f>GETPIVOTDATA("Zalo",$J$111)</f>
        <v>518.11599999999999</v>
      </c>
      <c r="AF120" s="134">
        <f>GETPIVOTDATA("Print Ads/ PR",$J$111)</f>
        <v>378.4</v>
      </c>
      <c r="AG120" s="134">
        <f>GETPIVOTDATA("Youtube",$J$111)</f>
        <v>461.69</v>
      </c>
      <c r="AH120" s="134">
        <f>GETPIVOTDATA("Sự kiện(lái thử/ roadshow)",$J$111)</f>
        <v>6428.5150000000003</v>
      </c>
      <c r="AI120" s="134">
        <f>GETPIVOTDATA("KH Showroom",$J$111)</f>
        <v>115</v>
      </c>
      <c r="AJ120" s="134">
        <f>GETPIVOTDATA("Khác",$J$111)</f>
        <v>475.8</v>
      </c>
    </row>
    <row r="121" spans="1:36">
      <c r="A121" s="124" t="s">
        <v>54</v>
      </c>
      <c r="B121" s="130">
        <v>257038537.34974399</v>
      </c>
    </row>
    <row r="122" spans="1:36">
      <c r="A122" s="124" t="s">
        <v>86</v>
      </c>
      <c r="B122" s="130">
        <v>53287580.963663995</v>
      </c>
    </row>
    <row r="123" spans="1:36">
      <c r="A123" s="124" t="s">
        <v>50</v>
      </c>
      <c r="B123" s="130">
        <v>83852168.326169595</v>
      </c>
      <c r="W123"/>
    </row>
    <row r="124" spans="1:36">
      <c r="A124" s="124" t="s">
        <v>88</v>
      </c>
      <c r="B124" s="130">
        <v>41857496.264614403</v>
      </c>
      <c r="W124"/>
    </row>
    <row r="125" spans="1:36">
      <c r="A125" s="124" t="s">
        <v>33</v>
      </c>
      <c r="B125" s="130">
        <v>113240800.6881156</v>
      </c>
      <c r="W125"/>
    </row>
    <row r="126" spans="1:36">
      <c r="A126" s="124" t="s">
        <v>24</v>
      </c>
      <c r="B126" s="130">
        <v>20209158.659412801</v>
      </c>
      <c r="W126"/>
    </row>
    <row r="127" spans="1:36">
      <c r="A127" s="124" t="s">
        <v>92</v>
      </c>
      <c r="B127" s="130">
        <v>24779604.609463997</v>
      </c>
      <c r="W127"/>
    </row>
    <row r="128" spans="1:36">
      <c r="A128" s="124" t="s">
        <v>244</v>
      </c>
      <c r="B128" s="130"/>
      <c r="W128"/>
    </row>
    <row r="129" spans="1:25">
      <c r="A129" s="124" t="s">
        <v>143</v>
      </c>
      <c r="B129" s="130">
        <v>1867339032.8076589</v>
      </c>
      <c r="W129"/>
    </row>
    <row r="130" spans="1:25">
      <c r="W130"/>
    </row>
    <row r="131" spans="1:25">
      <c r="W131"/>
    </row>
    <row r="136" spans="1:25">
      <c r="W136"/>
    </row>
    <row r="137" spans="1:25">
      <c r="W137"/>
    </row>
    <row r="138" spans="1:25">
      <c r="W138"/>
    </row>
    <row r="139" spans="1:25">
      <c r="A139" s="123" t="s">
        <v>144</v>
      </c>
      <c r="B139" t="s">
        <v>220</v>
      </c>
      <c r="D139" s="123" t="s">
        <v>144</v>
      </c>
      <c r="E139" t="s">
        <v>222</v>
      </c>
    </row>
    <row r="140" spans="1:25">
      <c r="A140" s="124" t="s">
        <v>69</v>
      </c>
      <c r="B140" s="119">
        <v>67</v>
      </c>
      <c r="D140" s="124" t="s">
        <v>69</v>
      </c>
      <c r="E140" s="119">
        <v>4023.9087301587301</v>
      </c>
      <c r="J140" s="123" t="s">
        <v>144</v>
      </c>
      <c r="K140" s="262" t="s">
        <v>224</v>
      </c>
      <c r="L140" s="262" t="s">
        <v>217</v>
      </c>
      <c r="M140" s="262" t="s">
        <v>213</v>
      </c>
      <c r="N140" s="262" t="s">
        <v>101</v>
      </c>
      <c r="O140" s="262" t="s">
        <v>102</v>
      </c>
      <c r="P140" s="262" t="s">
        <v>148</v>
      </c>
      <c r="Q140" s="262" t="s">
        <v>106</v>
      </c>
      <c r="R140" s="262" t="s">
        <v>218</v>
      </c>
      <c r="S140" s="262" t="s">
        <v>100</v>
      </c>
      <c r="T140" s="262" t="s">
        <v>103</v>
      </c>
      <c r="U140" s="262" t="s">
        <v>215</v>
      </c>
      <c r="V140" s="262" t="s">
        <v>14</v>
      </c>
      <c r="W140" s="262" t="s">
        <v>212</v>
      </c>
      <c r="X140" s="262" t="s">
        <v>147</v>
      </c>
      <c r="Y140" s="262" t="s">
        <v>109</v>
      </c>
    </row>
    <row r="141" spans="1:25">
      <c r="A141" s="124" t="s">
        <v>36</v>
      </c>
      <c r="B141" s="119">
        <v>17</v>
      </c>
      <c r="D141" s="124" t="s">
        <v>36</v>
      </c>
      <c r="E141" s="119">
        <v>8228.181818181818</v>
      </c>
      <c r="J141" s="124" t="s">
        <v>69</v>
      </c>
      <c r="K141" s="261">
        <v>2</v>
      </c>
      <c r="L141" s="261"/>
      <c r="M141" s="261">
        <v>1.5</v>
      </c>
      <c r="N141" s="261">
        <v>91</v>
      </c>
      <c r="O141" s="261">
        <v>92</v>
      </c>
      <c r="P141" s="261"/>
      <c r="Q141" s="261">
        <v>298</v>
      </c>
      <c r="R141" s="261">
        <v>17.5</v>
      </c>
      <c r="S141" s="261">
        <v>12</v>
      </c>
      <c r="T141" s="261">
        <v>2</v>
      </c>
      <c r="U141" s="261">
        <v>12</v>
      </c>
      <c r="V141" s="261"/>
      <c r="W141" s="261">
        <v>143</v>
      </c>
      <c r="X141" s="261"/>
      <c r="Y141" s="261">
        <v>30.5</v>
      </c>
    </row>
    <row r="142" spans="1:25">
      <c r="A142" s="124" t="s">
        <v>149</v>
      </c>
      <c r="B142" s="119">
        <v>83</v>
      </c>
      <c r="D142" s="124" t="s">
        <v>149</v>
      </c>
      <c r="E142" s="119">
        <v>4242.6862561641801</v>
      </c>
      <c r="J142" s="124" t="s">
        <v>36</v>
      </c>
      <c r="K142" s="261">
        <v>1</v>
      </c>
      <c r="L142" s="261"/>
      <c r="M142" s="261"/>
      <c r="N142" s="261">
        <v>90</v>
      </c>
      <c r="O142" s="261">
        <v>207.57999999999998</v>
      </c>
      <c r="P142" s="261"/>
      <c r="Q142" s="261"/>
      <c r="R142" s="261">
        <v>0.57999999999999996</v>
      </c>
      <c r="S142" s="261">
        <v>7.27</v>
      </c>
      <c r="T142" s="261"/>
      <c r="U142" s="261">
        <v>1.82</v>
      </c>
      <c r="V142" s="261"/>
      <c r="W142" s="261">
        <v>19.329999999999998</v>
      </c>
      <c r="X142" s="261"/>
      <c r="Y142" s="261"/>
    </row>
    <row r="143" spans="1:25">
      <c r="A143" s="124" t="s">
        <v>90</v>
      </c>
      <c r="B143" s="119">
        <v>56</v>
      </c>
      <c r="D143" s="124" t="s">
        <v>90</v>
      </c>
      <c r="E143" s="119">
        <v>12518.518518518518</v>
      </c>
      <c r="J143" s="124" t="s">
        <v>149</v>
      </c>
      <c r="K143" s="261">
        <v>4</v>
      </c>
      <c r="L143" s="261"/>
      <c r="M143" s="261"/>
      <c r="N143" s="261">
        <v>330</v>
      </c>
      <c r="O143" s="261">
        <v>255</v>
      </c>
      <c r="P143" s="261"/>
      <c r="Q143" s="261">
        <v>210</v>
      </c>
      <c r="R143" s="261">
        <v>44</v>
      </c>
      <c r="S143" s="261">
        <v>89</v>
      </c>
      <c r="T143" s="261">
        <v>16</v>
      </c>
      <c r="U143" s="261"/>
      <c r="V143" s="261">
        <v>62</v>
      </c>
      <c r="W143" s="261">
        <v>320</v>
      </c>
      <c r="X143" s="261">
        <v>50</v>
      </c>
      <c r="Y143" s="261">
        <v>12</v>
      </c>
    </row>
    <row r="144" spans="1:25">
      <c r="A144" s="124" t="s">
        <v>79</v>
      </c>
      <c r="B144" s="119">
        <v>56</v>
      </c>
      <c r="D144" s="124" t="s">
        <v>79</v>
      </c>
      <c r="E144" s="119">
        <v>7275.4629629629635</v>
      </c>
      <c r="J144" s="124" t="s">
        <v>90</v>
      </c>
      <c r="K144" s="261"/>
      <c r="L144" s="261"/>
      <c r="M144" s="261"/>
      <c r="N144" s="261">
        <v>85.6</v>
      </c>
      <c r="O144" s="261">
        <v>378.4</v>
      </c>
      <c r="P144" s="261"/>
      <c r="Q144" s="261">
        <v>85</v>
      </c>
      <c r="R144" s="261">
        <v>31.6</v>
      </c>
      <c r="S144" s="261"/>
      <c r="T144" s="261">
        <v>19</v>
      </c>
      <c r="U144" s="261"/>
      <c r="V144" s="261">
        <v>12</v>
      </c>
      <c r="W144" s="261">
        <v>238.39999999999998</v>
      </c>
      <c r="X144" s="261"/>
      <c r="Y144" s="261">
        <v>2</v>
      </c>
    </row>
    <row r="145" spans="1:25">
      <c r="A145" s="124" t="s">
        <v>60</v>
      </c>
      <c r="B145" s="119">
        <v>78</v>
      </c>
      <c r="D145" s="124" t="s">
        <v>60</v>
      </c>
      <c r="E145" s="119">
        <v>5429.375067883132</v>
      </c>
      <c r="J145" s="124" t="s">
        <v>79</v>
      </c>
      <c r="K145" s="261"/>
      <c r="L145" s="261"/>
      <c r="M145" s="261">
        <v>12</v>
      </c>
      <c r="N145" s="261">
        <v>84</v>
      </c>
      <c r="O145" s="261">
        <v>125</v>
      </c>
      <c r="P145" s="261"/>
      <c r="Q145" s="261">
        <v>46</v>
      </c>
      <c r="R145" s="261">
        <v>8</v>
      </c>
      <c r="S145" s="261">
        <v>31</v>
      </c>
      <c r="T145" s="261">
        <v>9</v>
      </c>
      <c r="U145" s="261"/>
      <c r="V145" s="261">
        <v>7</v>
      </c>
      <c r="W145" s="261">
        <v>118</v>
      </c>
      <c r="X145" s="261"/>
      <c r="Y145" s="261"/>
    </row>
    <row r="146" spans="1:25">
      <c r="A146" s="124" t="s">
        <v>57</v>
      </c>
      <c r="B146" s="119">
        <v>57</v>
      </c>
      <c r="D146" s="124" t="s">
        <v>57</v>
      </c>
      <c r="E146" s="119">
        <v>12020.111832611836</v>
      </c>
      <c r="J146" s="124" t="s">
        <v>60</v>
      </c>
      <c r="K146" s="261">
        <v>2</v>
      </c>
      <c r="L146" s="261"/>
      <c r="M146" s="261"/>
      <c r="N146" s="261">
        <v>138</v>
      </c>
      <c r="O146" s="261">
        <v>138</v>
      </c>
      <c r="P146" s="261">
        <v>4</v>
      </c>
      <c r="Q146" s="261">
        <v>157</v>
      </c>
      <c r="R146" s="261">
        <v>10</v>
      </c>
      <c r="S146" s="261">
        <v>56</v>
      </c>
      <c r="T146" s="261">
        <v>44</v>
      </c>
      <c r="U146" s="261">
        <v>81</v>
      </c>
      <c r="V146" s="261"/>
      <c r="W146" s="261">
        <v>317</v>
      </c>
      <c r="X146" s="261"/>
      <c r="Y146" s="261">
        <v>25</v>
      </c>
    </row>
    <row r="147" spans="1:25">
      <c r="A147" s="124" t="s">
        <v>66</v>
      </c>
      <c r="B147" s="119">
        <v>62</v>
      </c>
      <c r="D147" s="124" t="s">
        <v>66</v>
      </c>
      <c r="E147" s="119">
        <v>4245.3252765752768</v>
      </c>
      <c r="J147" s="124" t="s">
        <v>57</v>
      </c>
      <c r="K147" s="261">
        <v>2</v>
      </c>
      <c r="L147" s="261">
        <v>20</v>
      </c>
      <c r="M147" s="261"/>
      <c r="N147" s="261">
        <v>230</v>
      </c>
      <c r="O147" s="261">
        <v>159</v>
      </c>
      <c r="P147" s="261"/>
      <c r="Q147" s="261"/>
      <c r="R147" s="261">
        <v>4.25</v>
      </c>
      <c r="S147" s="261">
        <v>30</v>
      </c>
      <c r="T147" s="261">
        <v>29</v>
      </c>
      <c r="U147" s="261">
        <v>55</v>
      </c>
      <c r="V147" s="261"/>
      <c r="W147" s="261">
        <v>582</v>
      </c>
      <c r="X147" s="261"/>
      <c r="Y147" s="261">
        <v>14</v>
      </c>
    </row>
    <row r="148" spans="1:25">
      <c r="A148" s="124" t="s">
        <v>82</v>
      </c>
      <c r="B148" s="119">
        <v>74</v>
      </c>
      <c r="D148" s="124" t="s">
        <v>82</v>
      </c>
      <c r="E148" s="119">
        <v>5026.6324779339657</v>
      </c>
      <c r="J148" s="124" t="s">
        <v>66</v>
      </c>
      <c r="K148" s="261"/>
      <c r="L148" s="261"/>
      <c r="M148" s="261"/>
      <c r="N148" s="261">
        <v>220</v>
      </c>
      <c r="O148" s="261">
        <v>214</v>
      </c>
      <c r="P148" s="261"/>
      <c r="Q148" s="261">
        <v>76.799999999999983</v>
      </c>
      <c r="R148" s="261">
        <v>10</v>
      </c>
      <c r="S148" s="261">
        <v>198</v>
      </c>
      <c r="T148" s="261">
        <v>10</v>
      </c>
      <c r="U148" s="261"/>
      <c r="V148" s="261">
        <v>10</v>
      </c>
      <c r="W148" s="261">
        <v>27</v>
      </c>
      <c r="X148" s="261"/>
      <c r="Y148" s="261"/>
    </row>
    <row r="149" spans="1:25">
      <c r="A149" s="124" t="s">
        <v>48</v>
      </c>
      <c r="B149" s="119">
        <v>56</v>
      </c>
      <c r="D149" s="124" t="s">
        <v>48</v>
      </c>
      <c r="E149" s="119">
        <v>9286.55725674108</v>
      </c>
      <c r="J149" s="124" t="s">
        <v>82</v>
      </c>
      <c r="K149" s="261">
        <v>1</v>
      </c>
      <c r="L149" s="261"/>
      <c r="M149" s="261">
        <v>18</v>
      </c>
      <c r="N149" s="261">
        <v>83</v>
      </c>
      <c r="O149" s="261">
        <v>166</v>
      </c>
      <c r="P149" s="261"/>
      <c r="Q149" s="261">
        <v>128</v>
      </c>
      <c r="R149" s="261">
        <v>26.2</v>
      </c>
      <c r="S149" s="261">
        <v>27</v>
      </c>
      <c r="T149" s="261">
        <v>41</v>
      </c>
      <c r="U149" s="261"/>
      <c r="V149" s="261">
        <v>19</v>
      </c>
      <c r="W149" s="261">
        <v>260</v>
      </c>
      <c r="X149" s="261"/>
      <c r="Y149" s="261">
        <v>20</v>
      </c>
    </row>
    <row r="150" spans="1:25">
      <c r="A150" s="124" t="s">
        <v>76</v>
      </c>
      <c r="B150" s="119">
        <v>47</v>
      </c>
      <c r="D150" s="124" t="s">
        <v>76</v>
      </c>
      <c r="E150" s="119">
        <v>5063.0125661375669</v>
      </c>
      <c r="J150" s="124" t="s">
        <v>48</v>
      </c>
      <c r="K150" s="261"/>
      <c r="L150" s="261"/>
      <c r="M150" s="261">
        <v>1</v>
      </c>
      <c r="N150" s="261">
        <v>162</v>
      </c>
      <c r="O150" s="261">
        <v>304</v>
      </c>
      <c r="P150" s="261"/>
      <c r="Q150" s="261">
        <v>3</v>
      </c>
      <c r="R150" s="261">
        <v>15</v>
      </c>
      <c r="S150" s="261">
        <v>111</v>
      </c>
      <c r="T150" s="261">
        <v>11</v>
      </c>
      <c r="U150" s="261">
        <v>6</v>
      </c>
      <c r="V150" s="261">
        <v>32</v>
      </c>
      <c r="W150" s="261">
        <v>97</v>
      </c>
      <c r="X150" s="261"/>
      <c r="Y150" s="261"/>
    </row>
    <row r="151" spans="1:25">
      <c r="A151" s="124" t="s">
        <v>27</v>
      </c>
      <c r="B151" s="119">
        <v>52</v>
      </c>
      <c r="D151" s="124" t="s">
        <v>27</v>
      </c>
      <c r="E151" s="119">
        <v>5143.6640211640206</v>
      </c>
      <c r="J151" s="124" t="s">
        <v>76</v>
      </c>
      <c r="K151" s="261">
        <v>1</v>
      </c>
      <c r="L151" s="261"/>
      <c r="M151" s="261"/>
      <c r="N151" s="261">
        <v>145</v>
      </c>
      <c r="O151" s="261">
        <v>157</v>
      </c>
      <c r="P151" s="261"/>
      <c r="Q151" s="261">
        <v>25</v>
      </c>
      <c r="R151" s="261">
        <v>2.2000000000000002</v>
      </c>
      <c r="S151" s="261">
        <v>7</v>
      </c>
      <c r="T151" s="261">
        <v>12</v>
      </c>
      <c r="U151" s="261">
        <v>40</v>
      </c>
      <c r="V151" s="261">
        <v>9</v>
      </c>
      <c r="W151" s="261">
        <v>266</v>
      </c>
      <c r="X151" s="261"/>
      <c r="Y151" s="261"/>
    </row>
    <row r="152" spans="1:25">
      <c r="A152" s="124" t="s">
        <v>73</v>
      </c>
      <c r="B152" s="119">
        <v>72</v>
      </c>
      <c r="D152" s="124" t="s">
        <v>73</v>
      </c>
      <c r="E152" s="119">
        <v>7547.0339505265974</v>
      </c>
      <c r="J152" s="124" t="s">
        <v>27</v>
      </c>
      <c r="K152" s="261"/>
      <c r="L152" s="261"/>
      <c r="M152" s="261"/>
      <c r="N152" s="261">
        <v>290</v>
      </c>
      <c r="O152" s="261">
        <v>175.8</v>
      </c>
      <c r="P152" s="261"/>
      <c r="Q152" s="261">
        <v>118</v>
      </c>
      <c r="R152" s="261">
        <v>7.5</v>
      </c>
      <c r="S152" s="261">
        <v>17</v>
      </c>
      <c r="T152" s="261">
        <v>6.4</v>
      </c>
      <c r="U152" s="261">
        <v>4</v>
      </c>
      <c r="V152" s="261">
        <v>25</v>
      </c>
      <c r="W152" s="261">
        <v>181.7</v>
      </c>
      <c r="X152" s="261"/>
      <c r="Y152" s="261"/>
    </row>
    <row r="153" spans="1:25">
      <c r="A153" s="124" t="s">
        <v>30</v>
      </c>
      <c r="B153" s="119">
        <v>49</v>
      </c>
      <c r="D153" s="124" t="s">
        <v>30</v>
      </c>
      <c r="E153" s="119">
        <v>11168.957431457433</v>
      </c>
      <c r="J153" s="124" t="s">
        <v>73</v>
      </c>
      <c r="K153" s="261">
        <v>1</v>
      </c>
      <c r="L153" s="261"/>
      <c r="M153" s="261"/>
      <c r="N153" s="261">
        <v>119</v>
      </c>
      <c r="O153" s="261">
        <v>203</v>
      </c>
      <c r="P153" s="261"/>
      <c r="Q153" s="261">
        <v>14</v>
      </c>
      <c r="R153" s="261">
        <v>10</v>
      </c>
      <c r="S153" s="261">
        <v>33.299999999999997</v>
      </c>
      <c r="T153" s="261">
        <v>36</v>
      </c>
      <c r="U153" s="261"/>
      <c r="V153" s="261">
        <v>13</v>
      </c>
      <c r="W153" s="261">
        <v>306</v>
      </c>
      <c r="X153" s="261">
        <v>3</v>
      </c>
      <c r="Y153" s="261">
        <v>5</v>
      </c>
    </row>
    <row r="154" spans="1:25">
      <c r="A154" s="124" t="s">
        <v>85</v>
      </c>
      <c r="B154" s="119">
        <v>36</v>
      </c>
      <c r="D154" s="124" t="s">
        <v>85</v>
      </c>
      <c r="E154" s="119">
        <v>2674.7729476405948</v>
      </c>
      <c r="J154" s="124" t="s">
        <v>30</v>
      </c>
      <c r="K154" s="261"/>
      <c r="L154" s="261"/>
      <c r="M154" s="261"/>
      <c r="N154" s="261">
        <v>188</v>
      </c>
      <c r="O154" s="261">
        <v>232</v>
      </c>
      <c r="P154" s="261"/>
      <c r="Q154" s="261">
        <v>3.75</v>
      </c>
      <c r="R154" s="261">
        <v>6.3999999999999995</v>
      </c>
      <c r="S154" s="261">
        <v>121</v>
      </c>
      <c r="T154" s="261">
        <v>24</v>
      </c>
      <c r="U154" s="261"/>
      <c r="V154" s="261">
        <v>5</v>
      </c>
      <c r="W154" s="261">
        <v>188.55</v>
      </c>
      <c r="X154" s="261"/>
      <c r="Y154" s="261"/>
    </row>
    <row r="155" spans="1:25">
      <c r="A155" s="124" t="s">
        <v>45</v>
      </c>
      <c r="B155" s="119">
        <v>54</v>
      </c>
      <c r="D155" s="124" t="s">
        <v>45</v>
      </c>
      <c r="E155" s="119">
        <v>24785.624098124099</v>
      </c>
      <c r="J155" s="124" t="s">
        <v>85</v>
      </c>
      <c r="K155" s="261"/>
      <c r="L155" s="261"/>
      <c r="M155" s="261"/>
      <c r="N155" s="261">
        <v>65.5</v>
      </c>
      <c r="O155" s="261">
        <v>203.5</v>
      </c>
      <c r="P155" s="261"/>
      <c r="Q155" s="261"/>
      <c r="R155" s="261">
        <v>0.09</v>
      </c>
      <c r="S155" s="261">
        <v>8.5</v>
      </c>
      <c r="T155" s="261"/>
      <c r="U155" s="261"/>
      <c r="V155" s="261"/>
      <c r="W155" s="261">
        <v>50.2</v>
      </c>
      <c r="X155" s="261">
        <v>7</v>
      </c>
      <c r="Y155" s="261">
        <v>2</v>
      </c>
    </row>
    <row r="156" spans="1:25">
      <c r="A156" s="124" t="s">
        <v>20</v>
      </c>
      <c r="B156" s="119">
        <v>98</v>
      </c>
      <c r="D156" s="124" t="s">
        <v>20</v>
      </c>
      <c r="E156" s="119">
        <v>12435.355646209633</v>
      </c>
      <c r="J156" s="124" t="s">
        <v>45</v>
      </c>
      <c r="K156" s="261">
        <v>1</v>
      </c>
      <c r="L156" s="261"/>
      <c r="M156" s="261">
        <v>5</v>
      </c>
      <c r="N156" s="261">
        <v>304.60000000000002</v>
      </c>
      <c r="O156" s="261">
        <v>644.79999999999995</v>
      </c>
      <c r="P156" s="261"/>
      <c r="Q156" s="261">
        <v>15</v>
      </c>
      <c r="R156" s="261">
        <v>23</v>
      </c>
      <c r="S156" s="261">
        <v>141.69999999999999</v>
      </c>
      <c r="T156" s="261">
        <v>8</v>
      </c>
      <c r="U156" s="261"/>
      <c r="V156" s="261">
        <v>86.7</v>
      </c>
      <c r="W156" s="261">
        <v>124</v>
      </c>
      <c r="X156" s="261"/>
      <c r="Y156" s="261">
        <v>5</v>
      </c>
    </row>
    <row r="157" spans="1:25">
      <c r="A157" s="124" t="s">
        <v>54</v>
      </c>
      <c r="B157" s="119">
        <v>75</v>
      </c>
      <c r="D157" s="124" t="s">
        <v>54</v>
      </c>
      <c r="E157" s="119">
        <v>5524.7346029036171</v>
      </c>
      <c r="J157" s="124" t="s">
        <v>20</v>
      </c>
      <c r="K157" s="261">
        <v>8</v>
      </c>
      <c r="L157" s="261">
        <v>28.9</v>
      </c>
      <c r="M157" s="261">
        <v>3</v>
      </c>
      <c r="N157" s="261">
        <v>580</v>
      </c>
      <c r="O157" s="261">
        <v>376</v>
      </c>
      <c r="P157" s="261"/>
      <c r="Q157" s="261">
        <v>264</v>
      </c>
      <c r="R157" s="261">
        <v>15.643000000000001</v>
      </c>
      <c r="S157" s="261">
        <v>169</v>
      </c>
      <c r="T157" s="261">
        <v>12</v>
      </c>
      <c r="U157" s="261">
        <v>80</v>
      </c>
      <c r="V157" s="261">
        <v>64</v>
      </c>
      <c r="W157" s="261">
        <v>1224.3250000000003</v>
      </c>
      <c r="X157" s="261"/>
      <c r="Y157" s="261">
        <v>79</v>
      </c>
    </row>
    <row r="158" spans="1:25">
      <c r="A158" s="124" t="s">
        <v>86</v>
      </c>
      <c r="B158" s="119">
        <v>69</v>
      </c>
      <c r="D158" s="124" t="s">
        <v>86</v>
      </c>
      <c r="E158" s="119">
        <v>7547.6521164021151</v>
      </c>
      <c r="J158" s="124" t="s">
        <v>54</v>
      </c>
      <c r="K158" s="261">
        <v>1</v>
      </c>
      <c r="L158" s="261"/>
      <c r="M158" s="261"/>
      <c r="N158" s="261">
        <v>57</v>
      </c>
      <c r="O158" s="261">
        <v>263</v>
      </c>
      <c r="P158" s="261"/>
      <c r="Q158" s="261">
        <v>59</v>
      </c>
      <c r="R158" s="261">
        <v>15</v>
      </c>
      <c r="S158" s="261">
        <v>75</v>
      </c>
      <c r="T158" s="261">
        <v>93</v>
      </c>
      <c r="U158" s="261">
        <v>7</v>
      </c>
      <c r="V158" s="261"/>
      <c r="W158" s="261">
        <v>593</v>
      </c>
      <c r="X158" s="261">
        <v>55</v>
      </c>
      <c r="Y158" s="261">
        <v>40</v>
      </c>
    </row>
    <row r="159" spans="1:25">
      <c r="A159" s="124" t="s">
        <v>50</v>
      </c>
      <c r="B159" s="119">
        <v>69</v>
      </c>
      <c r="D159" s="124" t="s">
        <v>50</v>
      </c>
      <c r="E159" s="119">
        <v>14502.239408101477</v>
      </c>
      <c r="J159" s="124" t="s">
        <v>86</v>
      </c>
      <c r="K159" s="261">
        <v>4</v>
      </c>
      <c r="L159" s="261"/>
      <c r="M159" s="261"/>
      <c r="N159" s="261">
        <v>152</v>
      </c>
      <c r="O159" s="261">
        <v>137</v>
      </c>
      <c r="P159" s="261"/>
      <c r="Q159" s="261">
        <v>89</v>
      </c>
      <c r="R159" s="261">
        <v>26</v>
      </c>
      <c r="S159" s="261">
        <v>17</v>
      </c>
      <c r="T159" s="261">
        <v>18</v>
      </c>
      <c r="U159" s="261">
        <v>3</v>
      </c>
      <c r="V159" s="261">
        <v>19</v>
      </c>
      <c r="W159" s="261">
        <v>238</v>
      </c>
      <c r="X159" s="261"/>
      <c r="Y159" s="261">
        <v>10</v>
      </c>
    </row>
    <row r="160" spans="1:25">
      <c r="A160" s="124" t="s">
        <v>88</v>
      </c>
      <c r="B160" s="119">
        <v>78</v>
      </c>
      <c r="D160" s="124" t="s">
        <v>88</v>
      </c>
      <c r="E160" s="119">
        <v>6648.4660894660892</v>
      </c>
      <c r="J160" s="124" t="s">
        <v>50</v>
      </c>
      <c r="K160" s="261">
        <v>1</v>
      </c>
      <c r="L160" s="261"/>
      <c r="M160" s="261"/>
      <c r="N160" s="261">
        <v>166.8</v>
      </c>
      <c r="O160" s="261">
        <v>118.99999999999999</v>
      </c>
      <c r="P160" s="261"/>
      <c r="Q160" s="261">
        <v>45</v>
      </c>
      <c r="R160" s="261">
        <v>25.91</v>
      </c>
      <c r="S160" s="261">
        <v>27.2</v>
      </c>
      <c r="T160" s="261">
        <v>45</v>
      </c>
      <c r="U160" s="261">
        <v>11</v>
      </c>
      <c r="V160" s="261"/>
      <c r="W160" s="261">
        <v>324.7</v>
      </c>
      <c r="X160" s="261"/>
      <c r="Y160" s="261">
        <v>139</v>
      </c>
    </row>
    <row r="161" spans="1:25">
      <c r="A161" s="124" t="s">
        <v>33</v>
      </c>
      <c r="B161" s="119">
        <v>38</v>
      </c>
      <c r="D161" s="124" t="s">
        <v>33</v>
      </c>
      <c r="E161" s="119">
        <v>6618.415244885834</v>
      </c>
      <c r="J161" s="124" t="s">
        <v>88</v>
      </c>
      <c r="K161" s="261">
        <v>3</v>
      </c>
      <c r="L161" s="261"/>
      <c r="M161" s="261"/>
      <c r="N161" s="261">
        <v>181.2</v>
      </c>
      <c r="O161" s="261">
        <v>241.1</v>
      </c>
      <c r="P161" s="261"/>
      <c r="Q161" s="261">
        <v>84</v>
      </c>
      <c r="R161" s="261">
        <v>9</v>
      </c>
      <c r="S161" s="261">
        <v>63.5</v>
      </c>
      <c r="T161" s="261">
        <v>42</v>
      </c>
      <c r="U161" s="261">
        <v>24</v>
      </c>
      <c r="V161" s="261">
        <v>36.99</v>
      </c>
      <c r="W161" s="261">
        <v>144</v>
      </c>
      <c r="X161" s="261"/>
      <c r="Y161" s="261"/>
    </row>
    <row r="162" spans="1:25">
      <c r="A162" s="124" t="s">
        <v>24</v>
      </c>
      <c r="B162" s="119">
        <v>58</v>
      </c>
      <c r="D162" s="124" t="s">
        <v>24</v>
      </c>
      <c r="E162" s="119">
        <v>11379.261904761906</v>
      </c>
      <c r="J162" s="124" t="s">
        <v>33</v>
      </c>
      <c r="K162" s="261"/>
      <c r="L162" s="261"/>
      <c r="M162" s="261"/>
      <c r="N162" s="261">
        <v>204</v>
      </c>
      <c r="O162" s="261">
        <v>280</v>
      </c>
      <c r="P162" s="261">
        <v>8</v>
      </c>
      <c r="Q162" s="261">
        <v>75</v>
      </c>
      <c r="R162" s="261">
        <v>6</v>
      </c>
      <c r="S162" s="261">
        <v>6</v>
      </c>
      <c r="T162" s="261">
        <v>3</v>
      </c>
      <c r="U162" s="261">
        <v>26</v>
      </c>
      <c r="V162" s="261">
        <v>29</v>
      </c>
      <c r="W162" s="261">
        <v>170</v>
      </c>
      <c r="X162" s="261"/>
      <c r="Y162" s="261"/>
    </row>
    <row r="163" spans="1:25">
      <c r="A163" s="124" t="s">
        <v>92</v>
      </c>
      <c r="B163" s="119">
        <v>66</v>
      </c>
      <c r="D163" s="124" t="s">
        <v>92</v>
      </c>
      <c r="E163" s="119">
        <v>14184.821428571429</v>
      </c>
      <c r="J163" s="124" t="s">
        <v>24</v>
      </c>
      <c r="K163" s="261">
        <v>3</v>
      </c>
      <c r="L163" s="261"/>
      <c r="M163" s="261">
        <v>0.93700000000000006</v>
      </c>
      <c r="N163" s="261">
        <v>18.059999999999999</v>
      </c>
      <c r="O163" s="261">
        <v>271.76499999999999</v>
      </c>
      <c r="P163" s="261"/>
      <c r="Q163" s="261">
        <v>27</v>
      </c>
      <c r="R163" s="261">
        <v>8.59</v>
      </c>
      <c r="S163" s="261">
        <v>15.369</v>
      </c>
      <c r="T163" s="261">
        <v>10.215999999999999</v>
      </c>
      <c r="U163" s="261">
        <v>27.58</v>
      </c>
      <c r="V163" s="261">
        <v>25</v>
      </c>
      <c r="W163" s="261">
        <v>72.31</v>
      </c>
      <c r="X163" s="261"/>
      <c r="Y163" s="261">
        <v>57.3</v>
      </c>
    </row>
    <row r="164" spans="1:25">
      <c r="A164" s="124" t="s">
        <v>244</v>
      </c>
      <c r="B164" s="119"/>
      <c r="D164" s="124" t="s">
        <v>244</v>
      </c>
      <c r="E164" s="119"/>
      <c r="J164" s="124" t="s">
        <v>92</v>
      </c>
      <c r="K164" s="261"/>
      <c r="L164" s="261"/>
      <c r="M164" s="261"/>
      <c r="N164" s="261">
        <v>60</v>
      </c>
      <c r="O164" s="261">
        <v>69.400000000000006</v>
      </c>
      <c r="P164" s="261"/>
      <c r="Q164" s="261">
        <v>17</v>
      </c>
      <c r="R164" s="261">
        <v>17</v>
      </c>
      <c r="S164" s="261">
        <v>6</v>
      </c>
      <c r="T164" s="261">
        <v>27.5</v>
      </c>
      <c r="U164" s="261"/>
      <c r="V164" s="261">
        <v>7</v>
      </c>
      <c r="W164" s="261">
        <v>424</v>
      </c>
      <c r="X164" s="261"/>
      <c r="Y164" s="261">
        <v>35</v>
      </c>
    </row>
    <row r="165" spans="1:25">
      <c r="A165" s="124" t="s">
        <v>143</v>
      </c>
      <c r="B165" s="129">
        <v>1467</v>
      </c>
      <c r="D165" s="124" t="s">
        <v>143</v>
      </c>
      <c r="E165" s="128">
        <v>8700.214778747988</v>
      </c>
      <c r="J165" s="124" t="s">
        <v>244</v>
      </c>
      <c r="K165" s="261"/>
      <c r="L165" s="261"/>
      <c r="M165" s="261"/>
      <c r="N165" s="261"/>
      <c r="O165" s="261"/>
      <c r="P165" s="261"/>
      <c r="Q165" s="261"/>
      <c r="R165" s="261"/>
      <c r="S165" s="261"/>
      <c r="T165" s="261"/>
      <c r="U165" s="261"/>
      <c r="V165" s="261"/>
      <c r="W165" s="261"/>
      <c r="X165" s="261"/>
      <c r="Y165" s="261"/>
    </row>
    <row r="166" spans="1:25">
      <c r="J166" s="124" t="s">
        <v>143</v>
      </c>
      <c r="K166" s="261">
        <v>35</v>
      </c>
      <c r="L166" s="261">
        <v>48.9</v>
      </c>
      <c r="M166" s="261">
        <v>41.436999999999998</v>
      </c>
      <c r="N166" s="261">
        <v>4044.7600000000007</v>
      </c>
      <c r="O166" s="261">
        <v>5412.3450000000003</v>
      </c>
      <c r="P166" s="261">
        <v>12</v>
      </c>
      <c r="Q166" s="261">
        <v>1839.5500000000002</v>
      </c>
      <c r="R166" s="261">
        <v>339.46300000000002</v>
      </c>
      <c r="S166" s="261">
        <v>1268.8389999999999</v>
      </c>
      <c r="T166" s="261">
        <v>518.11599999999999</v>
      </c>
      <c r="U166" s="261">
        <v>378.4</v>
      </c>
      <c r="V166" s="261">
        <v>461.69</v>
      </c>
      <c r="W166" s="261">
        <v>6428.5150000000003</v>
      </c>
      <c r="X166" s="261">
        <v>115</v>
      </c>
      <c r="Y166" s="261">
        <v>475.8</v>
      </c>
    </row>
    <row r="167" spans="1:25">
      <c r="W167"/>
    </row>
    <row r="168" spans="1:25">
      <c r="W168"/>
    </row>
    <row r="173" spans="1:25">
      <c r="A173" s="123" t="s">
        <v>144</v>
      </c>
      <c r="B173" s="262" t="s">
        <v>172</v>
      </c>
      <c r="C173" s="262" t="s">
        <v>242</v>
      </c>
    </row>
    <row r="174" spans="1:25">
      <c r="A174" s="124">
        <v>1</v>
      </c>
      <c r="B174" s="119">
        <v>206</v>
      </c>
      <c r="C174" s="127">
        <v>7.2204696810375044E-2</v>
      </c>
    </row>
    <row r="175" spans="1:25">
      <c r="A175" s="178" t="s">
        <v>69</v>
      </c>
      <c r="B175" s="119">
        <v>8</v>
      </c>
      <c r="C175" s="127">
        <v>7.3394495412844041E-2</v>
      </c>
    </row>
    <row r="176" spans="1:25">
      <c r="A176" s="178" t="s">
        <v>36</v>
      </c>
      <c r="B176" s="119">
        <v>0</v>
      </c>
      <c r="C176" s="127" t="e">
        <v>#DIV/0!</v>
      </c>
    </row>
    <row r="177" spans="1:3">
      <c r="A177" s="178" t="s">
        <v>149</v>
      </c>
      <c r="B177" s="119">
        <v>23</v>
      </c>
      <c r="C177" s="127">
        <v>0.10849056603773585</v>
      </c>
    </row>
    <row r="178" spans="1:3">
      <c r="A178" s="178" t="s">
        <v>90</v>
      </c>
      <c r="B178" s="119">
        <v>3</v>
      </c>
      <c r="C178" s="127">
        <v>2.4793388429752067E-2</v>
      </c>
    </row>
    <row r="179" spans="1:3">
      <c r="A179" s="178" t="s">
        <v>79</v>
      </c>
      <c r="B179" s="119">
        <v>1</v>
      </c>
      <c r="C179" s="127">
        <v>1.7543859649122806E-2</v>
      </c>
    </row>
    <row r="180" spans="1:3">
      <c r="A180" s="178" t="s">
        <v>60</v>
      </c>
      <c r="B180" s="119">
        <v>10</v>
      </c>
      <c r="C180" s="127">
        <v>4.975124378109453E-2</v>
      </c>
    </row>
    <row r="181" spans="1:3">
      <c r="A181" s="178" t="s">
        <v>57</v>
      </c>
      <c r="B181" s="119">
        <v>3</v>
      </c>
      <c r="C181" s="127">
        <v>5.0847457627118647E-2</v>
      </c>
    </row>
    <row r="182" spans="1:3">
      <c r="A182" s="178" t="s">
        <v>66</v>
      </c>
      <c r="B182" s="119">
        <v>18</v>
      </c>
      <c r="C182" s="127">
        <v>0.11180124223602485</v>
      </c>
    </row>
    <row r="183" spans="1:3">
      <c r="A183" s="178" t="s">
        <v>82</v>
      </c>
      <c r="B183" s="119">
        <v>20</v>
      </c>
      <c r="C183" s="127">
        <v>0.10152284263959391</v>
      </c>
    </row>
    <row r="184" spans="1:3">
      <c r="A184" s="178" t="s">
        <v>48</v>
      </c>
      <c r="B184" s="119">
        <v>4</v>
      </c>
      <c r="C184" s="127">
        <v>1.680672268907563E-2</v>
      </c>
    </row>
    <row r="185" spans="1:3">
      <c r="A185" s="178" t="s">
        <v>76</v>
      </c>
      <c r="B185" s="119">
        <v>7</v>
      </c>
      <c r="C185" s="127">
        <v>0.12962962962962962</v>
      </c>
    </row>
    <row r="186" spans="1:3">
      <c r="A186" s="178" t="s">
        <v>27</v>
      </c>
      <c r="B186" s="119">
        <v>1</v>
      </c>
      <c r="C186" s="127">
        <v>9.7087378640776691E-3</v>
      </c>
    </row>
    <row r="187" spans="1:3">
      <c r="A187" s="178" t="s">
        <v>73</v>
      </c>
      <c r="B187" s="119">
        <v>5</v>
      </c>
      <c r="C187" s="127">
        <v>6.097560975609756E-2</v>
      </c>
    </row>
    <row r="188" spans="1:3">
      <c r="A188" s="178" t="s">
        <v>30</v>
      </c>
      <c r="B188" s="119">
        <v>0</v>
      </c>
      <c r="C188" s="127" t="e">
        <v>#DIV/0!</v>
      </c>
    </row>
    <row r="189" spans="1:3">
      <c r="A189" s="178" t="s">
        <v>85</v>
      </c>
      <c r="B189" s="119">
        <v>17</v>
      </c>
      <c r="C189" s="127">
        <v>0.22666666666666666</v>
      </c>
    </row>
    <row r="190" spans="1:3">
      <c r="A190" s="178" t="s">
        <v>45</v>
      </c>
      <c r="B190" s="119">
        <v>2</v>
      </c>
      <c r="C190" s="127">
        <v>2.7777777777777776E-2</v>
      </c>
    </row>
    <row r="191" spans="1:3">
      <c r="A191" s="178" t="s">
        <v>20</v>
      </c>
      <c r="B191" s="119">
        <v>15</v>
      </c>
      <c r="C191" s="127">
        <v>5.7251908396946563E-2</v>
      </c>
    </row>
    <row r="192" spans="1:3">
      <c r="A192" s="178" t="s">
        <v>54</v>
      </c>
      <c r="B192" s="119">
        <v>12</v>
      </c>
      <c r="C192" s="127">
        <v>4.363636363636364E-2</v>
      </c>
    </row>
    <row r="193" spans="1:3">
      <c r="A193" s="178" t="s">
        <v>86</v>
      </c>
      <c r="B193" s="119">
        <v>2</v>
      </c>
      <c r="C193" s="127">
        <v>2.0618556701030927E-2</v>
      </c>
    </row>
    <row r="194" spans="1:3">
      <c r="A194" s="178" t="s">
        <v>50</v>
      </c>
      <c r="B194" s="119">
        <v>11</v>
      </c>
      <c r="C194" s="127">
        <v>6.9620253164556958E-2</v>
      </c>
    </row>
    <row r="195" spans="1:3">
      <c r="A195" s="178" t="s">
        <v>88</v>
      </c>
      <c r="B195" s="119">
        <v>27</v>
      </c>
      <c r="C195" s="127">
        <v>0.34615384615384615</v>
      </c>
    </row>
    <row r="196" spans="1:3">
      <c r="A196" s="178" t="s">
        <v>33</v>
      </c>
      <c r="B196" s="119">
        <v>11</v>
      </c>
      <c r="C196" s="127" t="e">
        <v>#DIV/0!</v>
      </c>
    </row>
    <row r="197" spans="1:3">
      <c r="A197" s="178" t="s">
        <v>24</v>
      </c>
      <c r="B197" s="119">
        <v>3</v>
      </c>
      <c r="C197" s="127">
        <v>2.2556390977443608E-2</v>
      </c>
    </row>
    <row r="198" spans="1:3">
      <c r="A198" s="178" t="s">
        <v>92</v>
      </c>
      <c r="B198" s="119">
        <v>3</v>
      </c>
      <c r="C198" s="127">
        <v>2.7522935779816515E-2</v>
      </c>
    </row>
    <row r="199" spans="1:3">
      <c r="A199" s="124">
        <v>2</v>
      </c>
      <c r="B199" s="119">
        <v>149</v>
      </c>
      <c r="C199" s="127">
        <v>5.7528957528957529E-2</v>
      </c>
    </row>
    <row r="200" spans="1:3">
      <c r="A200" s="178" t="s">
        <v>69</v>
      </c>
      <c r="B200" s="119">
        <v>12</v>
      </c>
      <c r="C200" s="127">
        <v>7.1005917159763315E-2</v>
      </c>
    </row>
    <row r="201" spans="1:3">
      <c r="A201" s="178" t="s">
        <v>36</v>
      </c>
      <c r="B201" s="119">
        <v>0</v>
      </c>
      <c r="C201" s="127" t="e">
        <v>#DIV/0!</v>
      </c>
    </row>
    <row r="202" spans="1:3">
      <c r="A202" s="178" t="s">
        <v>149</v>
      </c>
      <c r="B202" s="119">
        <v>14</v>
      </c>
      <c r="C202" s="127">
        <v>8.2352941176470587E-2</v>
      </c>
    </row>
    <row r="203" spans="1:3">
      <c r="A203" s="178" t="s">
        <v>90</v>
      </c>
      <c r="B203" s="119">
        <v>2</v>
      </c>
      <c r="C203" s="127">
        <v>3.5087719298245612E-2</v>
      </c>
    </row>
    <row r="204" spans="1:3">
      <c r="A204" s="178" t="s">
        <v>79</v>
      </c>
      <c r="B204" s="119">
        <v>0</v>
      </c>
      <c r="C204" s="127">
        <v>0</v>
      </c>
    </row>
    <row r="205" spans="1:3">
      <c r="A205" s="178" t="s">
        <v>60</v>
      </c>
      <c r="B205" s="119">
        <v>9</v>
      </c>
      <c r="C205" s="127">
        <v>0.10714285714285714</v>
      </c>
    </row>
    <row r="206" spans="1:3">
      <c r="A206" s="178" t="s">
        <v>57</v>
      </c>
      <c r="B206" s="119">
        <v>7</v>
      </c>
      <c r="C206" s="127">
        <v>8.4337349397590355E-2</v>
      </c>
    </row>
    <row r="207" spans="1:3">
      <c r="A207" s="178" t="s">
        <v>66</v>
      </c>
      <c r="B207" s="119">
        <v>12</v>
      </c>
      <c r="C207" s="127">
        <v>7.407407407407407E-2</v>
      </c>
    </row>
    <row r="208" spans="1:3">
      <c r="A208" s="178" t="s">
        <v>82</v>
      </c>
      <c r="B208" s="119">
        <v>19</v>
      </c>
      <c r="C208" s="127">
        <v>9.1787439613526575E-2</v>
      </c>
    </row>
    <row r="209" spans="1:3">
      <c r="A209" s="178" t="s">
        <v>48</v>
      </c>
      <c r="B209" s="119">
        <v>21</v>
      </c>
      <c r="C209" s="127">
        <v>0.10344827586206896</v>
      </c>
    </row>
    <row r="210" spans="1:3">
      <c r="A210" s="178" t="s">
        <v>76</v>
      </c>
      <c r="B210" s="119">
        <v>6</v>
      </c>
      <c r="C210" s="127">
        <v>0.1</v>
      </c>
    </row>
    <row r="211" spans="1:3">
      <c r="A211" s="178" t="s">
        <v>27</v>
      </c>
      <c r="B211" s="119">
        <v>2</v>
      </c>
      <c r="C211" s="127">
        <v>1.4388489208633094E-2</v>
      </c>
    </row>
    <row r="212" spans="1:3">
      <c r="A212" s="178" t="s">
        <v>73</v>
      </c>
      <c r="B212" s="119">
        <v>5</v>
      </c>
      <c r="C212" s="127">
        <v>3.4965034965034968E-2</v>
      </c>
    </row>
    <row r="213" spans="1:3">
      <c r="A213" s="178" t="s">
        <v>30</v>
      </c>
      <c r="B213" s="119">
        <v>0</v>
      </c>
      <c r="C213" s="127" t="e">
        <v>#DIV/0!</v>
      </c>
    </row>
    <row r="214" spans="1:3">
      <c r="A214" s="178" t="s">
        <v>85</v>
      </c>
      <c r="B214" s="119">
        <v>7</v>
      </c>
      <c r="C214" s="127">
        <v>0.15909090909090909</v>
      </c>
    </row>
    <row r="215" spans="1:3">
      <c r="A215" s="178" t="s">
        <v>45</v>
      </c>
      <c r="B215" s="119"/>
      <c r="C215" s="127">
        <v>0</v>
      </c>
    </row>
    <row r="216" spans="1:3">
      <c r="A216" s="178" t="s">
        <v>20</v>
      </c>
      <c r="B216" s="119">
        <v>8</v>
      </c>
      <c r="C216" s="127">
        <v>4.878048780487805E-2</v>
      </c>
    </row>
    <row r="217" spans="1:3">
      <c r="A217" s="178" t="s">
        <v>54</v>
      </c>
      <c r="B217" s="119">
        <v>8</v>
      </c>
      <c r="C217" s="127">
        <v>4.4692737430167599E-2</v>
      </c>
    </row>
    <row r="218" spans="1:3">
      <c r="A218" s="178" t="s">
        <v>86</v>
      </c>
      <c r="B218" s="119">
        <v>5</v>
      </c>
      <c r="C218" s="127">
        <v>5.0505050505050504E-2</v>
      </c>
    </row>
    <row r="219" spans="1:3">
      <c r="A219" s="178" t="s">
        <v>50</v>
      </c>
      <c r="B219" s="119">
        <v>3</v>
      </c>
      <c r="C219" s="127">
        <v>6.5217391304347824E-2</v>
      </c>
    </row>
    <row r="220" spans="1:3">
      <c r="A220" s="178" t="s">
        <v>88</v>
      </c>
      <c r="B220" s="119">
        <v>5</v>
      </c>
      <c r="C220" s="127">
        <v>0.13513513513513514</v>
      </c>
    </row>
    <row r="221" spans="1:3">
      <c r="A221" s="178" t="s">
        <v>33</v>
      </c>
      <c r="B221" s="119">
        <v>0</v>
      </c>
      <c r="C221" s="127">
        <v>0</v>
      </c>
    </row>
    <row r="222" spans="1:3">
      <c r="A222" s="178" t="s">
        <v>24</v>
      </c>
      <c r="B222" s="119">
        <v>2</v>
      </c>
      <c r="C222" s="127">
        <v>1.2195121951219513E-2</v>
      </c>
    </row>
    <row r="223" spans="1:3">
      <c r="A223" s="178" t="s">
        <v>92</v>
      </c>
      <c r="B223" s="119">
        <v>2</v>
      </c>
      <c r="C223" s="127">
        <v>3.5714285714285712E-2</v>
      </c>
    </row>
    <row r="224" spans="1:3">
      <c r="A224" s="124">
        <v>3</v>
      </c>
      <c r="B224" s="119">
        <v>226</v>
      </c>
      <c r="C224" s="127">
        <v>7.2528883183568676E-2</v>
      </c>
    </row>
    <row r="225" spans="1:3">
      <c r="A225" s="178" t="s">
        <v>69</v>
      </c>
      <c r="B225" s="119">
        <v>12</v>
      </c>
      <c r="C225" s="127">
        <v>9.0225563909774431E-2</v>
      </c>
    </row>
    <row r="226" spans="1:3">
      <c r="A226" s="178" t="s">
        <v>36</v>
      </c>
      <c r="B226" s="119">
        <v>0</v>
      </c>
      <c r="C226" s="127" t="e">
        <v>#DIV/0!</v>
      </c>
    </row>
    <row r="227" spans="1:3">
      <c r="A227" s="178" t="s">
        <v>149</v>
      </c>
      <c r="B227" s="119">
        <v>20</v>
      </c>
      <c r="C227" s="127">
        <v>0.10309278350515463</v>
      </c>
    </row>
    <row r="228" spans="1:3">
      <c r="A228" s="178" t="s">
        <v>90</v>
      </c>
      <c r="B228" s="119">
        <v>3</v>
      </c>
      <c r="C228" s="127">
        <v>1.8518518518518517E-2</v>
      </c>
    </row>
    <row r="229" spans="1:3">
      <c r="A229" s="178" t="s">
        <v>79</v>
      </c>
      <c r="B229" s="119">
        <v>4</v>
      </c>
      <c r="C229" s="127">
        <v>3.9215686274509803E-2</v>
      </c>
    </row>
    <row r="230" spans="1:3">
      <c r="A230" s="178" t="s">
        <v>60</v>
      </c>
      <c r="B230" s="119">
        <v>10</v>
      </c>
      <c r="C230" s="127">
        <v>9.0090090090090086E-2</v>
      </c>
    </row>
    <row r="231" spans="1:3">
      <c r="A231" s="178" t="s">
        <v>57</v>
      </c>
      <c r="B231" s="119">
        <v>10</v>
      </c>
      <c r="C231" s="127">
        <v>0.11363636363636363</v>
      </c>
    </row>
    <row r="232" spans="1:3">
      <c r="A232" s="178" t="s">
        <v>66</v>
      </c>
      <c r="B232" s="119">
        <v>24</v>
      </c>
      <c r="C232" s="127">
        <v>0.11009174311926606</v>
      </c>
    </row>
    <row r="233" spans="1:3">
      <c r="A233" s="178" t="s">
        <v>82</v>
      </c>
      <c r="B233" s="119">
        <v>23</v>
      </c>
      <c r="C233" s="127">
        <v>0.1419753086419753</v>
      </c>
    </row>
    <row r="234" spans="1:3">
      <c r="A234" s="178" t="s">
        <v>48</v>
      </c>
      <c r="B234" s="119">
        <v>21</v>
      </c>
      <c r="C234" s="127">
        <v>8.7866108786610872E-2</v>
      </c>
    </row>
    <row r="235" spans="1:3">
      <c r="A235" s="178" t="s">
        <v>76</v>
      </c>
      <c r="B235" s="119">
        <v>10</v>
      </c>
      <c r="C235" s="127">
        <v>8.3333333333333329E-2</v>
      </c>
    </row>
    <row r="236" spans="1:3">
      <c r="A236" s="178" t="s">
        <v>27</v>
      </c>
      <c r="B236" s="119">
        <v>3</v>
      </c>
      <c r="C236" s="127">
        <v>1.7441860465116279E-2</v>
      </c>
    </row>
    <row r="237" spans="1:3">
      <c r="A237" s="178" t="s">
        <v>73</v>
      </c>
      <c r="B237" s="119">
        <v>15</v>
      </c>
      <c r="C237" s="127">
        <v>0.33333333333333331</v>
      </c>
    </row>
    <row r="238" spans="1:3">
      <c r="A238" s="178" t="s">
        <v>30</v>
      </c>
      <c r="B238" s="119">
        <v>2</v>
      </c>
      <c r="C238" s="127">
        <v>1.5748031496062992E-2</v>
      </c>
    </row>
    <row r="239" spans="1:3">
      <c r="A239" s="178" t="s">
        <v>85</v>
      </c>
      <c r="B239" s="119">
        <v>8</v>
      </c>
      <c r="C239" s="127">
        <v>0.13559322033898305</v>
      </c>
    </row>
    <row r="240" spans="1:3">
      <c r="A240" s="178" t="s">
        <v>45</v>
      </c>
      <c r="B240" s="119">
        <v>3</v>
      </c>
      <c r="C240" s="127">
        <v>4.5454545454545456E-2</v>
      </c>
    </row>
    <row r="241" spans="1:3">
      <c r="A241" s="178" t="s">
        <v>20</v>
      </c>
      <c r="B241" s="119">
        <v>8</v>
      </c>
      <c r="C241" s="127">
        <v>4.5714285714285714E-2</v>
      </c>
    </row>
    <row r="242" spans="1:3">
      <c r="A242" s="178" t="s">
        <v>54</v>
      </c>
      <c r="B242" s="119">
        <v>15</v>
      </c>
      <c r="C242" s="127">
        <v>6.6666666666666666E-2</v>
      </c>
    </row>
    <row r="243" spans="1:3">
      <c r="A243" s="178" t="s">
        <v>86</v>
      </c>
      <c r="B243" s="119">
        <v>9</v>
      </c>
      <c r="C243" s="127">
        <v>7.6923076923076927E-2</v>
      </c>
    </row>
    <row r="244" spans="1:3">
      <c r="A244" s="178" t="s">
        <v>50</v>
      </c>
      <c r="B244" s="119">
        <v>13</v>
      </c>
      <c r="C244" s="127">
        <v>0.12871287128712872</v>
      </c>
    </row>
    <row r="245" spans="1:3">
      <c r="A245" s="178" t="s">
        <v>88</v>
      </c>
      <c r="B245" s="119">
        <v>5</v>
      </c>
      <c r="C245" s="127">
        <v>0.10416666666666667</v>
      </c>
    </row>
    <row r="246" spans="1:3">
      <c r="A246" s="178" t="s">
        <v>33</v>
      </c>
      <c r="B246" s="119">
        <v>5</v>
      </c>
      <c r="C246" s="127">
        <v>2.8409090909090908E-2</v>
      </c>
    </row>
    <row r="247" spans="1:3">
      <c r="A247" s="178" t="s">
        <v>24</v>
      </c>
      <c r="B247" s="119">
        <v>1</v>
      </c>
      <c r="C247" s="127">
        <v>5.9523809523809521E-3</v>
      </c>
    </row>
    <row r="248" spans="1:3">
      <c r="A248" s="178" t="s">
        <v>92</v>
      </c>
      <c r="B248" s="119">
        <v>2</v>
      </c>
      <c r="C248" s="127">
        <v>1.8518518518518517E-2</v>
      </c>
    </row>
    <row r="249" spans="1:3">
      <c r="A249" s="124">
        <v>4</v>
      </c>
      <c r="B249" s="119">
        <v>262</v>
      </c>
      <c r="C249" s="127">
        <v>8.9176310415248469E-2</v>
      </c>
    </row>
    <row r="250" spans="1:3">
      <c r="A250" s="178" t="s">
        <v>69</v>
      </c>
      <c r="B250" s="119">
        <v>14</v>
      </c>
      <c r="C250" s="127">
        <v>7.5268817204301078E-2</v>
      </c>
    </row>
    <row r="251" spans="1:3">
      <c r="A251" s="178" t="s">
        <v>36</v>
      </c>
      <c r="B251" s="119">
        <v>0</v>
      </c>
      <c r="C251" s="127" t="e">
        <v>#DIV/0!</v>
      </c>
    </row>
    <row r="252" spans="1:3">
      <c r="A252" s="178" t="s">
        <v>149</v>
      </c>
      <c r="B252" s="119">
        <v>20</v>
      </c>
      <c r="C252" s="127">
        <v>0.10204081632653061</v>
      </c>
    </row>
    <row r="253" spans="1:3">
      <c r="A253" s="178" t="s">
        <v>90</v>
      </c>
      <c r="B253" s="119">
        <v>4</v>
      </c>
      <c r="C253" s="127">
        <v>5.1948051948051951E-2</v>
      </c>
    </row>
    <row r="254" spans="1:3">
      <c r="A254" s="178" t="s">
        <v>79</v>
      </c>
      <c r="B254" s="119">
        <v>2</v>
      </c>
      <c r="C254" s="127">
        <v>2.1276595744680851E-2</v>
      </c>
    </row>
    <row r="255" spans="1:3">
      <c r="A255" s="178" t="s">
        <v>60</v>
      </c>
      <c r="B255" s="119">
        <v>5</v>
      </c>
      <c r="C255" s="127">
        <v>0.11363636363636363</v>
      </c>
    </row>
    <row r="256" spans="1:3">
      <c r="A256" s="178" t="s">
        <v>57</v>
      </c>
      <c r="B256" s="119">
        <v>11</v>
      </c>
      <c r="C256" s="127">
        <v>7.6388888888888895E-2</v>
      </c>
    </row>
    <row r="257" spans="1:3">
      <c r="A257" s="178" t="s">
        <v>66</v>
      </c>
      <c r="B257" s="119">
        <v>18</v>
      </c>
      <c r="C257" s="127">
        <v>0.11392405063291139</v>
      </c>
    </row>
    <row r="258" spans="1:3">
      <c r="A258" s="178" t="s">
        <v>82</v>
      </c>
      <c r="B258" s="119">
        <v>15</v>
      </c>
      <c r="C258" s="127">
        <v>8.0645161290322578E-2</v>
      </c>
    </row>
    <row r="259" spans="1:3">
      <c r="A259" s="178" t="s">
        <v>48</v>
      </c>
      <c r="B259" s="119">
        <v>25</v>
      </c>
      <c r="C259" s="127">
        <v>0.12755102040816327</v>
      </c>
    </row>
    <row r="260" spans="1:3">
      <c r="A260" s="178" t="s">
        <v>76</v>
      </c>
      <c r="B260" s="119">
        <v>12</v>
      </c>
      <c r="C260" s="127">
        <v>6.4171122994652413E-2</v>
      </c>
    </row>
    <row r="261" spans="1:3">
      <c r="A261" s="178" t="s">
        <v>27</v>
      </c>
      <c r="B261" s="119">
        <v>5</v>
      </c>
      <c r="C261" s="127">
        <v>5.4945054945054944E-2</v>
      </c>
    </row>
    <row r="262" spans="1:3">
      <c r="A262" s="178" t="s">
        <v>73</v>
      </c>
      <c r="B262" s="119">
        <v>30</v>
      </c>
      <c r="C262" s="127">
        <v>0.35714285714285715</v>
      </c>
    </row>
    <row r="263" spans="1:3">
      <c r="A263" s="178" t="s">
        <v>30</v>
      </c>
      <c r="B263" s="119">
        <v>8</v>
      </c>
      <c r="C263" s="127">
        <v>0.15094339622641509</v>
      </c>
    </row>
    <row r="264" spans="1:3">
      <c r="A264" s="178" t="s">
        <v>85</v>
      </c>
      <c r="B264" s="119">
        <v>6</v>
      </c>
      <c r="C264" s="127">
        <v>7.3170731707317069E-2</v>
      </c>
    </row>
    <row r="265" spans="1:3">
      <c r="A265" s="178" t="s">
        <v>45</v>
      </c>
      <c r="B265" s="119">
        <v>2</v>
      </c>
      <c r="C265" s="127">
        <v>2.247191011235955E-2</v>
      </c>
    </row>
    <row r="266" spans="1:3">
      <c r="A266" s="178" t="s">
        <v>20</v>
      </c>
      <c r="B266" s="119">
        <v>16</v>
      </c>
      <c r="C266" s="127">
        <v>9.8765432098765427E-2</v>
      </c>
    </row>
    <row r="267" spans="1:3">
      <c r="A267" s="178" t="s">
        <v>54</v>
      </c>
      <c r="B267" s="119">
        <v>18</v>
      </c>
      <c r="C267" s="127">
        <v>0.13043478260869565</v>
      </c>
    </row>
    <row r="268" spans="1:3">
      <c r="A268" s="178" t="s">
        <v>86</v>
      </c>
      <c r="B268" s="119">
        <v>9</v>
      </c>
      <c r="C268" s="127">
        <v>6.9230769230769235E-2</v>
      </c>
    </row>
    <row r="269" spans="1:3">
      <c r="A269" s="178" t="s">
        <v>50</v>
      </c>
      <c r="B269" s="119">
        <v>29</v>
      </c>
      <c r="C269" s="127">
        <v>0.34523809523809523</v>
      </c>
    </row>
    <row r="270" spans="1:3">
      <c r="A270" s="178" t="s">
        <v>88</v>
      </c>
      <c r="B270" s="119">
        <v>5</v>
      </c>
      <c r="C270" s="127">
        <v>6.9444444444444448E-2</v>
      </c>
    </row>
    <row r="271" spans="1:3">
      <c r="A271" s="178" t="s">
        <v>33</v>
      </c>
      <c r="B271" s="119">
        <v>2</v>
      </c>
      <c r="C271" s="127">
        <v>1.1363636363636364E-2</v>
      </c>
    </row>
    <row r="272" spans="1:3">
      <c r="A272" s="178" t="s">
        <v>24</v>
      </c>
      <c r="B272" s="119">
        <v>3</v>
      </c>
      <c r="C272" s="127">
        <v>1.7857142857142856E-2</v>
      </c>
    </row>
    <row r="273" spans="1:3">
      <c r="A273" s="178" t="s">
        <v>92</v>
      </c>
      <c r="B273" s="119">
        <v>3</v>
      </c>
      <c r="C273" s="127">
        <v>2.1276595744680851E-2</v>
      </c>
    </row>
    <row r="274" spans="1:3">
      <c r="A274" s="124">
        <v>5</v>
      </c>
      <c r="B274" s="119">
        <v>299</v>
      </c>
      <c r="C274" s="127">
        <v>0.10794223826714801</v>
      </c>
    </row>
    <row r="275" spans="1:3">
      <c r="A275" s="178" t="s">
        <v>69</v>
      </c>
      <c r="B275" s="119">
        <v>4</v>
      </c>
      <c r="C275" s="127">
        <v>2.6143790849673203E-2</v>
      </c>
    </row>
    <row r="276" spans="1:3">
      <c r="A276" s="178" t="s">
        <v>36</v>
      </c>
      <c r="B276" s="119">
        <v>0</v>
      </c>
      <c r="C276" s="127">
        <v>0</v>
      </c>
    </row>
    <row r="277" spans="1:3">
      <c r="A277" s="178" t="s">
        <v>149</v>
      </c>
      <c r="B277" s="119">
        <v>26</v>
      </c>
      <c r="C277" s="127">
        <v>0.14942528735632185</v>
      </c>
    </row>
    <row r="278" spans="1:3">
      <c r="A278" s="178" t="s">
        <v>90</v>
      </c>
      <c r="B278" s="119">
        <v>20</v>
      </c>
      <c r="C278" s="127">
        <v>0.12269938650306748</v>
      </c>
    </row>
    <row r="279" spans="1:3">
      <c r="A279" s="178" t="s">
        <v>79</v>
      </c>
      <c r="B279" s="119">
        <v>3</v>
      </c>
      <c r="C279" s="127">
        <v>4.6153846153846156E-2</v>
      </c>
    </row>
    <row r="280" spans="1:3">
      <c r="A280" s="178" t="s">
        <v>60</v>
      </c>
      <c r="B280" s="119">
        <v>10</v>
      </c>
      <c r="C280" s="127">
        <v>0.1111111111111111</v>
      </c>
    </row>
    <row r="281" spans="1:3">
      <c r="A281" s="178" t="s">
        <v>57</v>
      </c>
      <c r="B281" s="119">
        <v>10</v>
      </c>
      <c r="C281" s="127">
        <v>0.19607843137254902</v>
      </c>
    </row>
    <row r="282" spans="1:3">
      <c r="A282" s="178" t="s">
        <v>66</v>
      </c>
      <c r="B282" s="119">
        <v>28</v>
      </c>
      <c r="C282" s="127">
        <v>0.12727272727272726</v>
      </c>
    </row>
    <row r="283" spans="1:3">
      <c r="A283" s="178" t="s">
        <v>82</v>
      </c>
      <c r="B283" s="119">
        <v>19</v>
      </c>
      <c r="C283" s="127">
        <v>0.1417910447761194</v>
      </c>
    </row>
    <row r="284" spans="1:3">
      <c r="A284" s="178" t="s">
        <v>48</v>
      </c>
      <c r="B284" s="119">
        <v>16</v>
      </c>
      <c r="C284" s="127">
        <v>8.3769633507853408E-2</v>
      </c>
    </row>
    <row r="285" spans="1:3">
      <c r="A285" s="178" t="s">
        <v>76</v>
      </c>
      <c r="B285" s="119">
        <v>10</v>
      </c>
      <c r="C285" s="127">
        <v>5.5865921787709494E-2</v>
      </c>
    </row>
    <row r="286" spans="1:3">
      <c r="A286" s="178" t="s">
        <v>27</v>
      </c>
      <c r="B286" s="119">
        <v>5</v>
      </c>
      <c r="C286" s="127">
        <v>9.6153846153846159E-2</v>
      </c>
    </row>
    <row r="287" spans="1:3">
      <c r="A287" s="178" t="s">
        <v>73</v>
      </c>
      <c r="B287" s="119">
        <v>17</v>
      </c>
      <c r="C287" s="127">
        <v>0.34</v>
      </c>
    </row>
    <row r="288" spans="1:3">
      <c r="A288" s="178" t="s">
        <v>30</v>
      </c>
      <c r="B288" s="119">
        <v>6</v>
      </c>
      <c r="C288" s="127">
        <v>0.11320754716981132</v>
      </c>
    </row>
    <row r="289" spans="1:3">
      <c r="A289" s="178" t="s">
        <v>85</v>
      </c>
      <c r="B289" s="119">
        <v>15</v>
      </c>
      <c r="C289" s="127">
        <v>0.21739130434782608</v>
      </c>
    </row>
    <row r="290" spans="1:3">
      <c r="A290" s="178" t="s">
        <v>45</v>
      </c>
      <c r="B290" s="119">
        <v>6</v>
      </c>
      <c r="C290" s="127">
        <v>0.13953488372093023</v>
      </c>
    </row>
    <row r="291" spans="1:3">
      <c r="A291" s="178" t="s">
        <v>20</v>
      </c>
      <c r="B291" s="119">
        <v>8</v>
      </c>
      <c r="C291" s="127">
        <v>3.3755274261603373E-2</v>
      </c>
    </row>
    <row r="292" spans="1:3">
      <c r="A292" s="178" t="s">
        <v>54</v>
      </c>
      <c r="B292" s="119">
        <v>71</v>
      </c>
      <c r="C292" s="127">
        <v>0.36979166666666669</v>
      </c>
    </row>
    <row r="293" spans="1:3">
      <c r="A293" s="178" t="s">
        <v>86</v>
      </c>
      <c r="B293" s="119">
        <v>5</v>
      </c>
      <c r="C293" s="127">
        <v>0.04</v>
      </c>
    </row>
    <row r="294" spans="1:3">
      <c r="A294" s="178" t="s">
        <v>50</v>
      </c>
      <c r="B294" s="119">
        <v>6</v>
      </c>
      <c r="C294" s="127">
        <v>5.5555555555555552E-2</v>
      </c>
    </row>
    <row r="295" spans="1:3">
      <c r="A295" s="178" t="s">
        <v>88</v>
      </c>
      <c r="B295" s="119">
        <v>4</v>
      </c>
      <c r="C295" s="127">
        <v>4.5977011494252873E-2</v>
      </c>
    </row>
    <row r="296" spans="1:3">
      <c r="A296" s="178" t="s">
        <v>33</v>
      </c>
      <c r="B296" s="119">
        <v>5</v>
      </c>
      <c r="C296" s="127">
        <v>7.3529411764705885E-2</v>
      </c>
    </row>
    <row r="297" spans="1:3">
      <c r="A297" s="178" t="s">
        <v>24</v>
      </c>
      <c r="B297" s="119">
        <v>3</v>
      </c>
      <c r="C297" s="127">
        <v>2.6086956521739129E-2</v>
      </c>
    </row>
    <row r="298" spans="1:3">
      <c r="A298" s="178" t="s">
        <v>92</v>
      </c>
      <c r="B298" s="119">
        <v>2</v>
      </c>
      <c r="C298" s="127">
        <v>2.7777777777777776E-2</v>
      </c>
    </row>
    <row r="299" spans="1:3">
      <c r="A299" s="124">
        <v>6</v>
      </c>
      <c r="B299" s="119">
        <v>184</v>
      </c>
      <c r="C299" s="127">
        <v>5.4293301858955444E-2</v>
      </c>
    </row>
    <row r="300" spans="1:3">
      <c r="A300" s="178" t="s">
        <v>69</v>
      </c>
      <c r="B300" s="119">
        <v>4</v>
      </c>
      <c r="C300" s="127">
        <v>2.030456852791878E-2</v>
      </c>
    </row>
    <row r="301" spans="1:3">
      <c r="A301" s="178" t="s">
        <v>36</v>
      </c>
      <c r="B301" s="119">
        <v>0</v>
      </c>
      <c r="C301" s="127" t="e">
        <v>#DIV/0!</v>
      </c>
    </row>
    <row r="302" spans="1:3">
      <c r="A302" s="178" t="s">
        <v>149</v>
      </c>
      <c r="B302" s="119">
        <v>16</v>
      </c>
      <c r="C302" s="127">
        <v>6.1068702290076333E-2</v>
      </c>
    </row>
    <row r="303" spans="1:3">
      <c r="A303" s="178" t="s">
        <v>90</v>
      </c>
      <c r="B303" s="119">
        <v>6</v>
      </c>
      <c r="C303" s="127">
        <v>3.6363636363636362E-2</v>
      </c>
    </row>
    <row r="304" spans="1:3">
      <c r="A304" s="178" t="s">
        <v>79</v>
      </c>
      <c r="B304" s="119">
        <v>3</v>
      </c>
      <c r="C304" s="127">
        <v>2.1428571428571429E-2</v>
      </c>
    </row>
    <row r="305" spans="1:3">
      <c r="A305" s="178" t="s">
        <v>60</v>
      </c>
      <c r="B305" s="119">
        <v>9</v>
      </c>
      <c r="C305" s="127">
        <v>1.8329938900203666E-2</v>
      </c>
    </row>
    <row r="306" spans="1:3">
      <c r="A306" s="178" t="s">
        <v>57</v>
      </c>
      <c r="B306" s="119">
        <v>4</v>
      </c>
      <c r="C306" s="127">
        <v>3.6363636363636362E-2</v>
      </c>
    </row>
    <row r="307" spans="1:3">
      <c r="A307" s="178" t="s">
        <v>66</v>
      </c>
      <c r="B307" s="119">
        <v>28</v>
      </c>
      <c r="C307" s="127">
        <v>0.16470588235294117</v>
      </c>
    </row>
    <row r="308" spans="1:3">
      <c r="A308" s="178" t="s">
        <v>82</v>
      </c>
      <c r="B308" s="119">
        <v>8</v>
      </c>
      <c r="C308" s="127">
        <v>8.0808080808080815E-2</v>
      </c>
    </row>
    <row r="309" spans="1:3">
      <c r="A309" s="178" t="s">
        <v>48</v>
      </c>
      <c r="B309" s="119">
        <v>1</v>
      </c>
      <c r="C309" s="127">
        <v>6.4516129032258064E-3</v>
      </c>
    </row>
    <row r="310" spans="1:3">
      <c r="A310" s="178" t="s">
        <v>76</v>
      </c>
      <c r="B310" s="119">
        <v>14</v>
      </c>
      <c r="C310" s="127">
        <v>8.5365853658536592E-2</v>
      </c>
    </row>
    <row r="311" spans="1:3">
      <c r="A311" s="178" t="s">
        <v>27</v>
      </c>
      <c r="B311" s="119">
        <v>6</v>
      </c>
      <c r="C311" s="127">
        <v>0.2857142857142857</v>
      </c>
    </row>
    <row r="312" spans="1:3">
      <c r="A312" s="178" t="s">
        <v>73</v>
      </c>
      <c r="B312" s="119">
        <v>7</v>
      </c>
      <c r="C312" s="127">
        <v>7.1428571428571425E-2</v>
      </c>
    </row>
    <row r="313" spans="1:3">
      <c r="A313" s="178" t="s">
        <v>30</v>
      </c>
      <c r="B313" s="119">
        <v>5</v>
      </c>
      <c r="C313" s="127">
        <v>0.16129032258064516</v>
      </c>
    </row>
    <row r="314" spans="1:3">
      <c r="A314" s="178" t="s">
        <v>85</v>
      </c>
      <c r="B314" s="119">
        <v>5</v>
      </c>
      <c r="C314" s="127">
        <v>0.12195121951219512</v>
      </c>
    </row>
    <row r="315" spans="1:3">
      <c r="A315" s="178" t="s">
        <v>45</v>
      </c>
      <c r="B315" s="119">
        <v>2</v>
      </c>
      <c r="C315" s="127">
        <v>0.04</v>
      </c>
    </row>
    <row r="316" spans="1:3">
      <c r="A316" s="178" t="s">
        <v>20</v>
      </c>
      <c r="B316" s="119">
        <v>18</v>
      </c>
      <c r="C316" s="127">
        <v>8.9108910891089105E-2</v>
      </c>
    </row>
    <row r="317" spans="1:3">
      <c r="A317" s="178" t="s">
        <v>54</v>
      </c>
      <c r="B317" s="119">
        <v>12</v>
      </c>
      <c r="C317" s="127">
        <v>6.0913705583756347E-2</v>
      </c>
    </row>
    <row r="318" spans="1:3">
      <c r="A318" s="178" t="s">
        <v>86</v>
      </c>
      <c r="B318" s="119">
        <v>3</v>
      </c>
      <c r="C318" s="127">
        <v>2.5210084033613446E-2</v>
      </c>
    </row>
    <row r="319" spans="1:3">
      <c r="A319" s="178" t="s">
        <v>50</v>
      </c>
      <c r="B319" s="119">
        <v>6</v>
      </c>
      <c r="C319" s="127">
        <v>4.6153846153846156E-2</v>
      </c>
    </row>
    <row r="320" spans="1:3">
      <c r="A320" s="178" t="s">
        <v>88</v>
      </c>
      <c r="B320" s="119">
        <v>10</v>
      </c>
      <c r="C320" s="127">
        <v>0.12987012987012986</v>
      </c>
    </row>
    <row r="321" spans="1:3">
      <c r="A321" s="178" t="s">
        <v>33</v>
      </c>
      <c r="B321" s="119">
        <v>11</v>
      </c>
      <c r="C321" s="127">
        <v>5.7591623036649213E-2</v>
      </c>
    </row>
    <row r="322" spans="1:3">
      <c r="A322" s="178" t="s">
        <v>24</v>
      </c>
      <c r="B322" s="119">
        <v>3</v>
      </c>
      <c r="C322" s="127">
        <v>1.9736842105263157E-2</v>
      </c>
    </row>
    <row r="323" spans="1:3">
      <c r="A323" s="178" t="s">
        <v>92</v>
      </c>
      <c r="B323" s="119">
        <v>3</v>
      </c>
      <c r="C323" s="127">
        <v>2.3622047244094488E-2</v>
      </c>
    </row>
    <row r="324" spans="1:3">
      <c r="A324" s="124">
        <v>7</v>
      </c>
      <c r="B324" s="119">
        <v>288</v>
      </c>
      <c r="C324" s="127">
        <v>9.5840266222961726E-2</v>
      </c>
    </row>
    <row r="325" spans="1:3">
      <c r="A325" s="178" t="s">
        <v>69</v>
      </c>
      <c r="B325" s="119">
        <v>10</v>
      </c>
      <c r="C325" s="127">
        <v>7.3529411764705885E-2</v>
      </c>
    </row>
    <row r="326" spans="1:3">
      <c r="A326" s="178" t="s">
        <v>36</v>
      </c>
      <c r="B326" s="119">
        <v>0</v>
      </c>
      <c r="C326" s="127" t="e">
        <v>#DIV/0!</v>
      </c>
    </row>
    <row r="327" spans="1:3">
      <c r="A327" s="178" t="s">
        <v>149</v>
      </c>
      <c r="B327" s="119">
        <v>18</v>
      </c>
      <c r="C327" s="127">
        <v>0.125</v>
      </c>
    </row>
    <row r="328" spans="1:3">
      <c r="A328" s="178" t="s">
        <v>90</v>
      </c>
      <c r="B328" s="119">
        <v>4</v>
      </c>
      <c r="C328" s="127">
        <v>1.9900497512437811E-2</v>
      </c>
    </row>
    <row r="329" spans="1:3">
      <c r="A329" s="178" t="s">
        <v>79</v>
      </c>
      <c r="B329" s="119">
        <v>4</v>
      </c>
      <c r="C329" s="127">
        <v>3.0769230769230771E-2</v>
      </c>
    </row>
    <row r="330" spans="1:3">
      <c r="A330" s="178" t="s">
        <v>60</v>
      </c>
      <c r="B330" s="119">
        <v>30</v>
      </c>
      <c r="C330" s="127">
        <v>0.10909090909090909</v>
      </c>
    </row>
    <row r="331" spans="1:3">
      <c r="A331" s="178" t="s">
        <v>57</v>
      </c>
      <c r="B331" s="119">
        <v>11</v>
      </c>
      <c r="C331" s="127">
        <v>0.14473684210526316</v>
      </c>
    </row>
    <row r="332" spans="1:3">
      <c r="A332" s="178" t="s">
        <v>66</v>
      </c>
      <c r="B332" s="119">
        <v>11</v>
      </c>
      <c r="C332" s="127">
        <v>0.10280373831775701</v>
      </c>
    </row>
    <row r="333" spans="1:3">
      <c r="A333" s="178" t="s">
        <v>82</v>
      </c>
      <c r="B333" s="119">
        <v>7</v>
      </c>
      <c r="C333" s="127">
        <v>6.363636363636363E-2</v>
      </c>
    </row>
    <row r="334" spans="1:3">
      <c r="A334" s="178" t="s">
        <v>48</v>
      </c>
      <c r="B334" s="119">
        <v>18</v>
      </c>
      <c r="C334" s="127">
        <v>9.4736842105263161E-2</v>
      </c>
    </row>
    <row r="335" spans="1:3">
      <c r="A335" s="178" t="s">
        <v>76</v>
      </c>
      <c r="B335" s="119">
        <v>12</v>
      </c>
      <c r="C335" s="127">
        <v>6.5934065934065936E-2</v>
      </c>
    </row>
    <row r="336" spans="1:3">
      <c r="A336" s="178" t="s">
        <v>27</v>
      </c>
      <c r="B336" s="119">
        <v>7</v>
      </c>
      <c r="C336" s="127">
        <v>8.1395348837209308E-2</v>
      </c>
    </row>
    <row r="337" spans="1:3">
      <c r="A337" s="178" t="s">
        <v>73</v>
      </c>
      <c r="B337" s="119">
        <v>13</v>
      </c>
      <c r="C337" s="127">
        <v>0.13829787234042554</v>
      </c>
    </row>
    <row r="338" spans="1:3">
      <c r="A338" s="178" t="s">
        <v>30</v>
      </c>
      <c r="B338" s="119">
        <v>10</v>
      </c>
      <c r="C338" s="127">
        <v>0.16949152542372881</v>
      </c>
    </row>
    <row r="339" spans="1:3">
      <c r="A339" s="178" t="s">
        <v>85</v>
      </c>
      <c r="B339" s="119">
        <v>15</v>
      </c>
      <c r="C339" s="127">
        <v>7.0754716981132074E-2</v>
      </c>
    </row>
    <row r="340" spans="1:3">
      <c r="A340" s="178" t="s">
        <v>45</v>
      </c>
      <c r="B340" s="119">
        <v>2</v>
      </c>
      <c r="C340" s="127" t="e">
        <v>#DIV/0!</v>
      </c>
    </row>
    <row r="341" spans="1:3">
      <c r="A341" s="178" t="s">
        <v>20</v>
      </c>
      <c r="B341" s="119">
        <v>29</v>
      </c>
      <c r="C341" s="127">
        <v>0.26363636363636361</v>
      </c>
    </row>
    <row r="342" spans="1:3">
      <c r="A342" s="178" t="s">
        <v>54</v>
      </c>
      <c r="B342" s="119">
        <v>19</v>
      </c>
      <c r="C342" s="127">
        <v>0.11515151515151516</v>
      </c>
    </row>
    <row r="343" spans="1:3">
      <c r="A343" s="178" t="s">
        <v>86</v>
      </c>
      <c r="B343" s="119">
        <v>6</v>
      </c>
      <c r="C343" s="127">
        <v>5.7142857142857141E-2</v>
      </c>
    </row>
    <row r="344" spans="1:3">
      <c r="A344" s="178" t="s">
        <v>50</v>
      </c>
      <c r="B344" s="119">
        <v>7</v>
      </c>
      <c r="C344" s="127">
        <v>4.6052631578947366E-2</v>
      </c>
    </row>
    <row r="345" spans="1:3">
      <c r="A345" s="178" t="s">
        <v>88</v>
      </c>
      <c r="B345" s="119">
        <v>14</v>
      </c>
      <c r="C345" s="127">
        <v>0.16470588235294117</v>
      </c>
    </row>
    <row r="346" spans="1:3">
      <c r="A346" s="178" t="s">
        <v>33</v>
      </c>
      <c r="B346" s="119">
        <v>34</v>
      </c>
      <c r="C346" s="127">
        <v>0.16113744075829384</v>
      </c>
    </row>
    <row r="347" spans="1:3">
      <c r="A347" s="178" t="s">
        <v>24</v>
      </c>
      <c r="B347" s="119">
        <v>4</v>
      </c>
      <c r="C347" s="127">
        <v>4.49438202247191E-2</v>
      </c>
    </row>
    <row r="348" spans="1:3">
      <c r="A348" s="178" t="s">
        <v>92</v>
      </c>
      <c r="B348" s="119">
        <v>3</v>
      </c>
      <c r="C348" s="127">
        <v>3.4883720930232558E-2</v>
      </c>
    </row>
    <row r="349" spans="1:3">
      <c r="A349" s="124">
        <v>8</v>
      </c>
      <c r="B349" s="119">
        <v>316</v>
      </c>
      <c r="C349" s="127">
        <v>9.0389016018306637E-2</v>
      </c>
    </row>
    <row r="350" spans="1:3">
      <c r="A350" s="178" t="s">
        <v>69</v>
      </c>
      <c r="B350" s="119">
        <v>10</v>
      </c>
      <c r="C350" s="127">
        <v>6.25E-2</v>
      </c>
    </row>
    <row r="351" spans="1:3">
      <c r="A351" s="178" t="s">
        <v>36</v>
      </c>
      <c r="B351" s="119">
        <v>3</v>
      </c>
      <c r="C351" s="127">
        <v>1.9607843137254902E-2</v>
      </c>
    </row>
    <row r="352" spans="1:3">
      <c r="A352" s="178" t="s">
        <v>149</v>
      </c>
      <c r="B352" s="119">
        <v>27</v>
      </c>
      <c r="C352" s="127">
        <v>0.18620689655172415</v>
      </c>
    </row>
    <row r="353" spans="1:3">
      <c r="A353" s="178" t="s">
        <v>90</v>
      </c>
      <c r="B353" s="119">
        <v>4</v>
      </c>
      <c r="C353" s="127">
        <v>3.7735849056603772E-2</v>
      </c>
    </row>
    <row r="354" spans="1:3">
      <c r="A354" s="178" t="s">
        <v>79</v>
      </c>
      <c r="B354" s="119">
        <v>12</v>
      </c>
      <c r="C354" s="127">
        <v>5.8536585365853662E-2</v>
      </c>
    </row>
    <row r="355" spans="1:3">
      <c r="A355" s="178" t="s">
        <v>60</v>
      </c>
      <c r="B355" s="119">
        <v>31</v>
      </c>
      <c r="C355" s="127">
        <v>0.32291666666666669</v>
      </c>
    </row>
    <row r="356" spans="1:3">
      <c r="A356" s="178" t="s">
        <v>57</v>
      </c>
      <c r="B356" s="119">
        <v>5</v>
      </c>
      <c r="C356" s="127">
        <v>3.90625E-2</v>
      </c>
    </row>
    <row r="357" spans="1:3">
      <c r="A357" s="178" t="s">
        <v>66</v>
      </c>
      <c r="B357" s="119">
        <v>15</v>
      </c>
      <c r="C357" s="127">
        <v>7.281553398058252E-2</v>
      </c>
    </row>
    <row r="358" spans="1:3">
      <c r="A358" s="178" t="s">
        <v>82</v>
      </c>
      <c r="B358" s="119">
        <v>10</v>
      </c>
      <c r="C358" s="127">
        <v>9.2592592592592587E-2</v>
      </c>
    </row>
    <row r="359" spans="1:3">
      <c r="A359" s="178" t="s">
        <v>48</v>
      </c>
      <c r="B359" s="119">
        <v>17</v>
      </c>
      <c r="C359" s="127">
        <v>6.9958847736625515E-2</v>
      </c>
    </row>
    <row r="360" spans="1:3">
      <c r="A360" s="178" t="s">
        <v>76</v>
      </c>
      <c r="B360" s="119">
        <v>16</v>
      </c>
      <c r="C360" s="127">
        <v>0.34042553191489361</v>
      </c>
    </row>
    <row r="361" spans="1:3">
      <c r="A361" s="178" t="s">
        <v>27</v>
      </c>
      <c r="B361" s="119">
        <v>15</v>
      </c>
      <c r="C361" s="127">
        <v>6.0728744939271252E-2</v>
      </c>
    </row>
    <row r="362" spans="1:3">
      <c r="A362" s="178" t="s">
        <v>73</v>
      </c>
      <c r="B362" s="119">
        <v>16</v>
      </c>
      <c r="C362" s="127">
        <v>5.1612903225806452E-2</v>
      </c>
    </row>
    <row r="363" spans="1:3">
      <c r="A363" s="178" t="s">
        <v>30</v>
      </c>
      <c r="B363" s="119">
        <v>14</v>
      </c>
      <c r="C363" s="127">
        <v>0.13333333333333333</v>
      </c>
    </row>
    <row r="364" spans="1:3">
      <c r="A364" s="178" t="s">
        <v>85</v>
      </c>
      <c r="B364" s="119">
        <v>15</v>
      </c>
      <c r="C364" s="127">
        <v>0.1079136690647482</v>
      </c>
    </row>
    <row r="365" spans="1:3">
      <c r="A365" s="178" t="s">
        <v>45</v>
      </c>
      <c r="B365" s="119">
        <v>3</v>
      </c>
      <c r="C365" s="127">
        <v>5.0847457627118647E-2</v>
      </c>
    </row>
    <row r="366" spans="1:3">
      <c r="A366" s="178" t="s">
        <v>20</v>
      </c>
      <c r="B366" s="119">
        <v>30</v>
      </c>
      <c r="C366" s="127">
        <v>0.189873417721519</v>
      </c>
    </row>
    <row r="367" spans="1:3">
      <c r="A367" s="178" t="s">
        <v>54</v>
      </c>
      <c r="B367" s="119">
        <v>22</v>
      </c>
      <c r="C367" s="127">
        <v>0.15492957746478872</v>
      </c>
    </row>
    <row r="368" spans="1:3">
      <c r="A368" s="178" t="s">
        <v>86</v>
      </c>
      <c r="B368" s="119">
        <v>6</v>
      </c>
      <c r="C368" s="127">
        <v>4.3165467625899283E-2</v>
      </c>
    </row>
    <row r="369" spans="1:3">
      <c r="A369" s="178" t="s">
        <v>50</v>
      </c>
      <c r="B369" s="119">
        <v>6</v>
      </c>
      <c r="C369" s="127">
        <v>7.2289156626506021E-2</v>
      </c>
    </row>
    <row r="370" spans="1:3">
      <c r="A370" s="178" t="s">
        <v>88</v>
      </c>
      <c r="B370" s="119">
        <v>14</v>
      </c>
      <c r="C370" s="127">
        <v>0.14893617021276595</v>
      </c>
    </row>
    <row r="371" spans="1:3">
      <c r="A371" s="178" t="s">
        <v>33</v>
      </c>
      <c r="B371" s="119">
        <v>14</v>
      </c>
      <c r="C371" s="127">
        <v>0.14000000000000001</v>
      </c>
    </row>
    <row r="372" spans="1:3">
      <c r="A372" s="178" t="s">
        <v>24</v>
      </c>
      <c r="B372" s="119">
        <v>8</v>
      </c>
      <c r="C372" s="127">
        <v>4.9382716049382713E-2</v>
      </c>
    </row>
    <row r="373" spans="1:3">
      <c r="A373" s="178" t="s">
        <v>92</v>
      </c>
      <c r="B373" s="119">
        <v>3</v>
      </c>
      <c r="C373" s="127">
        <v>1.8633540372670808E-2</v>
      </c>
    </row>
    <row r="374" spans="1:3">
      <c r="A374" s="124">
        <v>9</v>
      </c>
      <c r="B374" s="119">
        <v>310</v>
      </c>
      <c r="C374" s="127">
        <v>9.7392397109644993E-2</v>
      </c>
    </row>
    <row r="375" spans="1:3">
      <c r="A375" s="178" t="s">
        <v>69</v>
      </c>
      <c r="B375" s="119">
        <v>6</v>
      </c>
      <c r="C375" s="127">
        <v>4.8000000000000001E-2</v>
      </c>
    </row>
    <row r="376" spans="1:3">
      <c r="A376" s="178" t="s">
        <v>36</v>
      </c>
      <c r="B376" s="119">
        <v>3</v>
      </c>
      <c r="C376" s="127">
        <v>4.4776119402985072E-2</v>
      </c>
    </row>
    <row r="377" spans="1:3">
      <c r="A377" s="178" t="s">
        <v>149</v>
      </c>
      <c r="B377" s="119">
        <v>22</v>
      </c>
      <c r="C377" s="127">
        <v>0.11</v>
      </c>
    </row>
    <row r="378" spans="1:3">
      <c r="A378" s="178" t="s">
        <v>90</v>
      </c>
      <c r="B378" s="119">
        <v>5</v>
      </c>
      <c r="C378" s="127">
        <v>2.8248587570621469E-2</v>
      </c>
    </row>
    <row r="379" spans="1:3">
      <c r="A379" s="178" t="s">
        <v>79</v>
      </c>
      <c r="B379" s="119">
        <v>6</v>
      </c>
      <c r="C379" s="127">
        <v>7.3170731707317069E-2</v>
      </c>
    </row>
    <row r="380" spans="1:3">
      <c r="A380" s="178" t="s">
        <v>60</v>
      </c>
      <c r="B380" s="119">
        <v>33</v>
      </c>
      <c r="C380" s="127">
        <v>0.29203539823008851</v>
      </c>
    </row>
    <row r="381" spans="1:3">
      <c r="A381" s="178" t="s">
        <v>57</v>
      </c>
      <c r="B381" s="119">
        <v>6</v>
      </c>
      <c r="C381" s="127">
        <v>7.8947368421052627E-2</v>
      </c>
    </row>
    <row r="382" spans="1:3">
      <c r="A382" s="178" t="s">
        <v>66</v>
      </c>
      <c r="B382" s="119">
        <v>22</v>
      </c>
      <c r="C382" s="127">
        <v>0.18333333333333332</v>
      </c>
    </row>
    <row r="383" spans="1:3">
      <c r="A383" s="178" t="s">
        <v>82</v>
      </c>
      <c r="B383" s="119">
        <v>7</v>
      </c>
      <c r="C383" s="127">
        <v>4.3478260869565216E-2</v>
      </c>
    </row>
    <row r="384" spans="1:3">
      <c r="A384" s="178" t="s">
        <v>48</v>
      </c>
      <c r="B384" s="119">
        <v>12</v>
      </c>
      <c r="C384" s="127">
        <v>6.8965517241379309E-2</v>
      </c>
    </row>
    <row r="385" spans="1:3">
      <c r="A385" s="178" t="s">
        <v>76</v>
      </c>
      <c r="B385" s="119">
        <v>9</v>
      </c>
      <c r="C385" s="127">
        <v>6.6176470588235295E-2</v>
      </c>
    </row>
    <row r="386" spans="1:3">
      <c r="A386" s="178" t="s">
        <v>27</v>
      </c>
      <c r="B386" s="119">
        <v>10</v>
      </c>
      <c r="C386" s="127">
        <v>6.4935064935064929E-2</v>
      </c>
    </row>
    <row r="387" spans="1:3">
      <c r="A387" s="178" t="s">
        <v>73</v>
      </c>
      <c r="B387" s="119">
        <v>10</v>
      </c>
      <c r="C387" s="127">
        <v>0.11363636363636363</v>
      </c>
    </row>
    <row r="388" spans="1:3">
      <c r="A388" s="178" t="s">
        <v>30</v>
      </c>
      <c r="B388" s="119">
        <v>8</v>
      </c>
      <c r="C388" s="127">
        <v>0.13114754098360656</v>
      </c>
    </row>
    <row r="389" spans="1:3">
      <c r="A389" s="178" t="s">
        <v>85</v>
      </c>
      <c r="B389" s="119">
        <v>26</v>
      </c>
      <c r="C389" s="127">
        <v>0.30232558139534882</v>
      </c>
    </row>
    <row r="390" spans="1:3">
      <c r="A390" s="178" t="s">
        <v>45</v>
      </c>
      <c r="B390" s="119">
        <v>2</v>
      </c>
      <c r="C390" s="127">
        <v>3.3333333333333333E-2</v>
      </c>
    </row>
    <row r="391" spans="1:3">
      <c r="A391" s="178" t="s">
        <v>20</v>
      </c>
      <c r="B391" s="119">
        <v>28</v>
      </c>
      <c r="C391" s="127">
        <v>0.12173913043478261</v>
      </c>
    </row>
    <row r="392" spans="1:3">
      <c r="A392" s="178" t="s">
        <v>54</v>
      </c>
      <c r="B392" s="119">
        <v>15</v>
      </c>
      <c r="C392" s="127">
        <v>7.0093457943925228E-2</v>
      </c>
    </row>
    <row r="393" spans="1:3">
      <c r="A393" s="178" t="s">
        <v>86</v>
      </c>
      <c r="B393" s="119">
        <v>14</v>
      </c>
      <c r="C393" s="127">
        <v>7.5268817204301078E-2</v>
      </c>
    </row>
    <row r="394" spans="1:3">
      <c r="A394" s="178" t="s">
        <v>50</v>
      </c>
      <c r="B394" s="119">
        <v>5</v>
      </c>
      <c r="C394" s="127">
        <v>5.8139534883720929E-2</v>
      </c>
    </row>
    <row r="395" spans="1:3">
      <c r="A395" s="178" t="s">
        <v>88</v>
      </c>
      <c r="B395" s="119">
        <v>14</v>
      </c>
      <c r="C395" s="127">
        <v>9.2105263157894732E-2</v>
      </c>
    </row>
    <row r="396" spans="1:3">
      <c r="A396" s="178" t="s">
        <v>33</v>
      </c>
      <c r="B396" s="119">
        <v>33</v>
      </c>
      <c r="C396" s="127">
        <v>0.17010309278350516</v>
      </c>
    </row>
    <row r="397" spans="1:3">
      <c r="A397" s="178" t="s">
        <v>24</v>
      </c>
      <c r="B397" s="119">
        <v>7</v>
      </c>
      <c r="C397" s="127">
        <v>9.3333333333333338E-2</v>
      </c>
    </row>
    <row r="398" spans="1:3">
      <c r="A398" s="178" t="s">
        <v>92</v>
      </c>
      <c r="B398" s="119">
        <v>7</v>
      </c>
      <c r="C398" s="127">
        <v>4.2168674698795178E-2</v>
      </c>
    </row>
    <row r="399" spans="1:3">
      <c r="A399" s="124">
        <v>10</v>
      </c>
      <c r="B399" s="119">
        <v>277</v>
      </c>
      <c r="C399" s="127">
        <v>7.914285714285714E-2</v>
      </c>
    </row>
    <row r="400" spans="1:3">
      <c r="A400" s="178" t="s">
        <v>69</v>
      </c>
      <c r="B400" s="119">
        <v>10</v>
      </c>
      <c r="C400" s="127">
        <v>6.1728395061728392E-2</v>
      </c>
    </row>
    <row r="401" spans="1:3">
      <c r="A401" s="178" t="s">
        <v>36</v>
      </c>
      <c r="B401" s="119">
        <v>0</v>
      </c>
      <c r="C401" s="127">
        <v>0</v>
      </c>
    </row>
    <row r="402" spans="1:3">
      <c r="A402" s="178" t="s">
        <v>149</v>
      </c>
      <c r="B402" s="119">
        <v>34</v>
      </c>
      <c r="C402" s="127">
        <v>0.15668202764976957</v>
      </c>
    </row>
    <row r="403" spans="1:3">
      <c r="A403" s="178" t="s">
        <v>90</v>
      </c>
      <c r="B403" s="119">
        <v>9</v>
      </c>
      <c r="C403" s="127">
        <v>5.1724137931034482E-2</v>
      </c>
    </row>
    <row r="404" spans="1:3">
      <c r="A404" s="178" t="s">
        <v>79</v>
      </c>
      <c r="B404" s="119">
        <v>12</v>
      </c>
      <c r="C404" s="127">
        <v>0.12244897959183673</v>
      </c>
    </row>
    <row r="405" spans="1:3">
      <c r="A405" s="178" t="s">
        <v>60</v>
      </c>
      <c r="B405" s="119">
        <v>8</v>
      </c>
      <c r="C405" s="127">
        <v>5.8823529411764705E-2</v>
      </c>
    </row>
    <row r="406" spans="1:3">
      <c r="A406" s="178" t="s">
        <v>57</v>
      </c>
      <c r="B406" s="119">
        <v>5</v>
      </c>
      <c r="C406" s="127">
        <v>5.6818181818181816E-2</v>
      </c>
    </row>
    <row r="407" spans="1:3">
      <c r="A407" s="178" t="s">
        <v>66</v>
      </c>
      <c r="B407" s="119">
        <v>10</v>
      </c>
      <c r="C407" s="127">
        <v>7.9365079365079361E-2</v>
      </c>
    </row>
    <row r="408" spans="1:3">
      <c r="A408" s="178" t="s">
        <v>82</v>
      </c>
      <c r="B408" s="119">
        <v>8</v>
      </c>
      <c r="C408" s="127">
        <v>5.4054054054054057E-2</v>
      </c>
    </row>
    <row r="409" spans="1:3">
      <c r="A409" s="178" t="s">
        <v>48</v>
      </c>
      <c r="B409" s="119">
        <v>14</v>
      </c>
      <c r="C409" s="127">
        <v>9.9290780141843976E-2</v>
      </c>
    </row>
    <row r="410" spans="1:3">
      <c r="A410" s="178" t="s">
        <v>76</v>
      </c>
      <c r="B410" s="119">
        <v>10</v>
      </c>
      <c r="C410" s="127">
        <v>5.6179775280898875E-2</v>
      </c>
    </row>
    <row r="411" spans="1:3">
      <c r="A411" s="178" t="s">
        <v>27</v>
      </c>
      <c r="B411" s="119">
        <v>12</v>
      </c>
      <c r="C411" s="127">
        <v>8.0536912751677847E-2</v>
      </c>
    </row>
    <row r="412" spans="1:3">
      <c r="A412" s="178" t="s">
        <v>73</v>
      </c>
      <c r="B412" s="119">
        <v>11</v>
      </c>
      <c r="C412" s="127">
        <v>7.8014184397163122E-2</v>
      </c>
    </row>
    <row r="413" spans="1:3">
      <c r="A413" s="178" t="s">
        <v>30</v>
      </c>
      <c r="B413" s="119">
        <v>11</v>
      </c>
      <c r="C413" s="127">
        <v>6.3953488372093026E-2</v>
      </c>
    </row>
    <row r="414" spans="1:3">
      <c r="A414" s="178" t="s">
        <v>85</v>
      </c>
      <c r="B414" s="119">
        <v>13</v>
      </c>
      <c r="C414" s="127">
        <v>9.7744360902255634E-2</v>
      </c>
    </row>
    <row r="415" spans="1:3">
      <c r="A415" s="178" t="s">
        <v>45</v>
      </c>
      <c r="B415" s="119">
        <v>4</v>
      </c>
      <c r="C415" s="127">
        <v>3.7383177570093455E-2</v>
      </c>
    </row>
    <row r="416" spans="1:3">
      <c r="A416" s="178" t="s">
        <v>20</v>
      </c>
      <c r="B416" s="119">
        <v>20</v>
      </c>
      <c r="C416" s="127">
        <v>0.10101010101010101</v>
      </c>
    </row>
    <row r="417" spans="1:3">
      <c r="A417" s="178" t="s">
        <v>54</v>
      </c>
      <c r="B417" s="119">
        <v>36</v>
      </c>
      <c r="C417" s="127">
        <v>0.16289592760180996</v>
      </c>
    </row>
    <row r="418" spans="1:3">
      <c r="A418" s="178" t="s">
        <v>86</v>
      </c>
      <c r="B418" s="119">
        <v>8</v>
      </c>
      <c r="C418" s="127">
        <v>4.1666666666666664E-2</v>
      </c>
    </row>
    <row r="419" spans="1:3">
      <c r="A419" s="178" t="s">
        <v>50</v>
      </c>
      <c r="B419" s="119">
        <v>5</v>
      </c>
      <c r="C419" s="127">
        <v>0.11627906976744186</v>
      </c>
    </row>
    <row r="420" spans="1:3">
      <c r="A420" s="178" t="s">
        <v>88</v>
      </c>
      <c r="B420" s="119">
        <v>11</v>
      </c>
      <c r="C420" s="127">
        <v>5.6122448979591837E-2</v>
      </c>
    </row>
    <row r="421" spans="1:3">
      <c r="A421" s="178" t="s">
        <v>33</v>
      </c>
      <c r="B421" s="119">
        <v>11</v>
      </c>
      <c r="C421" s="127">
        <v>4.2801556420233464E-2</v>
      </c>
    </row>
    <row r="422" spans="1:3">
      <c r="A422" s="178" t="s">
        <v>24</v>
      </c>
      <c r="B422" s="119">
        <v>7</v>
      </c>
      <c r="C422" s="127">
        <v>0.13725490196078433</v>
      </c>
    </row>
    <row r="423" spans="1:3">
      <c r="A423" s="178" t="s">
        <v>92</v>
      </c>
      <c r="B423" s="119">
        <v>8</v>
      </c>
      <c r="C423" s="127">
        <v>5.0955414012738856E-2</v>
      </c>
    </row>
    <row r="424" spans="1:3">
      <c r="A424" s="124">
        <v>11</v>
      </c>
      <c r="B424" s="119">
        <v>220</v>
      </c>
      <c r="C424" s="127">
        <v>6.4308681672025719E-2</v>
      </c>
    </row>
    <row r="425" spans="1:3">
      <c r="A425" s="178" t="s">
        <v>69</v>
      </c>
      <c r="B425" s="119">
        <v>5</v>
      </c>
      <c r="C425" s="127">
        <v>3.0303030303030304E-2</v>
      </c>
    </row>
    <row r="426" spans="1:3">
      <c r="A426" s="178" t="s">
        <v>36</v>
      </c>
      <c r="B426" s="119">
        <v>2</v>
      </c>
      <c r="C426" s="127">
        <v>1.5748031496062992E-2</v>
      </c>
    </row>
    <row r="427" spans="1:3">
      <c r="A427" s="178" t="s">
        <v>149</v>
      </c>
      <c r="B427" s="119">
        <v>19</v>
      </c>
      <c r="C427" s="127">
        <v>7.6923076923076927E-2</v>
      </c>
    </row>
    <row r="428" spans="1:3">
      <c r="A428" s="178" t="s">
        <v>90</v>
      </c>
      <c r="B428" s="119">
        <v>6</v>
      </c>
      <c r="C428" s="127">
        <v>7.5949367088607597E-2</v>
      </c>
    </row>
    <row r="429" spans="1:3">
      <c r="A429" s="178" t="s">
        <v>79</v>
      </c>
      <c r="B429" s="119">
        <v>18</v>
      </c>
      <c r="C429" s="127">
        <v>0.15929203539823009</v>
      </c>
    </row>
    <row r="430" spans="1:3">
      <c r="A430" s="178" t="s">
        <v>60</v>
      </c>
      <c r="B430" s="119">
        <v>8</v>
      </c>
      <c r="C430" s="127">
        <v>3.9024390243902439E-2</v>
      </c>
    </row>
    <row r="431" spans="1:3">
      <c r="A431" s="178" t="s">
        <v>57</v>
      </c>
      <c r="B431" s="119">
        <v>9</v>
      </c>
      <c r="C431" s="127">
        <v>4.4999999999999998E-2</v>
      </c>
    </row>
    <row r="432" spans="1:3">
      <c r="A432" s="178" t="s">
        <v>66</v>
      </c>
      <c r="B432" s="119">
        <v>6</v>
      </c>
      <c r="C432" s="127">
        <v>8.8235294117647065E-2</v>
      </c>
    </row>
    <row r="433" spans="1:3">
      <c r="A433" s="178" t="s">
        <v>82</v>
      </c>
      <c r="B433" s="119">
        <v>8</v>
      </c>
      <c r="C433" s="127">
        <v>0.13114754098360656</v>
      </c>
    </row>
    <row r="434" spans="1:3">
      <c r="A434" s="178" t="s">
        <v>48</v>
      </c>
      <c r="B434" s="119">
        <v>11</v>
      </c>
      <c r="C434" s="127">
        <v>0.10280373831775701</v>
      </c>
    </row>
    <row r="435" spans="1:3">
      <c r="A435" s="178" t="s">
        <v>76</v>
      </c>
      <c r="B435" s="119">
        <v>8</v>
      </c>
      <c r="C435" s="127">
        <v>6.6666666666666666E-2</v>
      </c>
    </row>
    <row r="436" spans="1:3">
      <c r="A436" s="178" t="s">
        <v>27</v>
      </c>
      <c r="B436" s="119">
        <v>9</v>
      </c>
      <c r="C436" s="127">
        <v>8.1081081081081086E-2</v>
      </c>
    </row>
    <row r="437" spans="1:3">
      <c r="A437" s="178" t="s">
        <v>73</v>
      </c>
      <c r="B437" s="119">
        <v>7</v>
      </c>
      <c r="C437" s="127">
        <v>6.5420560747663545E-2</v>
      </c>
    </row>
    <row r="438" spans="1:3">
      <c r="A438" s="178" t="s">
        <v>30</v>
      </c>
      <c r="B438" s="119">
        <v>6</v>
      </c>
      <c r="C438" s="127">
        <v>7.792207792207792E-2</v>
      </c>
    </row>
    <row r="439" spans="1:3">
      <c r="A439" s="178" t="s">
        <v>85</v>
      </c>
      <c r="B439" s="119">
        <v>9</v>
      </c>
      <c r="C439" s="127">
        <v>5.3254437869822487E-2</v>
      </c>
    </row>
    <row r="440" spans="1:3">
      <c r="A440" s="178" t="s">
        <v>45</v>
      </c>
      <c r="B440" s="119">
        <v>7</v>
      </c>
      <c r="C440" s="127">
        <v>7.2916666666666671E-2</v>
      </c>
    </row>
    <row r="441" spans="1:3">
      <c r="A441" s="178" t="s">
        <v>20</v>
      </c>
      <c r="B441" s="119">
        <v>20</v>
      </c>
      <c r="C441" s="127">
        <v>8.2987551867219914E-2</v>
      </c>
    </row>
    <row r="442" spans="1:3">
      <c r="A442" s="178" t="s">
        <v>54</v>
      </c>
      <c r="B442" s="119">
        <v>16</v>
      </c>
      <c r="C442" s="127">
        <v>7.2072072072072071E-2</v>
      </c>
    </row>
    <row r="443" spans="1:3">
      <c r="A443" s="178" t="s">
        <v>86</v>
      </c>
      <c r="B443" s="119">
        <v>9</v>
      </c>
      <c r="C443" s="127">
        <v>4.4554455445544552E-2</v>
      </c>
    </row>
    <row r="444" spans="1:3">
      <c r="A444" s="178" t="s">
        <v>50</v>
      </c>
      <c r="B444" s="119">
        <v>2</v>
      </c>
      <c r="C444" s="127">
        <v>1.3888888888888888E-2</v>
      </c>
    </row>
    <row r="445" spans="1:3">
      <c r="A445" s="178" t="s">
        <v>88</v>
      </c>
      <c r="B445" s="119">
        <v>14</v>
      </c>
      <c r="C445" s="127">
        <v>6.8627450980392163E-2</v>
      </c>
    </row>
    <row r="446" spans="1:3">
      <c r="A446" s="178" t="s">
        <v>33</v>
      </c>
      <c r="B446" s="119">
        <v>11</v>
      </c>
      <c r="C446" s="127">
        <v>7.746478873239436E-2</v>
      </c>
    </row>
    <row r="447" spans="1:3">
      <c r="A447" s="178" t="s">
        <v>24</v>
      </c>
      <c r="B447" s="119">
        <v>3</v>
      </c>
      <c r="C447" s="127">
        <v>2.5210084033613446E-2</v>
      </c>
    </row>
    <row r="448" spans="1:3">
      <c r="A448" s="178" t="s">
        <v>92</v>
      </c>
      <c r="B448" s="119">
        <v>7</v>
      </c>
      <c r="C448" s="127">
        <v>7.3684210526315783E-2</v>
      </c>
    </row>
    <row r="449" spans="1:3">
      <c r="A449" s="124" t="s">
        <v>244</v>
      </c>
      <c r="B449" s="119"/>
      <c r="C449" s="127" t="e">
        <v>#DIV/0!</v>
      </c>
    </row>
    <row r="450" spans="1:3">
      <c r="A450" s="178" t="s">
        <v>244</v>
      </c>
      <c r="B450" s="119"/>
      <c r="C450" s="127" t="e">
        <v>#DIV/0!</v>
      </c>
    </row>
    <row r="451" spans="1:3">
      <c r="A451" s="124">
        <v>12</v>
      </c>
      <c r="B451" s="119">
        <v>235</v>
      </c>
      <c r="C451" s="127">
        <v>7.5806451612903225E-2</v>
      </c>
    </row>
    <row r="452" spans="1:3">
      <c r="A452" s="178" t="s">
        <v>69</v>
      </c>
      <c r="B452" s="119">
        <v>5</v>
      </c>
      <c r="C452" s="127">
        <v>2.5252525252525252E-2</v>
      </c>
    </row>
    <row r="453" spans="1:3">
      <c r="A453" s="178" t="s">
        <v>36</v>
      </c>
      <c r="B453" s="119">
        <v>3</v>
      </c>
      <c r="C453" s="127">
        <v>6.3829787234042548E-2</v>
      </c>
    </row>
    <row r="454" spans="1:3">
      <c r="A454" s="178" t="s">
        <v>149</v>
      </c>
      <c r="B454" s="119">
        <v>25</v>
      </c>
      <c r="C454" s="127">
        <v>0.20833333333333334</v>
      </c>
    </row>
    <row r="455" spans="1:3">
      <c r="A455" s="178" t="s">
        <v>90</v>
      </c>
      <c r="B455" s="119">
        <v>6</v>
      </c>
      <c r="C455" s="127">
        <v>4.195804195804196E-2</v>
      </c>
    </row>
    <row r="456" spans="1:3">
      <c r="A456" s="178" t="s">
        <v>79</v>
      </c>
      <c r="B456" s="119">
        <v>6</v>
      </c>
      <c r="C456" s="127">
        <v>0.11320754716981132</v>
      </c>
    </row>
    <row r="457" spans="1:3">
      <c r="A457" s="178" t="s">
        <v>60</v>
      </c>
      <c r="B457" s="119">
        <v>16</v>
      </c>
      <c r="C457" s="127">
        <v>0.10062893081761007</v>
      </c>
    </row>
    <row r="458" spans="1:3">
      <c r="A458" s="178" t="s">
        <v>57</v>
      </c>
      <c r="B458" s="119">
        <v>10</v>
      </c>
      <c r="C458" s="127">
        <v>6.535947712418301E-2</v>
      </c>
    </row>
    <row r="459" spans="1:3">
      <c r="A459" s="178" t="s">
        <v>66</v>
      </c>
      <c r="B459" s="119">
        <v>9</v>
      </c>
      <c r="C459" s="127">
        <v>0.13432835820895522</v>
      </c>
    </row>
    <row r="460" spans="1:3">
      <c r="A460" s="178" t="s">
        <v>82</v>
      </c>
      <c r="B460" s="119">
        <v>6</v>
      </c>
      <c r="C460" s="127">
        <v>9.6774193548387094E-2</v>
      </c>
    </row>
    <row r="461" spans="1:3">
      <c r="A461" s="178" t="s">
        <v>48</v>
      </c>
      <c r="B461" s="119">
        <v>11</v>
      </c>
      <c r="C461" s="127">
        <v>6.8750000000000006E-2</v>
      </c>
    </row>
    <row r="462" spans="1:3">
      <c r="A462" s="178" t="s">
        <v>76</v>
      </c>
      <c r="B462" s="119">
        <v>8</v>
      </c>
      <c r="C462" s="127">
        <v>5.7142857142857141E-2</v>
      </c>
    </row>
    <row r="463" spans="1:3">
      <c r="A463" s="178" t="s">
        <v>27</v>
      </c>
      <c r="B463" s="119">
        <v>10</v>
      </c>
      <c r="C463" s="127">
        <v>9.1743119266055051E-2</v>
      </c>
    </row>
    <row r="464" spans="1:3">
      <c r="A464" s="178" t="s">
        <v>73</v>
      </c>
      <c r="B464" s="119">
        <v>4</v>
      </c>
      <c r="C464" s="127">
        <v>2.8985507246376812E-2</v>
      </c>
    </row>
    <row r="465" spans="1:3">
      <c r="A465" s="178" t="s">
        <v>30</v>
      </c>
      <c r="B465" s="119">
        <v>10</v>
      </c>
      <c r="C465" s="127">
        <v>0.08</v>
      </c>
    </row>
    <row r="466" spans="1:3">
      <c r="A466" s="178" t="s">
        <v>85</v>
      </c>
      <c r="B466" s="119">
        <v>7</v>
      </c>
      <c r="C466" s="127">
        <v>5.2238805970149252E-2</v>
      </c>
    </row>
    <row r="467" spans="1:3">
      <c r="A467" s="178" t="s">
        <v>45</v>
      </c>
      <c r="B467" s="119">
        <v>11</v>
      </c>
      <c r="C467" s="127">
        <v>0.11827956989247312</v>
      </c>
    </row>
    <row r="468" spans="1:3">
      <c r="A468" s="178" t="s">
        <v>20</v>
      </c>
      <c r="B468" s="119">
        <v>26</v>
      </c>
      <c r="C468" s="127">
        <v>0.11607142857142858</v>
      </c>
    </row>
    <row r="469" spans="1:3">
      <c r="A469" s="178" t="s">
        <v>54</v>
      </c>
      <c r="B469" s="119">
        <v>14</v>
      </c>
      <c r="C469" s="127">
        <v>6.9306930693069313E-2</v>
      </c>
    </row>
    <row r="470" spans="1:3">
      <c r="A470" s="178" t="s">
        <v>86</v>
      </c>
      <c r="B470" s="119">
        <v>8</v>
      </c>
      <c r="C470" s="127">
        <v>4.6511627906976744E-2</v>
      </c>
    </row>
    <row r="471" spans="1:3">
      <c r="A471" s="178" t="s">
        <v>50</v>
      </c>
      <c r="B471" s="119">
        <v>6</v>
      </c>
      <c r="C471" s="127">
        <v>6.741573033707865E-2</v>
      </c>
    </row>
    <row r="472" spans="1:3">
      <c r="A472" s="178" t="s">
        <v>88</v>
      </c>
      <c r="B472" s="119">
        <v>7</v>
      </c>
      <c r="C472" s="127">
        <v>3.825136612021858E-2</v>
      </c>
    </row>
    <row r="473" spans="1:3">
      <c r="A473" s="178" t="s">
        <v>33</v>
      </c>
      <c r="B473" s="119">
        <v>14</v>
      </c>
      <c r="C473" s="127">
        <v>0.11023622047244094</v>
      </c>
    </row>
    <row r="474" spans="1:3">
      <c r="A474" s="178" t="s">
        <v>24</v>
      </c>
      <c r="B474" s="119">
        <v>6</v>
      </c>
      <c r="C474" s="127">
        <v>4.878048780487805E-2</v>
      </c>
    </row>
    <row r="475" spans="1:3">
      <c r="A475" s="178" t="s">
        <v>92</v>
      </c>
      <c r="B475" s="119">
        <v>7</v>
      </c>
      <c r="C475" s="127">
        <v>8.8607594936708861E-2</v>
      </c>
    </row>
    <row r="476" spans="1:3">
      <c r="A476" s="124" t="s">
        <v>143</v>
      </c>
      <c r="B476" s="129">
        <v>2972</v>
      </c>
      <c r="C476" s="127">
        <v>7.9548191964883164E-2</v>
      </c>
    </row>
  </sheetData>
  <autoFilter ref="A139:B167" xr:uid="{FF920AE4-A37C-4BAE-8EA6-C3ECB380F501}"/>
  <phoneticPr fontId="25"/>
  <pageMargins left="0.7" right="0.7" top="0.75" bottom="0.75" header="0.3" footer="0.3"/>
  <pageSetup paperSize="9" orientation="portrait" r:id="rId22"/>
  <drawing r:id="rId2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b7afc1f2-d560-4dba-80a8-17b155a7fbf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8006A3608E3D4A8666AF0296775545" ma:contentTypeVersion="12" ma:contentTypeDescription="Create a new document." ma:contentTypeScope="" ma:versionID="7019d49602c65db54dac0134cf7bbc0d">
  <xsd:schema xmlns:xsd="http://www.w3.org/2001/XMLSchema" xmlns:xs="http://www.w3.org/2001/XMLSchema" xmlns:p="http://schemas.microsoft.com/office/2006/metadata/properties" xmlns:ns2="b7afc1f2-d560-4dba-80a8-17b155a7fbff" xmlns:ns3="57e96652-6f51-49df-b9d1-be0bba97ebaa" targetNamespace="http://schemas.microsoft.com/office/2006/metadata/properties" ma:root="true" ma:fieldsID="94bec1574c81ef24bc0b576a824778c1" ns2:_="" ns3:_="">
    <xsd:import namespace="b7afc1f2-d560-4dba-80a8-17b155a7fbff"/>
    <xsd:import namespace="57e96652-6f51-49df-b9d1-be0bba97eb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afc1f2-d560-4dba-80a8-17b155a7fb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_Flow_SignoffStatus" ma:index="19"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e96652-6f51-49df-b9d1-be0bba97eba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FABE53-8E91-485E-A073-6A0052481B18}">
  <ds:schemaRefs>
    <ds:schemaRef ds:uri="http://purl.org/dc/terms/"/>
    <ds:schemaRef ds:uri="b7afc1f2-d560-4dba-80a8-17b155a7fbff"/>
    <ds:schemaRef ds:uri="http://schemas.microsoft.com/office/infopath/2007/PartnerControls"/>
    <ds:schemaRef ds:uri="57e96652-6f51-49df-b9d1-be0bba97ebaa"/>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267E4149-9BC1-4F69-96DA-AA6CA8718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afc1f2-d560-4dba-80a8-17b155a7fbff"/>
    <ds:schemaRef ds:uri="57e96652-6f51-49df-b9d1-be0bba97eb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90FC2-5FA6-4B4E-B9A5-4FFF983171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Tháng 6</vt:lpstr>
      <vt:lpstr>Tháng 7</vt:lpstr>
      <vt:lpstr>Tháng 8</vt:lpstr>
      <vt:lpstr>Tháng 9</vt:lpstr>
      <vt:lpstr>Tháng 10</vt:lpstr>
      <vt:lpstr>Tháng 11</vt:lpstr>
      <vt:lpstr>Tháng 12</vt:lpstr>
      <vt:lpstr>Dashboard</vt:lpstr>
      <vt:lpstr>Pivot</vt:lpstr>
      <vt:lpstr>Dữ liệu</vt:lpstr>
      <vt:lpstr>Sơ kết MKT 2022</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Tuan - VPHCM</dc:creator>
  <cp:keywords/>
  <dc:description/>
  <cp:lastModifiedBy>Nguyen Vuong Cuong - VPHCM</cp:lastModifiedBy>
  <cp:revision/>
  <cp:lastPrinted>2022-12-13T09:58:35Z</cp:lastPrinted>
  <dcterms:created xsi:type="dcterms:W3CDTF">2021-07-30T01:54:56Z</dcterms:created>
  <dcterms:modified xsi:type="dcterms:W3CDTF">2023-03-18T04:32:09Z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0x010100278006A3608E3D4A8666AF0296775545</vt:lpwstr>
  </property>
</Properties>
</file>