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githubs\FMC-320U\Administracion\"/>
    </mc:Choice>
  </mc:AlternateContent>
  <xr:revisionPtr revIDLastSave="0" documentId="13_ncr:1_{FD1C982E-51E1-40D3-90D8-33298BB64C22}" xr6:coauthVersionLast="47" xr6:coauthVersionMax="47" xr10:uidLastSave="{00000000-0000-0000-0000-000000000000}"/>
  <bookViews>
    <workbookView xWindow="-120" yWindow="-120" windowWidth="29040" windowHeight="15720" activeTab="4" xr2:uid="{00000000-000D-0000-FFFF-FFFF00000000}"/>
  </bookViews>
  <sheets>
    <sheet name="Leer" sheetId="5" r:id="rId1"/>
    <sheet name="Logger Capacidad" sheetId="1" r:id="rId2"/>
    <sheet name="Logger Consumo" sheetId="2" r:id="rId3"/>
    <sheet name="Impresora Consumo" sheetId="4" r:id="rId4"/>
    <sheet name="Consum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4" l="1"/>
  <c r="G13" i="4"/>
  <c r="G11" i="4"/>
  <c r="H6" i="2"/>
  <c r="I6" i="2"/>
  <c r="D7" i="3"/>
  <c r="D6" i="3"/>
  <c r="N7" i="3"/>
  <c r="E6" i="3"/>
  <c r="E7" i="3"/>
  <c r="E12" i="4"/>
  <c r="E13" i="4"/>
  <c r="E11" i="4"/>
  <c r="D22" i="2"/>
  <c r="E22" i="2" s="1"/>
  <c r="F22" i="2" s="1"/>
  <c r="E21" i="2"/>
  <c r="F21" i="2" s="1"/>
  <c r="E4" i="2"/>
  <c r="C9" i="1"/>
  <c r="M6" i="1" s="1"/>
  <c r="I7" i="1"/>
  <c r="I8" i="1"/>
  <c r="I9" i="1"/>
  <c r="I10" i="1"/>
  <c r="I11" i="1"/>
  <c r="I12" i="1"/>
  <c r="I13" i="1"/>
  <c r="I14" i="1"/>
  <c r="I6" i="1"/>
  <c r="L6" i="1"/>
  <c r="F14" i="1"/>
  <c r="H14" i="1" s="1"/>
  <c r="H7" i="1"/>
  <c r="H10" i="1"/>
  <c r="H11" i="1"/>
  <c r="H12" i="1"/>
  <c r="H13" i="1"/>
  <c r="H6" i="1"/>
  <c r="F8" i="1"/>
  <c r="F7" i="1"/>
  <c r="C7" i="1"/>
  <c r="E9" i="3" l="1"/>
  <c r="E10" i="3" s="1"/>
  <c r="E12" i="3" s="1"/>
  <c r="D23" i="2"/>
  <c r="E23" i="2" s="1"/>
  <c r="F23" i="2" s="1"/>
  <c r="H23" i="2" s="1"/>
  <c r="I23" i="2" s="1"/>
  <c r="K21" i="2"/>
  <c r="J21" i="2"/>
  <c r="H21" i="2"/>
  <c r="I21" i="2" s="1"/>
  <c r="G21" i="2"/>
  <c r="G22" i="2"/>
  <c r="K22" i="2"/>
  <c r="J22" i="2"/>
  <c r="H22" i="2"/>
  <c r="I22" i="2" s="1"/>
  <c r="D5" i="2"/>
  <c r="F4" i="2"/>
  <c r="G4" i="2" s="1"/>
  <c r="H9" i="1"/>
  <c r="H8" i="1"/>
  <c r="F9" i="1"/>
  <c r="E11" i="3" l="1"/>
  <c r="J23" i="2"/>
  <c r="K23" i="2"/>
  <c r="G23" i="2"/>
  <c r="E5" i="2"/>
  <c r="F5" i="2" s="1"/>
  <c r="J5" i="2" s="1"/>
  <c r="D6" i="2"/>
  <c r="E6" i="2" s="1"/>
  <c r="F6" i="2" s="1"/>
  <c r="H4" i="2"/>
  <c r="I4" i="2" s="1"/>
  <c r="J4" i="2"/>
  <c r="K4" i="2"/>
  <c r="F10" i="1"/>
  <c r="K5" i="2" l="1"/>
  <c r="G5" i="2"/>
  <c r="H5" i="2"/>
  <c r="I5" i="2" s="1"/>
  <c r="J6" i="2"/>
  <c r="K6" i="2"/>
  <c r="G6" i="2"/>
  <c r="F11" i="1"/>
  <c r="F12" i="1" l="1"/>
  <c r="F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H Sagarra</author>
  </authors>
  <commentList>
    <comment ref="L6" authorId="0" shapeId="0" xr:uid="{80AAC28F-9272-4F49-8897-DCB17F9E8372}">
      <text>
        <r>
          <rPr>
            <b/>
            <sz val="9"/>
            <color indexed="81"/>
            <rFont val="Tahoma"/>
            <charset val="1"/>
          </rPr>
          <t>Daniel H Sagarra:</t>
        </r>
        <r>
          <rPr>
            <sz val="9"/>
            <color indexed="81"/>
            <rFont val="Tahoma"/>
            <charset val="1"/>
          </rPr>
          <t xml:space="preserve">
Tension a nueva
</t>
        </r>
      </text>
    </comment>
    <comment ref="M6" authorId="0" shapeId="0" xr:uid="{80BCDC4D-2C43-4BC4-A6F4-36F4201E7021}">
      <text>
        <r>
          <rPr>
            <b/>
            <sz val="9"/>
            <color indexed="81"/>
            <rFont val="Tahoma"/>
            <charset val="1"/>
          </rPr>
          <t>Daniel H Sagarra:</t>
        </r>
        <r>
          <rPr>
            <sz val="9"/>
            <color indexed="81"/>
            <rFont val="Tahoma"/>
            <charset val="1"/>
          </rPr>
          <t xml:space="preserve">
Tension a advertencia de baja bateria, vida util.</t>
        </r>
      </text>
    </comment>
    <comment ref="N6" authorId="0" shapeId="0" xr:uid="{00A6AEC9-51F8-491B-AA35-E81EB4E616D7}">
      <text>
        <r>
          <rPr>
            <b/>
            <sz val="9"/>
            <color indexed="81"/>
            <rFont val="Tahoma"/>
            <charset val="1"/>
          </rPr>
          <t>Daniel H Sagarra:</t>
        </r>
        <r>
          <rPr>
            <sz val="9"/>
            <color indexed="81"/>
            <rFont val="Tahoma"/>
            <charset val="1"/>
          </rPr>
          <t xml:space="preserve">
Capacidad de la bateia a V low</t>
        </r>
      </text>
    </comment>
    <comment ref="N7" authorId="0" shapeId="0" xr:uid="{9A04B383-5B63-4690-AF05-A2E37272F9F1}">
      <text>
        <r>
          <rPr>
            <b/>
            <sz val="9"/>
            <color indexed="81"/>
            <rFont val="Tahoma"/>
            <family val="2"/>
          </rPr>
          <t>Daniel H Sagarra:</t>
        </r>
        <r>
          <rPr>
            <sz val="9"/>
            <color indexed="81"/>
            <rFont val="Tahoma"/>
            <family val="2"/>
          </rPr>
          <t xml:space="preserve">
Se concidera que al haber usado el 85% de la capacidad de la bateria es necesaria cambiar. Por el comportamiento de esta bateria, curva plana en la descarga, y otros virutes de este modelo, es mas que suficiente.</t>
        </r>
      </text>
    </comment>
  </commentList>
</comments>
</file>

<file path=xl/sharedStrings.xml><?xml version="1.0" encoding="utf-8"?>
<sst xmlns="http://schemas.openxmlformats.org/spreadsheetml/2006/main" count="91" uniqueCount="68">
  <si>
    <t>Memoria Inicial</t>
  </si>
  <si>
    <t>Memoria Final</t>
  </si>
  <si>
    <t>hex</t>
  </si>
  <si>
    <t>Bytes</t>
  </si>
  <si>
    <t>81FFFFF</t>
  </si>
  <si>
    <t>Capacidad</t>
  </si>
  <si>
    <t>Tamaño de registro</t>
  </si>
  <si>
    <t>Capacidad de registros</t>
  </si>
  <si>
    <t>Unidad</t>
  </si>
  <si>
    <t>Capacidad [años]</t>
  </si>
  <si>
    <t>Minutos entre registros</t>
  </si>
  <si>
    <t>Periodo</t>
  </si>
  <si>
    <t>Aplicacion</t>
  </si>
  <si>
    <t>Camion cisterna</t>
  </si>
  <si>
    <t>Registros/dia</t>
  </si>
  <si>
    <t>Registros [dia]</t>
  </si>
  <si>
    <t>Capacida[años]</t>
  </si>
  <si>
    <t>Capacidad de la bateria [ma/h]</t>
  </si>
  <si>
    <t>Conexiones soportadas para uso del 100% de la bateria</t>
  </si>
  <si>
    <t>Conexiones soportadas para uso del 15% de la bateria</t>
  </si>
  <si>
    <t>Vida util [dias] a una conexión pór dia.</t>
  </si>
  <si>
    <t xml:space="preserve">Vida util [dias] a una conexión por semana </t>
  </si>
  <si>
    <t>Vida util [dias] a una conexión por mes</t>
  </si>
  <si>
    <t xml:space="preserve">Vida util [años] a una conexión por semana </t>
  </si>
  <si>
    <t>Vida util [años] a una conexión por mes</t>
  </si>
  <si>
    <r>
      <t xml:space="preserve">Corriente [mA]
</t>
    </r>
    <r>
      <rPr>
        <b/>
        <sz val="11"/>
        <color theme="1"/>
        <rFont val="Calibri"/>
        <family val="2"/>
        <scheme val="minor"/>
      </rPr>
      <t>Nota: elegir modulo con consumo en el orden de 10mA</t>
    </r>
  </si>
  <si>
    <t>Duracion promedio de conexión [segundos]
Nota: optimizar tiempo de conexión, operación conjunta firmware y app</t>
  </si>
  <si>
    <t>PARA UN CONSUMO DE 70 MA, QUE ES ALTO POR EL MODULO ORIGINAL QUE SE ESTA USANDO, SI CONCIDERAMOS QUE EL 15% DE LA CARGA DE LA BATERIA SE LA DESTINA A LA ALIMENTACION DEL DATA LOGGER, DESCARGANDO LOS DATOS UN VEZ POR SEMANA, SI LA DESCARGA SE LOGRA HACER EN UN MINUTO, LO ANTERIOR NOS DA UNA DURACION DE 4.68 AÑOS. LA VIDA UTIL DEL INSTRUMENTO AUN SERIA DE 3 AÑOS, SI SE CUMPLE CON LO SIGUIENTE</t>
  </si>
  <si>
    <t>1) TRANSMITIR LOS DATOS EN 60 SEGUNDOS O MENOS</t>
  </si>
  <si>
    <t>3) EL USUARIO DESCARGA LOS DATOS CON UNA FRECUENCIA DE UNA VEZ POR SEMANA</t>
  </si>
  <si>
    <t>EL CONSUMO DEL MODULO ESTA MUY POR ENCIMA DE LO QUE SE PODRIA CONSEGUIR, 10 MA ES UN CONSUMO MAS ACORDE SI LO QUE SE BUSCA ES AUMENTAR LA FRECUENCIA DE CONEXIONES</t>
  </si>
  <si>
    <t xml:space="preserve">EN EL CASO ANTERIOR, EL SISTEMA COMPLETO CONSUMO 10MA AL  TRANSMITIR, CON UNA CONEXIÓN DIARIA, Y A 60 SEGUNDOS POR CONEXIÓN, DESTINAMOS EL 5% DE LA CAPACIDAD DE LA BATERIA Y AUN ASI TENEMOS 10.9 AÑOS DE AUTONOMIA PARA LA TRANSMISION DE DATOS. </t>
  </si>
  <si>
    <t>Consumo</t>
  </si>
  <si>
    <t>Estado</t>
  </si>
  <si>
    <t>Consumo [uA]</t>
  </si>
  <si>
    <t>Capacidad bateria</t>
  </si>
  <si>
    <t>Flujo cero</t>
  </si>
  <si>
    <t>Ciclo trabajo</t>
  </si>
  <si>
    <t>Flujo</t>
  </si>
  <si>
    <t>Total</t>
  </si>
  <si>
    <t>Consumo Medio</t>
  </si>
  <si>
    <t>uA-promerio</t>
  </si>
  <si>
    <t>Duracion</t>
  </si>
  <si>
    <t>Horas</t>
  </si>
  <si>
    <t>años</t>
  </si>
  <si>
    <t>CALCULO DE DURACION DE LA BATERIA. ESTE CALCULO SOLAMENTE TIENE EN CUENTA LO QUE CONSUMO EL COMPUTADOR SI LA SEÑAL DE ENTRADA ES UN SENSOR PICK-UP. QUE ENTREGA SEÑAL DURANTE UNA DETERMINADA PORCION DEL DIA</t>
  </si>
  <si>
    <t>Bateria</t>
  </si>
  <si>
    <t>ENERGIZER L91</t>
  </si>
  <si>
    <t>Capacidad [mAh]</t>
  </si>
  <si>
    <t>Unidd</t>
  </si>
  <si>
    <t>V inicial</t>
  </si>
  <si>
    <t>Utilidad</t>
  </si>
  <si>
    <t>V low</t>
  </si>
  <si>
    <t>La vida util de la bateria se estima en 6.5 años, trabajando con un pick-up 8 horas dia los 365 dias del año.</t>
  </si>
  <si>
    <t>Duracion de la bateria a LOW Battery</t>
  </si>
  <si>
    <t>Vida util [años]</t>
  </si>
  <si>
    <t>Agregar calculos para consumo de impreso</t>
  </si>
  <si>
    <t>impresión</t>
  </si>
  <si>
    <t>mA</t>
  </si>
  <si>
    <t>Tiempo</t>
  </si>
  <si>
    <t>s</t>
  </si>
  <si>
    <t>Duracion de impresión</t>
  </si>
  <si>
    <t>Impresiones por dia</t>
  </si>
  <si>
    <t>Impresión soportadas para uso del 15% de la bateria</t>
  </si>
  <si>
    <t>Nota, las mediciones en este caso se hicieron con el ST-LKINK desconectado, si se conecta el ST-LINK hay un drenaje de corriente desde ST-LINK hacia el computador, y el consumo disminuye 5uA aproximadamente.</t>
  </si>
  <si>
    <t>Reservo el 15% de la capacidad de la bateria para descarga de datos o imprimir ticket.</t>
  </si>
  <si>
    <t>Años de autonnomia</t>
  </si>
  <si>
    <t>Suponiendo que el equipo funciona 8 horas al día, los 365 días del año, y asignando un 15% de la capacidad de la batería al data logger o a la impresión de tickets:
En el caso de imprimir 3 tickets por dia, 365 dias al año, la vida útil estimada de la batería sería superior a 4,09 años.
Si se descargan los datos una vez por semana, con una conexión de 120 segundos, la vida útil estimada de la batería sería superior a 4,32 años.
Ambos escenarios son muy desfavorables. Por lo tanto, es razonable establecer una vida útil nominal de 5 años para la batería.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</si>
</sst>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50">
    <xf numFmtId="0" fontId="0" fillId="0" borderId="0" xfId="0"/>
    <xf numFmtId="0" fontId="0" fillId="0" borderId="0" xfId="0" applyAlignment="1">
      <alignment horizontal="right"/>
    </xf>
    <xf numFmtId="2" fontId="0" fillId="0" borderId="0" xfId="0" applyNumberFormat="1"/>
    <xf numFmtId="0" fontId="0" fillId="0" borderId="1" xfId="0" applyBorder="1" applyAlignment="1">
      <alignment vertical="center" wrapText="1"/>
    </xf>
    <xf numFmtId="0" fontId="0" fillId="0" borderId="1" xfId="0" applyBorder="1"/>
    <xf numFmtId="1" fontId="0" fillId="0" borderId="1" xfId="0" applyNumberFormat="1" applyBorder="1"/>
    <xf numFmtId="0" fontId="0" fillId="0" borderId="0" xfId="0" applyAlignment="1">
      <alignment horizontal="left" vertical="center" wrapText="1"/>
    </xf>
    <xf numFmtId="2" fontId="0" fillId="0" borderId="1" xfId="0" applyNumberFormat="1" applyBorder="1"/>
    <xf numFmtId="164" fontId="0" fillId="0" borderId="1" xfId="0" applyNumberFormat="1" applyBorder="1"/>
    <xf numFmtId="9" fontId="0" fillId="0" borderId="1" xfId="1" applyFont="1"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xf>
    <xf numFmtId="164" fontId="0" fillId="0" borderId="14" xfId="0" applyNumberFormat="1" applyBorder="1" applyAlignment="1">
      <alignment horizontal="right" vertical="center"/>
    </xf>
    <xf numFmtId="164" fontId="0" fillId="0" borderId="15" xfId="0" applyNumberFormat="1" applyBorder="1" applyAlignment="1">
      <alignment horizontal="right" vertical="center"/>
    </xf>
    <xf numFmtId="164" fontId="0" fillId="0" borderId="12" xfId="0" applyNumberFormat="1" applyBorder="1" applyAlignment="1">
      <alignment horizontal="righ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2" xfId="0" applyBorder="1" applyAlignment="1">
      <alignment horizontal="left" vertical="center"/>
    </xf>
    <xf numFmtId="0" fontId="0" fillId="0" borderId="1" xfId="0" applyBorder="1" applyAlignment="1">
      <alignment horizontal="center"/>
    </xf>
    <xf numFmtId="0" fontId="0" fillId="0" borderId="10" xfId="0" applyBorder="1" applyAlignment="1">
      <alignment horizontal="left"/>
    </xf>
    <xf numFmtId="0" fontId="0" fillId="0" borderId="13" xfId="0" applyBorder="1" applyAlignment="1">
      <alignment horizontal="left"/>
    </xf>
    <xf numFmtId="0" fontId="0" fillId="0" borderId="11" xfId="0" applyBorder="1" applyAlignment="1">
      <alignment horizontal="left"/>
    </xf>
    <xf numFmtId="0" fontId="0" fillId="0" borderId="10" xfId="0"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1" xfId="0" applyBorder="1" applyAlignment="1">
      <alignment horizontal="center" wrapText="1"/>
    </xf>
    <xf numFmtId="1" fontId="9" fillId="0" borderId="1" xfId="0" applyNumberFormat="1" applyFont="1" applyFill="1" applyBorder="1"/>
    <xf numFmtId="2" fontId="9" fillId="0" borderId="1" xfId="0" applyNumberFormat="1" applyFont="1" applyFill="1" applyBorder="1"/>
    <xf numFmtId="0" fontId="2" fillId="3" borderId="1" xfId="0" applyFont="1" applyFill="1" applyBorder="1"/>
    <xf numFmtId="0" fontId="0" fillId="0" borderId="0" xfId="0"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D961B-0A29-48E7-A995-56FB494DCCEE}">
  <dimension ref="B3:I7"/>
  <sheetViews>
    <sheetView workbookViewId="0">
      <selection activeCell="H13" sqref="H13"/>
    </sheetView>
  </sheetViews>
  <sheetFormatPr defaultRowHeight="15" x14ac:dyDescent="0.25"/>
  <sheetData>
    <row r="3" spans="2:9" x14ac:dyDescent="0.25">
      <c r="B3" s="10" t="s">
        <v>64</v>
      </c>
      <c r="C3" s="11"/>
      <c r="D3" s="11"/>
      <c r="E3" s="11"/>
      <c r="F3" s="11"/>
      <c r="G3" s="11"/>
      <c r="H3" s="11"/>
      <c r="I3" s="11"/>
    </row>
    <row r="4" spans="2:9" x14ac:dyDescent="0.25">
      <c r="B4" s="11"/>
      <c r="C4" s="11"/>
      <c r="D4" s="11"/>
      <c r="E4" s="11"/>
      <c r="F4" s="11"/>
      <c r="G4" s="11"/>
      <c r="H4" s="11"/>
      <c r="I4" s="11"/>
    </row>
    <row r="5" spans="2:9" x14ac:dyDescent="0.25">
      <c r="B5" s="11"/>
      <c r="C5" s="11"/>
      <c r="D5" s="11"/>
      <c r="E5" s="11"/>
      <c r="F5" s="11"/>
      <c r="G5" s="11"/>
      <c r="H5" s="11"/>
      <c r="I5" s="11"/>
    </row>
    <row r="6" spans="2:9" x14ac:dyDescent="0.25">
      <c r="B6" s="11"/>
      <c r="C6" s="11"/>
      <c r="D6" s="11"/>
      <c r="E6" s="11"/>
      <c r="F6" s="11"/>
      <c r="G6" s="11"/>
      <c r="H6" s="11"/>
      <c r="I6" s="11"/>
    </row>
    <row r="7" spans="2:9" x14ac:dyDescent="0.25">
      <c r="B7" s="11"/>
      <c r="C7" s="11"/>
      <c r="D7" s="11"/>
      <c r="E7" s="11"/>
      <c r="F7" s="11"/>
      <c r="G7" s="11"/>
      <c r="H7" s="11"/>
      <c r="I7" s="11"/>
    </row>
  </sheetData>
  <mergeCells count="1">
    <mergeCell ref="B3: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M14"/>
  <sheetViews>
    <sheetView workbookViewId="0">
      <selection activeCell="C9" sqref="C9"/>
    </sheetView>
  </sheetViews>
  <sheetFormatPr defaultRowHeight="15" x14ac:dyDescent="0.25"/>
  <cols>
    <col min="2" max="2" width="21.140625" bestFit="1" customWidth="1"/>
    <col min="3" max="3" width="9.140625" customWidth="1"/>
    <col min="6" max="6" width="10.5703125" bestFit="1" customWidth="1"/>
    <col min="7" max="7" width="22.140625" bestFit="1" customWidth="1"/>
    <col min="8" max="8" width="16.140625" bestFit="1" customWidth="1"/>
    <col min="9" max="9" width="13.85546875" bestFit="1" customWidth="1"/>
    <col min="11" max="11" width="15.28515625" bestFit="1" customWidth="1"/>
    <col min="12" max="12" width="12.7109375" bestFit="1" customWidth="1"/>
    <col min="13" max="13" width="14.5703125" bestFit="1" customWidth="1"/>
  </cols>
  <sheetData>
    <row r="5" spans="2:13" x14ac:dyDescent="0.25">
      <c r="B5" t="s">
        <v>0</v>
      </c>
      <c r="C5" s="1">
        <v>8104000</v>
      </c>
      <c r="D5" t="s">
        <v>2</v>
      </c>
      <c r="F5" t="s">
        <v>11</v>
      </c>
      <c r="G5" t="s">
        <v>8</v>
      </c>
      <c r="H5" t="s">
        <v>9</v>
      </c>
      <c r="I5" t="s">
        <v>15</v>
      </c>
      <c r="K5" t="s">
        <v>12</v>
      </c>
      <c r="L5" t="s">
        <v>14</v>
      </c>
      <c r="M5" t="s">
        <v>16</v>
      </c>
    </row>
    <row r="6" spans="2:13" x14ac:dyDescent="0.25">
      <c r="B6" t="s">
        <v>1</v>
      </c>
      <c r="C6" s="1" t="s">
        <v>4</v>
      </c>
      <c r="D6" t="s">
        <v>2</v>
      </c>
      <c r="F6">
        <v>1</v>
      </c>
      <c r="G6" t="s">
        <v>10</v>
      </c>
      <c r="H6">
        <f>(C$9*F6)/(60*24*365)</f>
        <v>6.1369863013698629E-2</v>
      </c>
      <c r="I6">
        <f>60*24/F6</f>
        <v>1440</v>
      </c>
      <c r="K6" t="s">
        <v>13</v>
      </c>
      <c r="L6">
        <f>6*4*2*2</f>
        <v>96</v>
      </c>
      <c r="M6" s="2">
        <f>C9/(L6*365)</f>
        <v>0.92054794520547945</v>
      </c>
    </row>
    <row r="7" spans="2:13" x14ac:dyDescent="0.25">
      <c r="B7" t="s">
        <v>5</v>
      </c>
      <c r="C7" s="1">
        <f>HEX2DEC(C6)-HEX2DEC(C5)+1</f>
        <v>1032192</v>
      </c>
      <c r="D7" t="s">
        <v>3</v>
      </c>
      <c r="F7">
        <f>F6*2</f>
        <v>2</v>
      </c>
      <c r="G7" t="s">
        <v>10</v>
      </c>
      <c r="H7">
        <f t="shared" ref="H7:H13" si="0">(C$9*F7)/(60*24*365)</f>
        <v>0.12273972602739726</v>
      </c>
      <c r="I7">
        <f t="shared" ref="I7:I14" si="1">60*24/F7</f>
        <v>720</v>
      </c>
    </row>
    <row r="8" spans="2:13" x14ac:dyDescent="0.25">
      <c r="B8" t="s">
        <v>6</v>
      </c>
      <c r="C8">
        <v>32</v>
      </c>
      <c r="D8" t="s">
        <v>3</v>
      </c>
      <c r="F8">
        <f t="shared" ref="F8:F13" si="2">F7*2</f>
        <v>4</v>
      </c>
      <c r="G8" t="s">
        <v>10</v>
      </c>
      <c r="H8">
        <f t="shared" si="0"/>
        <v>0.24547945205479452</v>
      </c>
      <c r="I8">
        <f t="shared" si="1"/>
        <v>360</v>
      </c>
    </row>
    <row r="9" spans="2:13" x14ac:dyDescent="0.25">
      <c r="B9" t="s">
        <v>7</v>
      </c>
      <c r="C9">
        <f>C7/C8</f>
        <v>32256</v>
      </c>
      <c r="F9">
        <f t="shared" si="2"/>
        <v>8</v>
      </c>
      <c r="G9" t="s">
        <v>10</v>
      </c>
      <c r="H9">
        <f t="shared" si="0"/>
        <v>0.49095890410958903</v>
      </c>
      <c r="I9">
        <f t="shared" si="1"/>
        <v>180</v>
      </c>
    </row>
    <row r="10" spans="2:13" x14ac:dyDescent="0.25">
      <c r="F10">
        <f t="shared" si="2"/>
        <v>16</v>
      </c>
      <c r="G10" t="s">
        <v>10</v>
      </c>
      <c r="H10">
        <f t="shared" si="0"/>
        <v>0.98191780821917807</v>
      </c>
      <c r="I10">
        <f t="shared" si="1"/>
        <v>90</v>
      </c>
    </row>
    <row r="11" spans="2:13" x14ac:dyDescent="0.25">
      <c r="F11">
        <f t="shared" si="2"/>
        <v>32</v>
      </c>
      <c r="G11" t="s">
        <v>10</v>
      </c>
      <c r="H11">
        <f t="shared" si="0"/>
        <v>1.9638356164383561</v>
      </c>
      <c r="I11">
        <f t="shared" si="1"/>
        <v>45</v>
      </c>
    </row>
    <row r="12" spans="2:13" x14ac:dyDescent="0.25">
      <c r="F12">
        <f t="shared" si="2"/>
        <v>64</v>
      </c>
      <c r="G12" t="s">
        <v>10</v>
      </c>
      <c r="H12">
        <f t="shared" si="0"/>
        <v>3.9276712328767123</v>
      </c>
      <c r="I12">
        <f t="shared" si="1"/>
        <v>22.5</v>
      </c>
    </row>
    <row r="13" spans="2:13" x14ac:dyDescent="0.25">
      <c r="F13">
        <f t="shared" si="2"/>
        <v>128</v>
      </c>
      <c r="G13" t="s">
        <v>10</v>
      </c>
      <c r="H13">
        <f t="shared" si="0"/>
        <v>7.8553424657534245</v>
      </c>
      <c r="I13">
        <f t="shared" si="1"/>
        <v>11.25</v>
      </c>
    </row>
    <row r="14" spans="2:13" x14ac:dyDescent="0.25">
      <c r="F14">
        <f t="shared" ref="F14" si="3">F13*2</f>
        <v>256</v>
      </c>
      <c r="G14" t="s">
        <v>10</v>
      </c>
      <c r="H14">
        <f t="shared" ref="H14" si="4">(C$9*F14)/(60*24*365)</f>
        <v>15.710684931506849</v>
      </c>
      <c r="I14">
        <f t="shared" si="1"/>
        <v>5.625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D07DA-C24B-4553-81C2-F53EFA33118B}">
  <dimension ref="B3:K27"/>
  <sheetViews>
    <sheetView workbookViewId="0">
      <selection activeCell="I6" sqref="I6"/>
    </sheetView>
  </sheetViews>
  <sheetFormatPr defaultColWidth="21.140625" defaultRowHeight="15" x14ac:dyDescent="0.25"/>
  <cols>
    <col min="1" max="1" width="1.28515625" customWidth="1"/>
    <col min="4" max="4" width="26.42578125" customWidth="1"/>
  </cols>
  <sheetData>
    <row r="3" spans="2:11" ht="92.25" customHeight="1" x14ac:dyDescent="0.25">
      <c r="B3" s="3" t="s">
        <v>17</v>
      </c>
      <c r="C3" s="3" t="s">
        <v>25</v>
      </c>
      <c r="D3" s="3" t="s">
        <v>26</v>
      </c>
      <c r="E3" s="3" t="s">
        <v>18</v>
      </c>
      <c r="F3" s="3" t="s">
        <v>19</v>
      </c>
      <c r="G3" s="3" t="s">
        <v>20</v>
      </c>
      <c r="H3" s="3" t="s">
        <v>21</v>
      </c>
      <c r="I3" s="3" t="s">
        <v>23</v>
      </c>
      <c r="J3" s="3" t="s">
        <v>22</v>
      </c>
      <c r="K3" s="3" t="s">
        <v>24</v>
      </c>
    </row>
    <row r="4" spans="2:11" x14ac:dyDescent="0.25">
      <c r="B4" s="4">
        <v>3500</v>
      </c>
      <c r="C4" s="4">
        <v>70</v>
      </c>
      <c r="D4" s="4">
        <v>30</v>
      </c>
      <c r="E4" s="5">
        <f>B4/C4*(60*60/D4)</f>
        <v>6000</v>
      </c>
      <c r="F4" s="5">
        <f>E4*0.15</f>
        <v>900</v>
      </c>
      <c r="G4" s="5">
        <f>F4</f>
        <v>900</v>
      </c>
      <c r="H4" s="4">
        <f>F4*7</f>
        <v>6300</v>
      </c>
      <c r="I4" s="7">
        <f>H4/365</f>
        <v>17.260273972602739</v>
      </c>
      <c r="J4" s="5">
        <f>F4*30</f>
        <v>27000</v>
      </c>
      <c r="K4" s="7">
        <f>F4*30/365</f>
        <v>73.972602739726028</v>
      </c>
    </row>
    <row r="5" spans="2:11" x14ac:dyDescent="0.25">
      <c r="B5" s="4">
        <v>3500</v>
      </c>
      <c r="C5" s="4">
        <v>70</v>
      </c>
      <c r="D5" s="4">
        <f>D4*2</f>
        <v>60</v>
      </c>
      <c r="E5" s="5">
        <f>B5/C5*(60*60/D5)</f>
        <v>3000</v>
      </c>
      <c r="F5" s="5">
        <f>E5*0.15</f>
        <v>450</v>
      </c>
      <c r="G5" s="5">
        <f t="shared" ref="G5:G6" si="0">F5</f>
        <v>450</v>
      </c>
      <c r="H5" s="46">
        <f t="shared" ref="H5:H6" si="1">F5*7</f>
        <v>3150</v>
      </c>
      <c r="I5" s="47">
        <f t="shared" ref="I5:I6" si="2">H5/365</f>
        <v>8.6301369863013697</v>
      </c>
      <c r="J5" s="5">
        <f>F5*30</f>
        <v>13500</v>
      </c>
      <c r="K5" s="7">
        <f t="shared" ref="K5:K6" si="3">F5*30/365</f>
        <v>36.986301369863014</v>
      </c>
    </row>
    <row r="6" spans="2:11" x14ac:dyDescent="0.25">
      <c r="B6" s="4">
        <v>3500</v>
      </c>
      <c r="C6" s="4">
        <v>70</v>
      </c>
      <c r="D6" s="48">
        <f>D5*2</f>
        <v>120</v>
      </c>
      <c r="E6" s="5">
        <f>B6/C6*(60*60/D6)</f>
        <v>1500</v>
      </c>
      <c r="F6" s="5">
        <f>E6*0.15</f>
        <v>225</v>
      </c>
      <c r="G6" s="5">
        <f t="shared" si="0"/>
        <v>225</v>
      </c>
      <c r="H6" s="4">
        <f>F6*7</f>
        <v>1575</v>
      </c>
      <c r="I6" s="7">
        <f>H6/365</f>
        <v>4.3150684931506849</v>
      </c>
      <c r="J6" s="5">
        <f>F6*30</f>
        <v>6750</v>
      </c>
      <c r="K6" s="7">
        <f t="shared" si="3"/>
        <v>18.493150684931507</v>
      </c>
    </row>
    <row r="9" spans="2:11" ht="15" customHeight="1" x14ac:dyDescent="0.25">
      <c r="B9" s="21" t="s">
        <v>27</v>
      </c>
      <c r="C9" s="22"/>
      <c r="D9" s="22"/>
      <c r="E9" s="22"/>
      <c r="F9" s="22"/>
      <c r="G9" s="23"/>
      <c r="H9" s="6"/>
      <c r="I9" s="6"/>
      <c r="J9" s="6"/>
      <c r="K9" s="6"/>
    </row>
    <row r="10" spans="2:11" x14ac:dyDescent="0.25">
      <c r="B10" s="24"/>
      <c r="C10" s="25"/>
      <c r="D10" s="25"/>
      <c r="E10" s="25"/>
      <c r="F10" s="25"/>
      <c r="G10" s="26"/>
      <c r="H10" s="6"/>
      <c r="I10" s="6"/>
      <c r="J10" s="6"/>
      <c r="K10" s="6"/>
    </row>
    <row r="11" spans="2:11" x14ac:dyDescent="0.25">
      <c r="B11" s="24"/>
      <c r="C11" s="25"/>
      <c r="D11" s="25"/>
      <c r="E11" s="25"/>
      <c r="F11" s="25"/>
      <c r="G11" s="26"/>
      <c r="H11" s="6"/>
      <c r="I11" s="6"/>
      <c r="J11" s="6"/>
      <c r="K11" s="6"/>
    </row>
    <row r="12" spans="2:11" x14ac:dyDescent="0.25">
      <c r="B12" s="24"/>
      <c r="C12" s="25"/>
      <c r="D12" s="25"/>
      <c r="E12" s="25"/>
      <c r="F12" s="25"/>
      <c r="G12" s="26"/>
      <c r="H12" s="6"/>
      <c r="I12" s="6"/>
      <c r="J12" s="6"/>
      <c r="K12" s="6"/>
    </row>
    <row r="13" spans="2:11" x14ac:dyDescent="0.25">
      <c r="B13" s="24" t="s">
        <v>28</v>
      </c>
      <c r="C13" s="25"/>
      <c r="D13" s="25"/>
      <c r="E13" s="25"/>
      <c r="F13" s="25"/>
      <c r="G13" s="26"/>
      <c r="H13" s="6"/>
      <c r="I13" s="6"/>
      <c r="J13" s="6"/>
      <c r="K13" s="6"/>
    </row>
    <row r="14" spans="2:11" x14ac:dyDescent="0.25">
      <c r="B14" s="27" t="s">
        <v>29</v>
      </c>
      <c r="C14" s="28"/>
      <c r="D14" s="28"/>
      <c r="E14" s="28"/>
      <c r="F14" s="28"/>
      <c r="G14" s="29"/>
      <c r="H14" s="6"/>
      <c r="I14" s="6"/>
      <c r="J14" s="6"/>
      <c r="K14" s="6"/>
    </row>
    <row r="16" spans="2:11" x14ac:dyDescent="0.25">
      <c r="B16" s="12" t="s">
        <v>30</v>
      </c>
      <c r="C16" s="13"/>
      <c r="D16" s="13"/>
      <c r="E16" s="13"/>
      <c r="F16" s="14"/>
    </row>
    <row r="17" spans="2:11" x14ac:dyDescent="0.25">
      <c r="B17" s="15"/>
      <c r="C17" s="16"/>
      <c r="D17" s="16"/>
      <c r="E17" s="16"/>
      <c r="F17" s="17"/>
    </row>
    <row r="18" spans="2:11" x14ac:dyDescent="0.25">
      <c r="B18" s="18"/>
      <c r="C18" s="19"/>
      <c r="D18" s="19"/>
      <c r="E18" s="19"/>
      <c r="F18" s="20"/>
    </row>
    <row r="20" spans="2:11" ht="75" x14ac:dyDescent="0.25">
      <c r="B20" s="3" t="s">
        <v>17</v>
      </c>
      <c r="C20" s="3" t="s">
        <v>25</v>
      </c>
      <c r="D20" s="3" t="s">
        <v>26</v>
      </c>
      <c r="E20" s="3" t="s">
        <v>18</v>
      </c>
      <c r="F20" s="3" t="s">
        <v>19</v>
      </c>
      <c r="G20" s="3" t="s">
        <v>20</v>
      </c>
      <c r="H20" s="3" t="s">
        <v>21</v>
      </c>
      <c r="I20" s="3" t="s">
        <v>23</v>
      </c>
      <c r="J20" s="3" t="s">
        <v>22</v>
      </c>
      <c r="K20" s="3" t="s">
        <v>24</v>
      </c>
    </row>
    <row r="21" spans="2:11" x14ac:dyDescent="0.25">
      <c r="B21" s="4">
        <v>3500</v>
      </c>
      <c r="C21" s="4">
        <v>10</v>
      </c>
      <c r="D21" s="4">
        <v>30</v>
      </c>
      <c r="E21" s="5">
        <f>B21/C21*(60*60/D21)</f>
        <v>42000</v>
      </c>
      <c r="F21" s="5">
        <f>E21*0.05</f>
        <v>2100</v>
      </c>
      <c r="G21" s="5">
        <f>F21</f>
        <v>2100</v>
      </c>
      <c r="H21" s="4">
        <f>F21*7</f>
        <v>14700</v>
      </c>
      <c r="I21" s="7">
        <f>H21/365</f>
        <v>40.273972602739725</v>
      </c>
      <c r="J21" s="5">
        <f>F21*30</f>
        <v>63000</v>
      </c>
      <c r="K21" s="7">
        <f>F21*30/365</f>
        <v>172.60273972602741</v>
      </c>
    </row>
    <row r="22" spans="2:11" x14ac:dyDescent="0.25">
      <c r="B22" s="4">
        <v>3500</v>
      </c>
      <c r="C22" s="4">
        <v>10</v>
      </c>
      <c r="D22" s="4">
        <f>D21*2</f>
        <v>60</v>
      </c>
      <c r="E22" s="5">
        <f>B22/C22*(60*60/D22)</f>
        <v>21000</v>
      </c>
      <c r="F22" s="5">
        <f>E22*0.05</f>
        <v>1050</v>
      </c>
      <c r="G22" s="5">
        <f t="shared" ref="G22:G23" si="4">F22</f>
        <v>1050</v>
      </c>
      <c r="H22" s="5">
        <f t="shared" ref="H22:H23" si="5">F22*7</f>
        <v>7350</v>
      </c>
      <c r="I22" s="8">
        <f t="shared" ref="I22:I23" si="6">H22/365</f>
        <v>20.136986301369863</v>
      </c>
      <c r="J22" s="5">
        <f>F22*30</f>
        <v>31500</v>
      </c>
      <c r="K22" s="7">
        <f t="shared" ref="K22:K23" si="7">F22*30/365</f>
        <v>86.301369863013704</v>
      </c>
    </row>
    <row r="23" spans="2:11" x14ac:dyDescent="0.25">
      <c r="B23" s="4">
        <v>3500</v>
      </c>
      <c r="C23" s="4">
        <v>10</v>
      </c>
      <c r="D23" s="4">
        <f>D22*2</f>
        <v>120</v>
      </c>
      <c r="E23" s="5">
        <f>B23/C23*(60*60/D23)</f>
        <v>10500</v>
      </c>
      <c r="F23" s="5">
        <f>E23*0.05</f>
        <v>525</v>
      </c>
      <c r="G23" s="5">
        <f t="shared" si="4"/>
        <v>525</v>
      </c>
      <c r="H23" s="4">
        <f t="shared" si="5"/>
        <v>3675</v>
      </c>
      <c r="I23" s="7">
        <f t="shared" si="6"/>
        <v>10.068493150684931</v>
      </c>
      <c r="J23" s="5">
        <f>F23*30</f>
        <v>15750</v>
      </c>
      <c r="K23" s="7">
        <f t="shared" si="7"/>
        <v>43.150684931506852</v>
      </c>
    </row>
    <row r="25" spans="2:11" x14ac:dyDescent="0.25">
      <c r="B25" s="12" t="s">
        <v>31</v>
      </c>
      <c r="C25" s="13"/>
      <c r="D25" s="13"/>
      <c r="E25" s="13"/>
      <c r="F25" s="14"/>
    </row>
    <row r="26" spans="2:11" x14ac:dyDescent="0.25">
      <c r="B26" s="15"/>
      <c r="C26" s="16"/>
      <c r="D26" s="16"/>
      <c r="E26" s="16"/>
      <c r="F26" s="17"/>
    </row>
    <row r="27" spans="2:11" x14ac:dyDescent="0.25">
      <c r="B27" s="18"/>
      <c r="C27" s="19"/>
      <c r="D27" s="19"/>
      <c r="E27" s="19"/>
      <c r="F27" s="20"/>
    </row>
  </sheetData>
  <mergeCells count="5">
    <mergeCell ref="B16:F18"/>
    <mergeCell ref="B25:F27"/>
    <mergeCell ref="B9:G12"/>
    <mergeCell ref="B13:G13"/>
    <mergeCell ref="B14:G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3D17A-34AE-4934-982E-748BDCE80543}">
  <dimension ref="B2:G13"/>
  <sheetViews>
    <sheetView workbookViewId="0">
      <selection activeCell="K10" sqref="K10"/>
    </sheetView>
  </sheetViews>
  <sheetFormatPr defaultRowHeight="15" x14ac:dyDescent="0.25"/>
  <cols>
    <col min="2" max="7" width="21.85546875" customWidth="1"/>
  </cols>
  <sheetData>
    <row r="2" spans="2:7" x14ac:dyDescent="0.25">
      <c r="B2" s="30" t="s">
        <v>56</v>
      </c>
      <c r="C2" s="30"/>
      <c r="D2" s="30"/>
      <c r="E2" s="30"/>
      <c r="F2" s="30"/>
      <c r="G2" s="30"/>
    </row>
    <row r="3" spans="2:7" x14ac:dyDescent="0.25">
      <c r="B3" s="30"/>
      <c r="C3" s="30"/>
      <c r="D3" s="30"/>
      <c r="E3" s="30"/>
      <c r="F3" s="30"/>
      <c r="G3" s="30"/>
    </row>
    <row r="5" spans="2:7" x14ac:dyDescent="0.25">
      <c r="B5" s="31" t="s">
        <v>57</v>
      </c>
      <c r="C5" s="31"/>
      <c r="D5" s="31"/>
      <c r="E5" s="31"/>
    </row>
    <row r="6" spans="2:7" x14ac:dyDescent="0.25">
      <c r="B6" t="s">
        <v>32</v>
      </c>
      <c r="C6">
        <v>68</v>
      </c>
      <c r="D6" t="s">
        <v>58</v>
      </c>
    </row>
    <row r="7" spans="2:7" x14ac:dyDescent="0.25">
      <c r="B7" t="s">
        <v>59</v>
      </c>
      <c r="C7">
        <v>6.2</v>
      </c>
      <c r="D7" t="s">
        <v>60</v>
      </c>
    </row>
    <row r="10" spans="2:7" ht="60" x14ac:dyDescent="0.25">
      <c r="B10" s="3" t="s">
        <v>17</v>
      </c>
      <c r="C10" s="3" t="s">
        <v>25</v>
      </c>
      <c r="D10" s="3" t="s">
        <v>61</v>
      </c>
      <c r="E10" s="3" t="s">
        <v>63</v>
      </c>
      <c r="F10" s="3" t="s">
        <v>62</v>
      </c>
      <c r="G10" s="3" t="s">
        <v>66</v>
      </c>
    </row>
    <row r="11" spans="2:7" x14ac:dyDescent="0.25">
      <c r="B11" s="4">
        <v>3500</v>
      </c>
      <c r="C11" s="4">
        <v>68</v>
      </c>
      <c r="D11" s="4">
        <v>6.2</v>
      </c>
      <c r="E11" s="5">
        <f>B11/C11*(60*60/D11)*0.15</f>
        <v>4482.9222011385191</v>
      </c>
      <c r="F11" s="5">
        <v>1</v>
      </c>
      <c r="G11" s="7">
        <f>E11/(365*F11)</f>
        <v>12.281978633256216</v>
      </c>
    </row>
    <row r="12" spans="2:7" x14ac:dyDescent="0.25">
      <c r="B12" s="4">
        <v>3500</v>
      </c>
      <c r="C12" s="4">
        <v>68</v>
      </c>
      <c r="D12" s="4">
        <v>6.2</v>
      </c>
      <c r="E12" s="5">
        <f t="shared" ref="E12:E13" si="0">B12/C12*(60*60/D12)*0.15</f>
        <v>4482.9222011385191</v>
      </c>
      <c r="F12" s="5">
        <v>2</v>
      </c>
      <c r="G12" s="7">
        <f t="shared" ref="G12:G13" si="1">E12/(365*F12)</f>
        <v>6.140989316628108</v>
      </c>
    </row>
    <row r="13" spans="2:7" x14ac:dyDescent="0.25">
      <c r="B13" s="4">
        <v>3500</v>
      </c>
      <c r="C13" s="4">
        <v>68</v>
      </c>
      <c r="D13" s="4">
        <v>6.2</v>
      </c>
      <c r="E13" s="5">
        <f t="shared" si="0"/>
        <v>4482.9222011385191</v>
      </c>
      <c r="F13" s="5">
        <v>3</v>
      </c>
      <c r="G13" s="7">
        <f t="shared" si="1"/>
        <v>4.093992877752072</v>
      </c>
    </row>
  </sheetData>
  <mergeCells count="2">
    <mergeCell ref="B2:G3"/>
    <mergeCell ref="B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4793D-FBB7-40C9-B5F6-023AD69CC458}">
  <dimension ref="B2:S20"/>
  <sheetViews>
    <sheetView tabSelected="1" workbookViewId="0">
      <selection activeCell="H12" sqref="H12:S20"/>
    </sheetView>
  </sheetViews>
  <sheetFormatPr defaultRowHeight="15" x14ac:dyDescent="0.25"/>
  <cols>
    <col min="1" max="1" width="3" customWidth="1"/>
    <col min="2" max="2" width="9.7109375" bestFit="1" customWidth="1"/>
    <col min="3" max="3" width="13.7109375" bestFit="1" customWidth="1"/>
    <col min="4" max="4" width="12" bestFit="1" customWidth="1"/>
    <col min="5" max="5" width="15.5703125" bestFit="1" customWidth="1"/>
    <col min="6" max="6" width="12.42578125" bestFit="1" customWidth="1"/>
    <col min="7" max="7" width="2.42578125" customWidth="1"/>
    <col min="15" max="15" width="14.5703125" bestFit="1" customWidth="1"/>
  </cols>
  <sheetData>
    <row r="2" spans="2:19" ht="15" customHeight="1" x14ac:dyDescent="0.25">
      <c r="B2" s="12" t="s">
        <v>45</v>
      </c>
      <c r="C2" s="13"/>
      <c r="D2" s="13"/>
      <c r="E2" s="13"/>
      <c r="F2" s="13"/>
      <c r="G2" s="13"/>
      <c r="H2" s="13"/>
      <c r="I2" s="13"/>
      <c r="J2" s="13"/>
      <c r="K2" s="13"/>
      <c r="L2" s="13"/>
      <c r="M2" s="13"/>
      <c r="N2" s="13"/>
      <c r="O2" s="14"/>
    </row>
    <row r="3" spans="2:19" x14ac:dyDescent="0.25">
      <c r="B3" s="18"/>
      <c r="C3" s="19"/>
      <c r="D3" s="19"/>
      <c r="E3" s="19"/>
      <c r="F3" s="19"/>
      <c r="G3" s="19"/>
      <c r="H3" s="19"/>
      <c r="I3" s="19"/>
      <c r="J3" s="19"/>
      <c r="K3" s="19"/>
      <c r="L3" s="19"/>
      <c r="M3" s="19"/>
      <c r="N3" s="19"/>
      <c r="O3" s="20"/>
    </row>
    <row r="4" spans="2:19" x14ac:dyDescent="0.25">
      <c r="B4" s="6"/>
      <c r="C4" s="6"/>
      <c r="D4" s="6"/>
      <c r="E4" s="6"/>
      <c r="F4" s="6"/>
      <c r="G4" s="6"/>
      <c r="H4" s="6"/>
      <c r="I4" s="6"/>
      <c r="J4" s="6"/>
      <c r="K4" s="6"/>
      <c r="L4" s="6"/>
      <c r="M4" s="6"/>
      <c r="N4" s="6"/>
    </row>
    <row r="5" spans="2:19" x14ac:dyDescent="0.25">
      <c r="B5" s="4" t="s">
        <v>33</v>
      </c>
      <c r="C5" s="4" t="s">
        <v>34</v>
      </c>
      <c r="D5" s="4" t="s">
        <v>37</v>
      </c>
      <c r="E5" s="4" t="s">
        <v>40</v>
      </c>
      <c r="F5" s="4" t="s">
        <v>49</v>
      </c>
      <c r="H5" s="38" t="s">
        <v>46</v>
      </c>
      <c r="I5" s="38"/>
      <c r="J5" s="38"/>
      <c r="K5" s="38"/>
      <c r="L5" s="38"/>
      <c r="M5" s="38"/>
      <c r="N5" s="38"/>
      <c r="O5" s="38"/>
    </row>
    <row r="6" spans="2:19" x14ac:dyDescent="0.25">
      <c r="B6" s="4" t="s">
        <v>36</v>
      </c>
      <c r="C6" s="4">
        <v>40</v>
      </c>
      <c r="D6" s="9">
        <f>2/3</f>
        <v>0.66666666666666663</v>
      </c>
      <c r="E6" s="8">
        <f>C6*D6</f>
        <v>26.666666666666664</v>
      </c>
      <c r="F6" s="4"/>
      <c r="H6" s="38" t="s">
        <v>35</v>
      </c>
      <c r="I6" s="38"/>
      <c r="J6" s="45" t="s">
        <v>48</v>
      </c>
      <c r="K6" s="45"/>
      <c r="L6" s="4" t="s">
        <v>50</v>
      </c>
      <c r="M6" s="4" t="s">
        <v>52</v>
      </c>
      <c r="N6" s="4" t="s">
        <v>51</v>
      </c>
      <c r="O6" s="4" t="s">
        <v>55</v>
      </c>
    </row>
    <row r="7" spans="2:19" x14ac:dyDescent="0.25">
      <c r="B7" s="4" t="s">
        <v>38</v>
      </c>
      <c r="C7" s="4">
        <v>78</v>
      </c>
      <c r="D7" s="9">
        <f>1/3</f>
        <v>0.33333333333333331</v>
      </c>
      <c r="E7" s="8">
        <f>C7*D7</f>
        <v>26</v>
      </c>
      <c r="F7" s="4"/>
      <c r="H7" s="38" t="s">
        <v>47</v>
      </c>
      <c r="I7" s="38"/>
      <c r="J7" s="38">
        <v>3500</v>
      </c>
      <c r="K7" s="38"/>
      <c r="L7" s="4">
        <v>1.7</v>
      </c>
      <c r="M7" s="4">
        <v>1.5</v>
      </c>
      <c r="N7" s="4">
        <f>J7*0.85</f>
        <v>2975</v>
      </c>
      <c r="O7" s="4">
        <v>25</v>
      </c>
    </row>
    <row r="8" spans="2:19" x14ac:dyDescent="0.25">
      <c r="B8" s="4"/>
      <c r="C8" s="4"/>
      <c r="D8" s="4"/>
      <c r="E8" s="4"/>
      <c r="F8" s="4"/>
      <c r="H8" s="38"/>
      <c r="I8" s="38"/>
      <c r="J8" s="38"/>
      <c r="K8" s="38"/>
      <c r="L8" s="4"/>
      <c r="M8" s="4"/>
      <c r="N8" s="4"/>
      <c r="O8" s="4"/>
    </row>
    <row r="9" spans="2:19" x14ac:dyDescent="0.25">
      <c r="B9" s="4"/>
      <c r="C9" s="4"/>
      <c r="D9" s="4" t="s">
        <v>39</v>
      </c>
      <c r="E9" s="8">
        <f>SUM(E6:E8)</f>
        <v>52.666666666666664</v>
      </c>
      <c r="F9" s="4" t="s">
        <v>41</v>
      </c>
      <c r="H9" s="38"/>
      <c r="I9" s="38"/>
      <c r="J9" s="38"/>
      <c r="K9" s="38"/>
      <c r="L9" s="4"/>
      <c r="M9" s="4"/>
      <c r="N9" s="4"/>
      <c r="O9" s="4"/>
    </row>
    <row r="10" spans="2:19" x14ac:dyDescent="0.25">
      <c r="B10" s="4"/>
      <c r="C10" s="4"/>
      <c r="D10" s="4" t="s">
        <v>42</v>
      </c>
      <c r="E10" s="5">
        <f>N7/(E9/1000)</f>
        <v>56487.3417721519</v>
      </c>
      <c r="F10" s="4" t="s">
        <v>43</v>
      </c>
    </row>
    <row r="11" spans="2:19" x14ac:dyDescent="0.25">
      <c r="B11" s="39" t="s">
        <v>54</v>
      </c>
      <c r="C11" s="40"/>
      <c r="D11" s="41"/>
      <c r="E11" s="8">
        <f>E10/(24*365)</f>
        <v>6.4483266863187101</v>
      </c>
      <c r="F11" s="4" t="s">
        <v>44</v>
      </c>
    </row>
    <row r="12" spans="2:19" ht="15" customHeight="1" x14ac:dyDescent="0.25">
      <c r="B12" s="12" t="s">
        <v>65</v>
      </c>
      <c r="C12" s="13"/>
      <c r="D12" s="14"/>
      <c r="E12" s="32">
        <f>E10*0.85/(365*24)</f>
        <v>5.4810776833709038</v>
      </c>
      <c r="F12" s="35" t="s">
        <v>44</v>
      </c>
      <c r="H12" s="12" t="s">
        <v>67</v>
      </c>
      <c r="I12" s="13"/>
      <c r="J12" s="13"/>
      <c r="K12" s="13"/>
      <c r="L12" s="13"/>
      <c r="M12" s="13"/>
      <c r="N12" s="13"/>
      <c r="O12" s="13"/>
      <c r="P12" s="13"/>
      <c r="Q12" s="13"/>
      <c r="R12" s="13"/>
      <c r="S12" s="14"/>
    </row>
    <row r="13" spans="2:19" x14ac:dyDescent="0.25">
      <c r="B13" s="15"/>
      <c r="C13" s="16"/>
      <c r="D13" s="17"/>
      <c r="E13" s="33"/>
      <c r="F13" s="36"/>
      <c r="H13" s="15"/>
      <c r="I13" s="49"/>
      <c r="J13" s="49"/>
      <c r="K13" s="49"/>
      <c r="L13" s="49"/>
      <c r="M13" s="49"/>
      <c r="N13" s="49"/>
      <c r="O13" s="49"/>
      <c r="P13" s="49"/>
      <c r="Q13" s="49"/>
      <c r="R13" s="49"/>
      <c r="S13" s="17"/>
    </row>
    <row r="14" spans="2:19" x14ac:dyDescent="0.25">
      <c r="B14" s="15"/>
      <c r="C14" s="16"/>
      <c r="D14" s="17"/>
      <c r="E14" s="33"/>
      <c r="F14" s="36"/>
      <c r="H14" s="15"/>
      <c r="I14" s="49"/>
      <c r="J14" s="49"/>
      <c r="K14" s="49"/>
      <c r="L14" s="49"/>
      <c r="M14" s="49"/>
      <c r="N14" s="49"/>
      <c r="O14" s="49"/>
      <c r="P14" s="49"/>
      <c r="Q14" s="49"/>
      <c r="R14" s="49"/>
      <c r="S14" s="17"/>
    </row>
    <row r="15" spans="2:19" ht="15" customHeight="1" x14ac:dyDescent="0.25">
      <c r="B15" s="18"/>
      <c r="C15" s="19"/>
      <c r="D15" s="20"/>
      <c r="E15" s="34"/>
      <c r="F15" s="37"/>
      <c r="H15" s="15"/>
      <c r="I15" s="49"/>
      <c r="J15" s="49"/>
      <c r="K15" s="49"/>
      <c r="L15" s="49"/>
      <c r="M15" s="49"/>
      <c r="N15" s="49"/>
      <c r="O15" s="49"/>
      <c r="P15" s="49"/>
      <c r="Q15" s="49"/>
      <c r="R15" s="49"/>
      <c r="S15" s="17"/>
    </row>
    <row r="16" spans="2:19" x14ac:dyDescent="0.25">
      <c r="B16" s="42"/>
      <c r="C16" s="43"/>
      <c r="D16" s="44"/>
      <c r="E16" s="5"/>
      <c r="F16" s="4"/>
      <c r="H16" s="15"/>
      <c r="I16" s="49"/>
      <c r="J16" s="49"/>
      <c r="K16" s="49"/>
      <c r="L16" s="49"/>
      <c r="M16" s="49"/>
      <c r="N16" s="49"/>
      <c r="O16" s="49"/>
      <c r="P16" s="49"/>
      <c r="Q16" s="49"/>
      <c r="R16" s="49"/>
      <c r="S16" s="17"/>
    </row>
    <row r="17" spans="2:19" x14ac:dyDescent="0.25">
      <c r="B17" s="42"/>
      <c r="C17" s="43"/>
      <c r="D17" s="44"/>
      <c r="E17" s="8"/>
      <c r="F17" s="4"/>
      <c r="H17" s="15"/>
      <c r="I17" s="49"/>
      <c r="J17" s="49"/>
      <c r="K17" s="49"/>
      <c r="L17" s="49"/>
      <c r="M17" s="49"/>
      <c r="N17" s="49"/>
      <c r="O17" s="49"/>
      <c r="P17" s="49"/>
      <c r="Q17" s="49"/>
      <c r="R17" s="49"/>
      <c r="S17" s="17"/>
    </row>
    <row r="18" spans="2:19" x14ac:dyDescent="0.25">
      <c r="H18" s="15"/>
      <c r="I18" s="49"/>
      <c r="J18" s="49"/>
      <c r="K18" s="49"/>
      <c r="L18" s="49"/>
      <c r="M18" s="49"/>
      <c r="N18" s="49"/>
      <c r="O18" s="49"/>
      <c r="P18" s="49"/>
      <c r="Q18" s="49"/>
      <c r="R18" s="49"/>
      <c r="S18" s="17"/>
    </row>
    <row r="19" spans="2:19" x14ac:dyDescent="0.25">
      <c r="B19" s="30" t="s">
        <v>53</v>
      </c>
      <c r="C19" s="30"/>
      <c r="D19" s="30"/>
      <c r="E19" s="30"/>
      <c r="F19" s="30"/>
      <c r="H19" s="15"/>
      <c r="I19" s="49"/>
      <c r="J19" s="49"/>
      <c r="K19" s="49"/>
      <c r="L19" s="49"/>
      <c r="M19" s="49"/>
      <c r="N19" s="49"/>
      <c r="O19" s="49"/>
      <c r="P19" s="49"/>
      <c r="Q19" s="49"/>
      <c r="R19" s="49"/>
      <c r="S19" s="17"/>
    </row>
    <row r="20" spans="2:19" x14ac:dyDescent="0.25">
      <c r="B20" s="30"/>
      <c r="C20" s="30"/>
      <c r="D20" s="30"/>
      <c r="E20" s="30"/>
      <c r="F20" s="30"/>
      <c r="H20" s="18"/>
      <c r="I20" s="19"/>
      <c r="J20" s="19"/>
      <c r="K20" s="19"/>
      <c r="L20" s="19"/>
      <c r="M20" s="19"/>
      <c r="N20" s="19"/>
      <c r="O20" s="19"/>
      <c r="P20" s="19"/>
      <c r="Q20" s="19"/>
      <c r="R20" s="19"/>
      <c r="S20" s="20"/>
    </row>
  </sheetData>
  <mergeCells count="18">
    <mergeCell ref="B19:F20"/>
    <mergeCell ref="B11:D11"/>
    <mergeCell ref="B16:D16"/>
    <mergeCell ref="B17:D17"/>
    <mergeCell ref="H9:I9"/>
    <mergeCell ref="H12:S20"/>
    <mergeCell ref="B12:D15"/>
    <mergeCell ref="E12:E15"/>
    <mergeCell ref="F12:F15"/>
    <mergeCell ref="B2:O3"/>
    <mergeCell ref="H5:O5"/>
    <mergeCell ref="J6:K6"/>
    <mergeCell ref="J7:K7"/>
    <mergeCell ref="J8:K8"/>
    <mergeCell ref="J9:K9"/>
    <mergeCell ref="H6:I6"/>
    <mergeCell ref="H7:I7"/>
    <mergeCell ref="H8:I8"/>
  </mergeCells>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Leer</vt:lpstr>
      <vt:lpstr>Logger Capacidad</vt:lpstr>
      <vt:lpstr>Logger Consumo</vt:lpstr>
      <vt:lpstr>Impresora Consumo</vt:lpstr>
      <vt:lpstr>Consumo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 Sagarra</dc:creator>
  <cp:lastModifiedBy>Daniel H Sagarra</cp:lastModifiedBy>
  <dcterms:created xsi:type="dcterms:W3CDTF">2015-06-05T18:17:20Z</dcterms:created>
  <dcterms:modified xsi:type="dcterms:W3CDTF">2025-06-07T20:36:46Z</dcterms:modified>
</cp:coreProperties>
</file>