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FLOWMEET Dropbox\flowmeet\id\equipos\fmc-320u\cost analysis\"/>
    </mc:Choice>
  </mc:AlternateContent>
  <xr:revisionPtr revIDLastSave="0" documentId="13_ncr:1_{6FE1420F-20D6-44E2-8BDF-DFBEC750F4DA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READ" sheetId="2" r:id="rId1"/>
    <sheet name="FMC-320U-A" sheetId="4" r:id="rId2"/>
    <sheet name="PCB" sheetId="6" r:id="rId3"/>
    <sheet name="RE" sheetId="8" r:id="rId4"/>
    <sheet name="NRE-BASE" sheetId="1" r:id="rId5"/>
    <sheet name="LCD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G5" i="6"/>
  <c r="G4" i="6"/>
  <c r="C19" i="4"/>
  <c r="C18" i="4"/>
  <c r="G15" i="6"/>
  <c r="C20" i="4"/>
  <c r="C21" i="4"/>
  <c r="E13" i="6"/>
  <c r="E12" i="6"/>
  <c r="F12" i="6" s="1"/>
  <c r="E5" i="6"/>
  <c r="F5" i="6" s="1"/>
  <c r="E4" i="6"/>
  <c r="I5" i="6"/>
  <c r="J5" i="6" s="1"/>
  <c r="C7" i="4"/>
  <c r="F39" i="10"/>
  <c r="F38" i="10"/>
  <c r="K19" i="10"/>
  <c r="K20" i="10"/>
  <c r="K22" i="10"/>
  <c r="K25" i="10"/>
  <c r="C31" i="10"/>
  <c r="F31" i="10" s="1"/>
  <c r="F30" i="10"/>
  <c r="C26" i="10"/>
  <c r="C28" i="10" s="1"/>
  <c r="E25" i="10"/>
  <c r="F25" i="10" s="1"/>
  <c r="C23" i="10"/>
  <c r="F23" i="10" s="1"/>
  <c r="F22" i="10"/>
  <c r="F21" i="10"/>
  <c r="C15" i="10"/>
  <c r="C17" i="10" s="1"/>
  <c r="F17" i="10" s="1"/>
  <c r="F14" i="10"/>
  <c r="C11" i="10"/>
  <c r="C12" i="10" s="1"/>
  <c r="F12" i="10" s="1"/>
  <c r="F10" i="10"/>
  <c r="I4" i="6" l="1"/>
  <c r="J4" i="6" s="1"/>
  <c r="J7" i="6" s="1"/>
  <c r="C6" i="4" s="1"/>
  <c r="F4" i="6"/>
  <c r="F7" i="6" s="1"/>
  <c r="C24" i="4"/>
  <c r="C23" i="4"/>
  <c r="C22" i="4"/>
  <c r="F13" i="6"/>
  <c r="F15" i="6" s="1"/>
  <c r="C32" i="10"/>
  <c r="F32" i="10" s="1"/>
  <c r="F26" i="10"/>
  <c r="F15" i="10"/>
  <c r="C27" i="10"/>
  <c r="F27" i="10" s="1"/>
  <c r="C16" i="10"/>
  <c r="F16" i="10" s="1"/>
  <c r="C33" i="10"/>
  <c r="F33" i="10" s="1"/>
  <c r="F28" i="10"/>
  <c r="F35" i="10" s="1"/>
  <c r="C35" i="10"/>
  <c r="F11" i="10"/>
  <c r="C13" i="10"/>
  <c r="F13" i="10" s="1"/>
  <c r="C18" i="10"/>
  <c r="F18" i="10" l="1"/>
  <c r="E6" i="1" l="1"/>
  <c r="F6" i="1" s="1"/>
  <c r="G6" i="1" s="1"/>
  <c r="E5" i="1"/>
  <c r="F5" i="1"/>
  <c r="G5" i="1" s="1"/>
  <c r="G18" i="1"/>
  <c r="G20" i="1"/>
  <c r="G21" i="1"/>
  <c r="E14" i="1"/>
  <c r="F14" i="1" s="1"/>
  <c r="G14" i="1" s="1"/>
  <c r="E9" i="1"/>
  <c r="F9" i="1" s="1"/>
  <c r="G9" i="1" s="1"/>
  <c r="E8" i="1"/>
  <c r="F8" i="1" s="1"/>
  <c r="G8" i="1" s="1"/>
  <c r="E12" i="1"/>
  <c r="F12" i="1" s="1"/>
  <c r="G12" i="1" s="1"/>
  <c r="E13" i="1"/>
  <c r="F13" i="1" s="1"/>
  <c r="G13" i="1" s="1"/>
  <c r="E15" i="1"/>
  <c r="F15" i="1" s="1"/>
  <c r="G15" i="1" s="1"/>
  <c r="F11" i="1"/>
  <c r="G11" i="1" s="1"/>
  <c r="F10" i="1"/>
  <c r="G10" i="1" s="1"/>
  <c r="F7" i="1"/>
  <c r="G7" i="1" s="1"/>
  <c r="F17" i="1"/>
  <c r="G17" i="1" s="1"/>
  <c r="F16" i="1"/>
  <c r="G16" i="1" s="1"/>
  <c r="G19" i="1" l="1"/>
  <c r="F23" i="1" l="1"/>
  <c r="F25" i="1" s="1"/>
  <c r="H16" i="1" l="1"/>
  <c r="C5" i="4"/>
  <c r="C8" i="4" s="1"/>
  <c r="F26" i="1"/>
  <c r="F27" i="1" s="1"/>
  <c r="F28" i="1" s="1"/>
  <c r="F29" i="1" s="1"/>
  <c r="F30" i="1" s="1"/>
  <c r="H11" i="1"/>
  <c r="H7" i="1"/>
  <c r="H12" i="1"/>
  <c r="H9" i="1"/>
  <c r="H15" i="1"/>
  <c r="H14" i="1"/>
  <c r="H10" i="1"/>
  <c r="H8" i="1"/>
  <c r="H13" i="1"/>
  <c r="H19" i="1"/>
  <c r="H17" i="1"/>
  <c r="H18" i="1"/>
  <c r="H6" i="1"/>
  <c r="H5" i="1"/>
  <c r="C11" i="4" l="1"/>
  <c r="C10" i="4"/>
  <c r="C9" i="4"/>
</calcChain>
</file>

<file path=xl/sharedStrings.xml><?xml version="1.0" encoding="utf-8"?>
<sst xmlns="http://schemas.openxmlformats.org/spreadsheetml/2006/main" count="128" uniqueCount="84">
  <si>
    <t>EN ESTE ARCHIVO SE INGRESAN TODOS LOS GASTOS RELACIONADOS CON EL PROYECTO</t>
  </si>
  <si>
    <t>Fecha</t>
  </si>
  <si>
    <t>Item</t>
  </si>
  <si>
    <t>Costo</t>
  </si>
  <si>
    <t>Descripcion</t>
  </si>
  <si>
    <t xml:space="preserve">Prototipo </t>
  </si>
  <si>
    <t>Placa Nucleo</t>
  </si>
  <si>
    <t>ESP32</t>
  </si>
  <si>
    <t>Multimetro</t>
  </si>
  <si>
    <t>Total</t>
  </si>
  <si>
    <t>Prorateo</t>
  </si>
  <si>
    <t>ESP-PROG</t>
  </si>
  <si>
    <t>Costo/Unidad</t>
  </si>
  <si>
    <t>nRF-PPK2</t>
  </si>
  <si>
    <t>Current, Power &amp; Voltage Monitor</t>
  </si>
  <si>
    <t>Costo USD BNA</t>
  </si>
  <si>
    <t>Vendedor</t>
  </si>
  <si>
    <t>Mouser</t>
  </si>
  <si>
    <t>STLINK V3 + Otro</t>
  </si>
  <si>
    <t>Programador y pines de conexion</t>
  </si>
  <si>
    <t>Placas L4</t>
  </si>
  <si>
    <t>511-NUCLEO-L496ZG</t>
  </si>
  <si>
    <t>Cantidad 2</t>
  </si>
  <si>
    <t>Dos placas nuclero y conversores SPI USB, son dos compras separadas</t>
  </si>
  <si>
    <t>511-NUCLEO-L452RE + Otro</t>
  </si>
  <si>
    <t>Dos multimetros</t>
  </si>
  <si>
    <t>Discovery Board + Otro</t>
  </si>
  <si>
    <t>Compras tienda ST</t>
  </si>
  <si>
    <t>PCBWAY 45 placas - Placa #1</t>
  </si>
  <si>
    <t>PCBWAY 45 placas - Placa #2</t>
  </si>
  <si>
    <t>Prorrateado</t>
  </si>
  <si>
    <t>Logistica</t>
  </si>
  <si>
    <t>PC ESCRITORIO</t>
  </si>
  <si>
    <t>MONITORES</t>
  </si>
  <si>
    <t>PCBWAY</t>
  </si>
  <si>
    <t>Desarrollo</t>
  </si>
  <si>
    <t>Costo BNA</t>
  </si>
  <si>
    <t>Column1</t>
  </si>
  <si>
    <t>Primer Año</t>
  </si>
  <si>
    <t>Segundo Año</t>
  </si>
  <si>
    <t>NRE-BASE</t>
  </si>
  <si>
    <t>Costos no recurrentes. Son los cotos asociados al desarrollo. Se prorratean a las cantidad de unidades que se van a construir en el ciclo de vida del proyecto. Este costo se considrea como un costo comun para todos los modelos FMC-320. Luego cada modelo particular del FMC-320 podra tener costos recurrentes asociados</t>
  </si>
  <si>
    <t>LOTE</t>
  </si>
  <si>
    <t>INVOICE</t>
  </si>
  <si>
    <t>DOLAR BNA</t>
  </si>
  <si>
    <t>PLACA</t>
  </si>
  <si>
    <t>#1</t>
  </si>
  <si>
    <t>#2</t>
  </si>
  <si>
    <t>Costos de ingenieria recurrentes. Principalmente relacionados con el control de calidad, pre-armado. La intervercion de i+d hasta entregar a produccion. Puede ser diferente en cada placa.</t>
  </si>
  <si>
    <t>SE PAGO DOS VECES EL HERRAMENTAL, SE LO PROGRATEA A 360 UNIDADES QUE ES LA PRIMERA PRODUCCION</t>
  </si>
  <si>
    <t>GASTOS A PAGAR EN LA LIQUIDACION DE LA TARJETA</t>
  </si>
  <si>
    <t>GASTOS DE IMPUESTOS POR EL COURIER</t>
  </si>
  <si>
    <t>FECHA</t>
  </si>
  <si>
    <t>GASTO</t>
  </si>
  <si>
    <t>sub-total</t>
  </si>
  <si>
    <t>PROGGRATEADO</t>
  </si>
  <si>
    <t>DESCRIPCION</t>
  </si>
  <si>
    <t>RECARGO ALIBABA</t>
  </si>
  <si>
    <t>PRIMER TOOL FOB + ENVIO</t>
  </si>
  <si>
    <t>LIQUIDACION TARJETA</t>
  </si>
  <si>
    <t>FEDEX</t>
  </si>
  <si>
    <t>SEGUNDO TOOL FOB + ENVIO</t>
  </si>
  <si>
    <t>TOTAL PAGADO HERRAMENTAL</t>
  </si>
  <si>
    <t>IVA PERDICA POR INFLACION</t>
  </si>
  <si>
    <t>IIBB PERDIDA POR INFLACION</t>
  </si>
  <si>
    <t>FOB USD 360 UNIDADES PRODUCCION</t>
  </si>
  <si>
    <t>LIQUIDACION VISA</t>
  </si>
  <si>
    <t>PRIMER ENVIO</t>
  </si>
  <si>
    <t>FACTURA DE FEDEX</t>
  </si>
  <si>
    <t>SEGUNDO ENVIO</t>
  </si>
  <si>
    <t>IMPUESTOS LIQUIDADOS EN VISA</t>
  </si>
  <si>
    <t>TOTAL PAGAFO 360 LCDS</t>
  </si>
  <si>
    <t>LCD</t>
  </si>
  <si>
    <t>LOTE DE 30 PLACAS</t>
  </si>
  <si>
    <t>SIMU</t>
  </si>
  <si>
    <t>RE FMC-320U-A</t>
  </si>
  <si>
    <t>CANTIDAD</t>
  </si>
  <si>
    <t>INVOICE UNIDAD</t>
  </si>
  <si>
    <t>Correction tipo de cambio tarjeta</t>
  </si>
  <si>
    <t>Liquidacion FedEx - Gasto importacion</t>
  </si>
  <si>
    <t>Costo Total</t>
  </si>
  <si>
    <t>Precio de venta minimo</t>
  </si>
  <si>
    <t>Precio de menta tipico</t>
  </si>
  <si>
    <t>Precio de venta maximo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</si>
</sst>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44" fontId="0" fillId="0" borderId="0" xfId="1" applyFont="1" applyAlignment="1">
      <alignment horizontal="center"/>
    </xf>
    <xf numFmtId="164" fontId="0" fillId="0" borderId="0" xfId="1" applyNumberFormat="1" applyFont="1"/>
    <xf numFmtId="44" fontId="0" fillId="0" borderId="0" xfId="1" applyFont="1"/>
    <xf numFmtId="0" fontId="2" fillId="0" borderId="0" xfId="0" applyFont="1"/>
    <xf numFmtId="0" fontId="0" fillId="0" borderId="0" xfId="0" applyAlignment="1">
      <alignment wrapText="1"/>
    </xf>
    <xf numFmtId="10" fontId="0" fillId="0" borderId="0" xfId="2" applyNumberFormat="1" applyFont="1"/>
    <xf numFmtId="44" fontId="0" fillId="0" borderId="0" xfId="0" applyNumberFormat="1" applyAlignment="1">
      <alignment wrapText="1"/>
    </xf>
    <xf numFmtId="44" fontId="0" fillId="0" borderId="0" xfId="0" applyNumberFormat="1"/>
    <xf numFmtId="0" fontId="0" fillId="0" borderId="4" xfId="0" applyBorder="1"/>
    <xf numFmtId="44" fontId="0" fillId="0" borderId="4" xfId="1" applyFont="1" applyBorder="1"/>
    <xf numFmtId="2" fontId="0" fillId="0" borderId="0" xfId="0" applyNumberFormat="1"/>
    <xf numFmtId="0" fontId="0" fillId="0" borderId="13" xfId="0" applyBorder="1"/>
    <xf numFmtId="16" fontId="0" fillId="0" borderId="4" xfId="0" applyNumberFormat="1" applyBorder="1"/>
    <xf numFmtId="44" fontId="0" fillId="2" borderId="0" xfId="1" applyFont="1" applyFill="1"/>
    <xf numFmtId="44" fontId="0" fillId="0" borderId="4" xfId="0" applyNumberFormat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</cellXfs>
  <cellStyles count="3">
    <cellStyle name="Currency" xfId="1" builtinId="4"/>
    <cellStyle name="Normal" xfId="0" builtinId="0"/>
    <cellStyle name="Percent" xfId="2" builtinId="5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\ * #,##0_-;\-&quot;$&quot;\ * #,##0_-;_-&quot;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BEA71E-EA6D-4028-8038-D870E5BC6496}" name="Table1" displayName="Table1" ref="B4:I21" totalsRowShown="0">
  <autoFilter ref="B4:I21" xr:uid="{DEBEA71E-EA6D-4028-8038-D870E5BC6496}"/>
  <tableColumns count="8">
    <tableColumn id="1" xr3:uid="{7BB005B6-B335-4D61-8A86-E181ACC4DD9D}" name="Fecha"/>
    <tableColumn id="2" xr3:uid="{1C89FAC7-4727-4139-9AE7-E106531F0566}" name="Vendedor"/>
    <tableColumn id="3" xr3:uid="{7B08C98A-15F4-47A9-B9EA-804DB79DD13C}" name="Item"/>
    <tableColumn id="4" xr3:uid="{07E261D1-AE64-4017-AF56-358EC2FD383B}" name="Costo"/>
    <tableColumn id="5" xr3:uid="{B5D8F8DF-7C53-4EA4-BCBE-4B023FA22BD1}" name="Costo USD BNA" dataDxfId="2" dataCellStyle="Currency"/>
    <tableColumn id="6" xr3:uid="{2F232866-ED30-4511-804F-B11D770B6DD5}" name="Prorrateado" dataDxfId="1" dataCellStyle="Currency">
      <calculatedColumnFormula>F5/F$24</calculatedColumnFormula>
    </tableColumn>
    <tableColumn id="7" xr3:uid="{7A011778-BFB6-4F04-AA20-370E74A02C0A}" name="Column1" dataDxfId="0" dataCellStyle="Percent"/>
    <tableColumn id="8" xr3:uid="{25525A00-B381-483F-8570-B5EF92C7A7FC}" name="Descripc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1D45D-FAC6-46F7-AA2E-9B51EB09FDB0}">
  <dimension ref="B3:L8"/>
  <sheetViews>
    <sheetView workbookViewId="0">
      <selection activeCell="B3" sqref="B3:L8"/>
    </sheetView>
  </sheetViews>
  <sheetFormatPr defaultRowHeight="15" x14ac:dyDescent="0.25"/>
  <sheetData>
    <row r="3" spans="2:12" x14ac:dyDescent="0.25">
      <c r="B3" s="16" t="s">
        <v>0</v>
      </c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2:12" x14ac:dyDescent="0.25"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spans="2:12" x14ac:dyDescent="0.25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2:12" x14ac:dyDescent="0.25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2:12" x14ac:dyDescent="0.25"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</row>
    <row r="8" spans="2:12" x14ac:dyDescent="0.25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</sheetData>
  <mergeCells count="1">
    <mergeCell ref="B3:L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4347E-4CFD-430C-86EC-23888FC8C94A}">
  <dimension ref="B2:D24"/>
  <sheetViews>
    <sheetView tabSelected="1" workbookViewId="0">
      <selection activeCell="C8" sqref="C8:D11"/>
    </sheetView>
  </sheetViews>
  <sheetFormatPr defaultRowHeight="15" x14ac:dyDescent="0.25"/>
  <cols>
    <col min="2" max="2" width="15.42578125" customWidth="1"/>
    <col min="3" max="3" width="11.5703125" customWidth="1"/>
    <col min="4" max="4" width="22.7109375" bestFit="1" customWidth="1"/>
  </cols>
  <sheetData>
    <row r="2" spans="2:4" x14ac:dyDescent="0.25">
      <c r="B2" s="17" t="s">
        <v>73</v>
      </c>
      <c r="C2" s="17"/>
    </row>
    <row r="3" spans="2:4" x14ac:dyDescent="0.25">
      <c r="B3" s="9" t="s">
        <v>2</v>
      </c>
      <c r="C3" s="9" t="s">
        <v>36</v>
      </c>
    </row>
    <row r="4" spans="2:4" x14ac:dyDescent="0.25">
      <c r="B4" s="9" t="s">
        <v>75</v>
      </c>
      <c r="C4" s="10">
        <v>10</v>
      </c>
    </row>
    <row r="5" spans="2:4" x14ac:dyDescent="0.25">
      <c r="B5" s="9" t="s">
        <v>40</v>
      </c>
      <c r="C5" s="10">
        <f>'NRE-BASE'!F25</f>
        <v>15.755756428571429</v>
      </c>
    </row>
    <row r="6" spans="2:4" x14ac:dyDescent="0.25">
      <c r="B6" s="9" t="s">
        <v>34</v>
      </c>
      <c r="C6" s="10">
        <f>PCB!J7</f>
        <v>196.01691428571428</v>
      </c>
    </row>
    <row r="7" spans="2:4" x14ac:dyDescent="0.25">
      <c r="B7" s="9" t="s">
        <v>72</v>
      </c>
      <c r="C7" s="15">
        <f>LCD!F38</f>
        <v>10.085575022045855</v>
      </c>
    </row>
    <row r="8" spans="2:4" x14ac:dyDescent="0.25">
      <c r="C8" s="7">
        <f>SUM(C4:C6)</f>
        <v>221.77267071428571</v>
      </c>
      <c r="D8" t="s">
        <v>80</v>
      </c>
    </row>
    <row r="9" spans="2:4" x14ac:dyDescent="0.25">
      <c r="C9" s="8">
        <f>C8*2.5</f>
        <v>554.43167678571422</v>
      </c>
      <c r="D9" t="s">
        <v>81</v>
      </c>
    </row>
    <row r="10" spans="2:4" x14ac:dyDescent="0.25">
      <c r="C10" s="8">
        <f>C8*3</f>
        <v>665.31801214285713</v>
      </c>
      <c r="D10" t="s">
        <v>82</v>
      </c>
    </row>
    <row r="11" spans="2:4" x14ac:dyDescent="0.25">
      <c r="C11" s="8">
        <f>C8*4</f>
        <v>887.09068285714284</v>
      </c>
      <c r="D11" t="s">
        <v>83</v>
      </c>
    </row>
    <row r="15" spans="2:4" x14ac:dyDescent="0.25">
      <c r="B15" s="17" t="s">
        <v>73</v>
      </c>
      <c r="C15" s="17"/>
    </row>
    <row r="16" spans="2:4" x14ac:dyDescent="0.25">
      <c r="B16" s="9" t="s">
        <v>2</v>
      </c>
      <c r="C16" s="9" t="s">
        <v>36</v>
      </c>
    </row>
    <row r="17" spans="2:4" x14ac:dyDescent="0.25">
      <c r="B17" s="9" t="s">
        <v>75</v>
      </c>
      <c r="C17" s="10">
        <v>10</v>
      </c>
    </row>
    <row r="18" spans="2:4" x14ac:dyDescent="0.25">
      <c r="B18" s="9" t="s">
        <v>40</v>
      </c>
      <c r="C18" s="10">
        <f>C5</f>
        <v>15.755756428571429</v>
      </c>
    </row>
    <row r="19" spans="2:4" x14ac:dyDescent="0.25">
      <c r="B19" s="9" t="s">
        <v>34</v>
      </c>
      <c r="C19" s="10">
        <f>PCB!G15</f>
        <v>51.200735999999999</v>
      </c>
    </row>
    <row r="20" spans="2:4" x14ac:dyDescent="0.25">
      <c r="B20" s="9" t="s">
        <v>72</v>
      </c>
      <c r="C20" s="15">
        <f>1.75*1.4</f>
        <v>2.4499999999999997</v>
      </c>
    </row>
    <row r="21" spans="2:4" x14ac:dyDescent="0.25">
      <c r="C21" s="7">
        <f>SUM(C17:C19)</f>
        <v>76.956492428571437</v>
      </c>
      <c r="D21" t="s">
        <v>80</v>
      </c>
    </row>
    <row r="22" spans="2:4" x14ac:dyDescent="0.25">
      <c r="C22" s="8">
        <f>C21*2.5</f>
        <v>192.39123107142859</v>
      </c>
      <c r="D22" t="s">
        <v>81</v>
      </c>
    </row>
    <row r="23" spans="2:4" x14ac:dyDescent="0.25">
      <c r="C23" s="8">
        <f>C21*3</f>
        <v>230.86947728571431</v>
      </c>
      <c r="D23" t="s">
        <v>82</v>
      </c>
    </row>
    <row r="24" spans="2:4" x14ac:dyDescent="0.25">
      <c r="C24" s="8">
        <f>C21*4</f>
        <v>307.82596971428575</v>
      </c>
      <c r="D24" t="s">
        <v>83</v>
      </c>
    </row>
  </sheetData>
  <mergeCells count="2">
    <mergeCell ref="B2:C2"/>
    <mergeCell ref="B15:C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AC91B-3677-49A9-A1FA-24879042FD77}">
  <dimension ref="B3:K15"/>
  <sheetViews>
    <sheetView zoomScale="130" zoomScaleNormal="130" workbookViewId="0">
      <selection activeCell="H13" sqref="H13"/>
    </sheetView>
  </sheetViews>
  <sheetFormatPr defaultRowHeight="15" x14ac:dyDescent="0.25"/>
  <cols>
    <col min="4" max="4" width="10.28515625" bestFit="1" customWidth="1"/>
    <col min="5" max="6" width="11.7109375" customWidth="1"/>
    <col min="7" max="7" width="17.28515625" bestFit="1" customWidth="1"/>
    <col min="8" max="9" width="17.28515625" customWidth="1"/>
    <col min="10" max="10" width="18" customWidth="1"/>
  </cols>
  <sheetData>
    <row r="3" spans="2:11" ht="45" x14ac:dyDescent="0.25">
      <c r="B3" t="s">
        <v>45</v>
      </c>
      <c r="C3" t="s">
        <v>42</v>
      </c>
      <c r="D3" t="s">
        <v>76</v>
      </c>
      <c r="E3" t="s">
        <v>43</v>
      </c>
      <c r="F3" s="5" t="s">
        <v>77</v>
      </c>
      <c r="G3" s="5" t="s">
        <v>78</v>
      </c>
      <c r="H3" s="5" t="s">
        <v>79</v>
      </c>
      <c r="I3" s="5" t="s">
        <v>9</v>
      </c>
      <c r="J3" t="s">
        <v>44</v>
      </c>
    </row>
    <row r="4" spans="2:11" x14ac:dyDescent="0.25">
      <c r="B4" t="s">
        <v>46</v>
      </c>
      <c r="C4" t="s">
        <v>74</v>
      </c>
      <c r="D4">
        <v>5</v>
      </c>
      <c r="E4" s="3">
        <f>198.44*0.6</f>
        <v>119.06399999999999</v>
      </c>
      <c r="F4" s="3">
        <f>E4/D4</f>
        <v>23.812799999999999</v>
      </c>
      <c r="G4" s="3">
        <f>750/350*F4</f>
        <v>51.027428571428565</v>
      </c>
      <c r="H4" s="3">
        <v>550</v>
      </c>
      <c r="I4" s="3">
        <f>G4+H4</f>
        <v>601.02742857142857</v>
      </c>
      <c r="J4" s="8">
        <f>I4/D4</f>
        <v>120.20548571428571</v>
      </c>
    </row>
    <row r="5" spans="2:11" x14ac:dyDescent="0.25">
      <c r="B5" t="s">
        <v>47</v>
      </c>
      <c r="C5" t="s">
        <v>74</v>
      </c>
      <c r="D5">
        <v>5</v>
      </c>
      <c r="E5" s="3">
        <f>113*0.6</f>
        <v>67.8</v>
      </c>
      <c r="F5" s="3">
        <f>E5/D5</f>
        <v>13.559999999999999</v>
      </c>
      <c r="G5" s="3">
        <f>750/350*F5</f>
        <v>29.057142857142853</v>
      </c>
      <c r="H5" s="3">
        <v>350</v>
      </c>
      <c r="I5" s="3">
        <f>G5+H5</f>
        <v>379.05714285714288</v>
      </c>
      <c r="J5" s="8">
        <f>I5/D5</f>
        <v>75.811428571428578</v>
      </c>
    </row>
    <row r="7" spans="2:11" x14ac:dyDescent="0.25">
      <c r="F7" s="8">
        <f>SUM(F4:F6)</f>
        <v>37.372799999999998</v>
      </c>
      <c r="J7" s="8">
        <f>SUM(J4:J6)</f>
        <v>196.01691428571428</v>
      </c>
      <c r="K7" t="s">
        <v>9</v>
      </c>
    </row>
    <row r="11" spans="2:11" ht="30" x14ac:dyDescent="0.25">
      <c r="B11" t="s">
        <v>45</v>
      </c>
      <c r="C11" t="s">
        <v>42</v>
      </c>
      <c r="D11" t="s">
        <v>76</v>
      </c>
      <c r="E11" t="s">
        <v>43</v>
      </c>
      <c r="F11" s="5" t="s">
        <v>77</v>
      </c>
    </row>
    <row r="12" spans="2:11" x14ac:dyDescent="0.25">
      <c r="B12" t="s">
        <v>46</v>
      </c>
      <c r="C12" t="s">
        <v>74</v>
      </c>
      <c r="D12">
        <v>5</v>
      </c>
      <c r="E12" s="3">
        <f>198.44*0.6</f>
        <v>119.06399999999999</v>
      </c>
      <c r="F12" s="3">
        <f>E12/D12</f>
        <v>23.812799999999999</v>
      </c>
      <c r="G12" s="8"/>
    </row>
    <row r="13" spans="2:11" x14ac:dyDescent="0.25">
      <c r="B13" t="s">
        <v>47</v>
      </c>
      <c r="C13" t="s">
        <v>74</v>
      </c>
      <c r="D13">
        <v>5</v>
      </c>
      <c r="E13" s="3">
        <f>113*0.6</f>
        <v>67.8</v>
      </c>
      <c r="F13" s="3">
        <f>E13/D13</f>
        <v>13.559999999999999</v>
      </c>
      <c r="G13" s="8"/>
    </row>
    <row r="15" spans="2:11" x14ac:dyDescent="0.25">
      <c r="F15" s="8">
        <f>SUM(F12:F14)</f>
        <v>37.372799999999998</v>
      </c>
      <c r="G15" s="8">
        <f>F15*1.37</f>
        <v>51.200735999999999</v>
      </c>
      <c r="H15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A1307-E890-4A22-BAD5-4675224117F3}">
  <dimension ref="B2:J4"/>
  <sheetViews>
    <sheetView workbookViewId="0">
      <selection activeCell="B5" sqref="B5"/>
    </sheetView>
  </sheetViews>
  <sheetFormatPr defaultRowHeight="15" x14ac:dyDescent="0.25"/>
  <sheetData>
    <row r="2" spans="2:10" x14ac:dyDescent="0.25">
      <c r="B2" s="18" t="s">
        <v>48</v>
      </c>
      <c r="C2" s="18"/>
      <c r="D2" s="18"/>
      <c r="E2" s="18"/>
      <c r="F2" s="18"/>
      <c r="G2" s="18"/>
      <c r="H2" s="18"/>
      <c r="I2" s="18"/>
      <c r="J2" s="18"/>
    </row>
    <row r="3" spans="2:10" x14ac:dyDescent="0.25">
      <c r="B3" s="18"/>
      <c r="C3" s="18"/>
      <c r="D3" s="18"/>
      <c r="E3" s="18"/>
      <c r="F3" s="18"/>
      <c r="G3" s="18"/>
      <c r="H3" s="18"/>
      <c r="I3" s="18"/>
      <c r="J3" s="18"/>
    </row>
    <row r="4" spans="2:10" x14ac:dyDescent="0.25">
      <c r="B4" s="18"/>
      <c r="C4" s="18"/>
      <c r="D4" s="18"/>
      <c r="E4" s="18"/>
      <c r="F4" s="18"/>
      <c r="G4" s="18"/>
      <c r="H4" s="18"/>
      <c r="I4" s="18"/>
      <c r="J4" s="18"/>
    </row>
  </sheetData>
  <mergeCells count="1">
    <mergeCell ref="B2:J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30"/>
  <sheetViews>
    <sheetView workbookViewId="0">
      <selection activeCell="F23" sqref="F23:F30"/>
    </sheetView>
  </sheetViews>
  <sheetFormatPr defaultRowHeight="15" x14ac:dyDescent="0.25"/>
  <cols>
    <col min="1" max="1" width="3.85546875" customWidth="1"/>
    <col min="2" max="2" width="13.28515625" bestFit="1" customWidth="1"/>
    <col min="3" max="3" width="12" customWidth="1"/>
    <col min="4" max="4" width="31.7109375" customWidth="1"/>
    <col min="5" max="5" width="18" customWidth="1"/>
    <col min="6" max="6" width="16.42578125" customWidth="1"/>
    <col min="7" max="7" width="13.7109375" customWidth="1"/>
    <col min="8" max="8" width="11" customWidth="1"/>
    <col min="9" max="9" width="63.5703125" bestFit="1" customWidth="1"/>
  </cols>
  <sheetData>
    <row r="2" spans="2:9" ht="59.25" customHeight="1" x14ac:dyDescent="0.25">
      <c r="B2" s="19" t="s">
        <v>41</v>
      </c>
      <c r="C2" s="20"/>
      <c r="D2" s="20"/>
      <c r="E2" s="20"/>
      <c r="F2" s="20"/>
      <c r="G2" s="20"/>
      <c r="H2" s="20"/>
      <c r="I2" s="21"/>
    </row>
    <row r="4" spans="2:9" x14ac:dyDescent="0.25">
      <c r="B4" t="s">
        <v>1</v>
      </c>
      <c r="C4" t="s">
        <v>16</v>
      </c>
      <c r="D4" t="s">
        <v>2</v>
      </c>
      <c r="E4" t="s">
        <v>3</v>
      </c>
      <c r="F4" t="s">
        <v>15</v>
      </c>
      <c r="G4" t="s">
        <v>30</v>
      </c>
      <c r="H4" t="s">
        <v>37</v>
      </c>
      <c r="I4" t="s">
        <v>4</v>
      </c>
    </row>
    <row r="5" spans="2:9" x14ac:dyDescent="0.25">
      <c r="D5" t="s">
        <v>32</v>
      </c>
      <c r="E5">
        <f>1200*2*0.2</f>
        <v>480</v>
      </c>
      <c r="F5">
        <f>E5</f>
        <v>480</v>
      </c>
      <c r="G5" s="3">
        <f t="shared" ref="G5:G21" si="0">F5/F$24</f>
        <v>0.24</v>
      </c>
      <c r="H5" s="6">
        <f t="shared" ref="H5:H19" si="1">G5/F$25</f>
        <v>1.5232527939108332E-2</v>
      </c>
    </row>
    <row r="6" spans="2:9" x14ac:dyDescent="0.25">
      <c r="D6" t="s">
        <v>33</v>
      </c>
      <c r="E6">
        <f>340*4*0.2</f>
        <v>272</v>
      </c>
      <c r="F6">
        <f>E6</f>
        <v>272</v>
      </c>
      <c r="G6" s="3">
        <f t="shared" si="0"/>
        <v>0.13600000000000001</v>
      </c>
      <c r="H6" s="6">
        <f t="shared" si="1"/>
        <v>8.631765832161388E-3</v>
      </c>
    </row>
    <row r="7" spans="2:9" x14ac:dyDescent="0.25">
      <c r="D7" t="s">
        <v>11</v>
      </c>
      <c r="E7" s="1">
        <v>12</v>
      </c>
      <c r="F7" s="2">
        <f>E7*2</f>
        <v>24</v>
      </c>
      <c r="G7" s="3">
        <f t="shared" si="0"/>
        <v>1.2E-2</v>
      </c>
      <c r="H7" s="6">
        <f t="shared" si="1"/>
        <v>7.6162639695541662E-4</v>
      </c>
    </row>
    <row r="8" spans="2:9" x14ac:dyDescent="0.25">
      <c r="D8" t="s">
        <v>7</v>
      </c>
      <c r="E8" s="1">
        <f>28.67+9*8</f>
        <v>100.67</v>
      </c>
      <c r="F8" s="2">
        <f>E8*2</f>
        <v>201.34</v>
      </c>
      <c r="G8" s="3">
        <f t="shared" si="0"/>
        <v>0.10067</v>
      </c>
      <c r="H8" s="6">
        <f t="shared" si="1"/>
        <v>6.3894107817918152E-3</v>
      </c>
    </row>
    <row r="9" spans="2:9" x14ac:dyDescent="0.25">
      <c r="D9" t="s">
        <v>8</v>
      </c>
      <c r="E9" s="1">
        <f>439*2</f>
        <v>878</v>
      </c>
      <c r="F9" s="2">
        <f>E9</f>
        <v>878</v>
      </c>
      <c r="G9" s="3">
        <f t="shared" si="0"/>
        <v>0.439</v>
      </c>
      <c r="H9" s="6">
        <f t="shared" si="1"/>
        <v>2.7862832355285656E-2</v>
      </c>
      <c r="I9" t="s">
        <v>25</v>
      </c>
    </row>
    <row r="10" spans="2:9" x14ac:dyDescent="0.25">
      <c r="C10" t="s">
        <v>17</v>
      </c>
      <c r="D10" s="4" t="s">
        <v>13</v>
      </c>
      <c r="E10" s="1">
        <v>90</v>
      </c>
      <c r="F10" s="2">
        <f>E10*2</f>
        <v>180</v>
      </c>
      <c r="G10" s="3">
        <f t="shared" si="0"/>
        <v>0.09</v>
      </c>
      <c r="H10" s="6">
        <f t="shared" si="1"/>
        <v>5.712197977165624E-3</v>
      </c>
      <c r="I10" t="s">
        <v>14</v>
      </c>
    </row>
    <row r="11" spans="2:9" x14ac:dyDescent="0.25">
      <c r="D11" t="s">
        <v>6</v>
      </c>
      <c r="E11" s="1">
        <v>24</v>
      </c>
      <c r="F11" s="2">
        <f>E11*2</f>
        <v>48</v>
      </c>
      <c r="G11" s="3">
        <f t="shared" si="0"/>
        <v>2.4E-2</v>
      </c>
      <c r="H11" s="6">
        <f t="shared" si="1"/>
        <v>1.5232527939108332E-3</v>
      </c>
      <c r="I11" t="s">
        <v>20</v>
      </c>
    </row>
    <row r="12" spans="2:9" x14ac:dyDescent="0.25">
      <c r="C12" t="s">
        <v>17</v>
      </c>
      <c r="D12" s="5" t="s">
        <v>24</v>
      </c>
      <c r="E12" s="1">
        <f>15*4+6.5*2</f>
        <v>73</v>
      </c>
      <c r="F12" s="2">
        <f>E12*2</f>
        <v>146</v>
      </c>
      <c r="G12" s="3">
        <f t="shared" si="0"/>
        <v>7.2999999999999995E-2</v>
      </c>
      <c r="H12" s="6">
        <f t="shared" si="1"/>
        <v>4.6332272481454505E-3</v>
      </c>
      <c r="I12" t="s">
        <v>23</v>
      </c>
    </row>
    <row r="13" spans="2:9" x14ac:dyDescent="0.25">
      <c r="D13" t="s">
        <v>21</v>
      </c>
      <c r="E13" s="1">
        <f>20.21*2</f>
        <v>40.42</v>
      </c>
      <c r="F13" s="2">
        <f>E13*2</f>
        <v>80.84</v>
      </c>
      <c r="G13" s="3">
        <f t="shared" si="0"/>
        <v>4.0420000000000005E-2</v>
      </c>
      <c r="H13" s="6">
        <f t="shared" si="1"/>
        <v>2.565411580411495E-3</v>
      </c>
      <c r="I13" t="s">
        <v>22</v>
      </c>
    </row>
    <row r="14" spans="2:9" x14ac:dyDescent="0.25">
      <c r="D14" t="s">
        <v>26</v>
      </c>
      <c r="E14" s="1">
        <f>63.7+28.42</f>
        <v>92.12</v>
      </c>
      <c r="F14" s="2">
        <f>E14*2</f>
        <v>184.24</v>
      </c>
      <c r="G14" s="3">
        <f t="shared" si="0"/>
        <v>9.2120000000000007E-2</v>
      </c>
      <c r="H14" s="6">
        <f t="shared" si="1"/>
        <v>5.8467519739610818E-3</v>
      </c>
      <c r="I14" t="s">
        <v>27</v>
      </c>
    </row>
    <row r="15" spans="2:9" x14ac:dyDescent="0.25">
      <c r="D15" t="s">
        <v>18</v>
      </c>
      <c r="E15" s="1">
        <f>35+0.78*15</f>
        <v>46.7</v>
      </c>
      <c r="F15" s="2">
        <f>E15*750/350</f>
        <v>100.07142857142857</v>
      </c>
      <c r="G15" s="3">
        <f t="shared" si="0"/>
        <v>5.0035714285714288E-2</v>
      </c>
      <c r="H15" s="6">
        <f t="shared" si="1"/>
        <v>3.1757100658766032E-3</v>
      </c>
      <c r="I15" t="s">
        <v>19</v>
      </c>
    </row>
    <row r="16" spans="2:9" x14ac:dyDescent="0.25">
      <c r="D16" t="s">
        <v>5</v>
      </c>
      <c r="E16" s="1">
        <v>198.44</v>
      </c>
      <c r="F16" s="2">
        <f>E16*750/350</f>
        <v>425.22857142857146</v>
      </c>
      <c r="G16" s="3">
        <f t="shared" si="0"/>
        <v>0.21261428571428573</v>
      </c>
      <c r="H16" s="6">
        <f t="shared" si="1"/>
        <v>1.3494387697485078E-2</v>
      </c>
      <c r="I16" t="s">
        <v>28</v>
      </c>
    </row>
    <row r="17" spans="4:9" x14ac:dyDescent="0.25">
      <c r="D17" t="s">
        <v>5</v>
      </c>
      <c r="E17" s="1">
        <v>113.77</v>
      </c>
      <c r="F17" s="2">
        <f>E17*750/350</f>
        <v>243.79285714285714</v>
      </c>
      <c r="G17" s="3">
        <f t="shared" si="0"/>
        <v>0.12189642857142857</v>
      </c>
      <c r="H17" s="6">
        <f t="shared" si="1"/>
        <v>7.7366281412158703E-3</v>
      </c>
      <c r="I17" t="s">
        <v>29</v>
      </c>
    </row>
    <row r="18" spans="4:9" x14ac:dyDescent="0.25">
      <c r="D18" t="s">
        <v>31</v>
      </c>
      <c r="F18" s="2"/>
      <c r="G18" s="3">
        <f t="shared" si="0"/>
        <v>0</v>
      </c>
      <c r="H18" s="6">
        <f t="shared" si="1"/>
        <v>0</v>
      </c>
    </row>
    <row r="19" spans="4:9" x14ac:dyDescent="0.25">
      <c r="D19" t="s">
        <v>35</v>
      </c>
      <c r="F19" s="2">
        <f>4000*0.25*16+2000*0.5*4+1000*0.75*12</f>
        <v>29000</v>
      </c>
      <c r="G19" s="3">
        <f t="shared" si="0"/>
        <v>14.5</v>
      </c>
      <c r="H19" s="6">
        <f t="shared" si="1"/>
        <v>0.92029856298779511</v>
      </c>
    </row>
    <row r="20" spans="4:9" x14ac:dyDescent="0.25">
      <c r="F20" s="2"/>
      <c r="G20" s="3">
        <f t="shared" si="0"/>
        <v>0</v>
      </c>
      <c r="H20" s="2"/>
    </row>
    <row r="21" spans="4:9" x14ac:dyDescent="0.25">
      <c r="F21" s="2"/>
      <c r="G21" s="3">
        <f t="shared" si="0"/>
        <v>0</v>
      </c>
      <c r="H21" s="2"/>
    </row>
    <row r="22" spans="4:9" x14ac:dyDescent="0.25">
      <c r="F22" s="2"/>
      <c r="G22" s="3"/>
      <c r="H22" s="2"/>
    </row>
    <row r="23" spans="4:9" x14ac:dyDescent="0.25">
      <c r="E23" t="s">
        <v>9</v>
      </c>
      <c r="F23" s="2">
        <f>SUM(F7:F22)</f>
        <v>31511.512857142858</v>
      </c>
      <c r="G23" s="2"/>
      <c r="H23" s="2"/>
    </row>
    <row r="24" spans="4:9" x14ac:dyDescent="0.25">
      <c r="E24" t="s">
        <v>10</v>
      </c>
      <c r="F24" s="2">
        <v>2000</v>
      </c>
      <c r="G24" s="2"/>
      <c r="H24" s="2"/>
    </row>
    <row r="25" spans="4:9" x14ac:dyDescent="0.25">
      <c r="E25" t="s">
        <v>12</v>
      </c>
      <c r="F25" s="3">
        <f>F23/F24</f>
        <v>15.755756428571429</v>
      </c>
      <c r="G25" s="3" t="s">
        <v>38</v>
      </c>
      <c r="H25" s="3"/>
    </row>
    <row r="26" spans="4:9" x14ac:dyDescent="0.25">
      <c r="F26" s="8">
        <f>F25*1.09</f>
        <v>17.173774507142859</v>
      </c>
      <c r="G26" t="s">
        <v>39</v>
      </c>
    </row>
    <row r="27" spans="4:9" x14ac:dyDescent="0.25">
      <c r="F27" s="8">
        <f t="shared" ref="F27:F30" si="2">F26*1.09</f>
        <v>18.719414212785718</v>
      </c>
    </row>
    <row r="28" spans="4:9" x14ac:dyDescent="0.25">
      <c r="F28" s="8">
        <f t="shared" si="2"/>
        <v>20.404161491936435</v>
      </c>
    </row>
    <row r="29" spans="4:9" x14ac:dyDescent="0.25">
      <c r="F29" s="8">
        <f t="shared" si="2"/>
        <v>22.240536026210716</v>
      </c>
    </row>
    <row r="30" spans="4:9" x14ac:dyDescent="0.25">
      <c r="F30" s="8">
        <f t="shared" si="2"/>
        <v>24.242184268569684</v>
      </c>
    </row>
  </sheetData>
  <mergeCells count="1">
    <mergeCell ref="B2:I2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6A4CD-A5C7-4BD9-89F1-15B2D7133DA4}">
  <dimension ref="B2:L39"/>
  <sheetViews>
    <sheetView topLeftCell="A7" workbookViewId="0">
      <selection activeCell="F38" sqref="F38"/>
    </sheetView>
  </sheetViews>
  <sheetFormatPr defaultColWidth="9.140625" defaultRowHeight="15" x14ac:dyDescent="0.25"/>
  <cols>
    <col min="3" max="3" width="13.7109375" customWidth="1"/>
    <col min="5" max="5" width="15.7109375" bestFit="1" customWidth="1"/>
    <col min="6" max="6" width="13.85546875" customWidth="1"/>
    <col min="7" max="7" width="34.5703125" bestFit="1" customWidth="1"/>
    <col min="12" max="12" width="48.140625" bestFit="1" customWidth="1"/>
  </cols>
  <sheetData>
    <row r="2" spans="2:12" x14ac:dyDescent="0.25">
      <c r="B2" s="22" t="s">
        <v>49</v>
      </c>
      <c r="C2" s="23"/>
      <c r="D2" s="23"/>
      <c r="E2" s="23"/>
      <c r="F2" s="23"/>
      <c r="G2" s="24"/>
    </row>
    <row r="3" spans="2:12" x14ac:dyDescent="0.25">
      <c r="B3" s="25"/>
      <c r="C3" s="16"/>
      <c r="D3" s="16"/>
      <c r="E3" s="16"/>
      <c r="F3" s="16"/>
      <c r="G3" s="26"/>
    </row>
    <row r="4" spans="2:12" x14ac:dyDescent="0.25">
      <c r="B4" s="25"/>
      <c r="C4" s="16"/>
      <c r="D4" s="16"/>
      <c r="E4" s="16"/>
      <c r="F4" s="16"/>
      <c r="G4" s="26"/>
    </row>
    <row r="5" spans="2:12" x14ac:dyDescent="0.25">
      <c r="B5" s="25"/>
      <c r="C5" s="16"/>
      <c r="D5" s="16"/>
      <c r="E5" s="16"/>
      <c r="F5" s="16"/>
      <c r="G5" s="26"/>
    </row>
    <row r="6" spans="2:12" x14ac:dyDescent="0.25">
      <c r="B6" s="25"/>
      <c r="C6" s="16"/>
      <c r="D6" s="16"/>
      <c r="E6" s="16"/>
      <c r="F6" s="16"/>
      <c r="G6" s="26"/>
    </row>
    <row r="7" spans="2:12" x14ac:dyDescent="0.25">
      <c r="B7" s="27"/>
      <c r="C7" s="28"/>
      <c r="D7" s="28"/>
      <c r="E7" s="28"/>
      <c r="F7" s="28"/>
      <c r="G7" s="29"/>
      <c r="K7" s="11">
        <v>0.51587301587301593</v>
      </c>
      <c r="L7" t="s">
        <v>50</v>
      </c>
    </row>
    <row r="8" spans="2:12" x14ac:dyDescent="0.25">
      <c r="K8">
        <v>0.4</v>
      </c>
      <c r="L8" t="s">
        <v>51</v>
      </c>
    </row>
    <row r="9" spans="2:12" x14ac:dyDescent="0.25">
      <c r="B9" s="9" t="s">
        <v>52</v>
      </c>
      <c r="C9" s="9" t="s">
        <v>53</v>
      </c>
      <c r="D9" s="9" t="s">
        <v>54</v>
      </c>
      <c r="E9" s="9" t="s">
        <v>55</v>
      </c>
      <c r="F9" s="9"/>
      <c r="G9" s="9" t="s">
        <v>56</v>
      </c>
      <c r="K9">
        <v>0.03</v>
      </c>
      <c r="L9" t="s">
        <v>57</v>
      </c>
    </row>
    <row r="10" spans="2:12" x14ac:dyDescent="0.25">
      <c r="B10" s="9"/>
      <c r="C10" s="10">
        <v>272</v>
      </c>
      <c r="D10" s="9"/>
      <c r="E10" s="9">
        <v>360</v>
      </c>
      <c r="F10" s="10">
        <f>C10/E10</f>
        <v>0.75555555555555554</v>
      </c>
      <c r="G10" s="9" t="s">
        <v>58</v>
      </c>
    </row>
    <row r="11" spans="2:12" x14ac:dyDescent="0.25">
      <c r="B11" s="9"/>
      <c r="C11" s="10">
        <f>C10*K9</f>
        <v>8.16</v>
      </c>
      <c r="D11" s="9"/>
      <c r="E11" s="9">
        <v>360</v>
      </c>
      <c r="F11" s="10">
        <f>C11/E11</f>
        <v>2.2666666666666668E-2</v>
      </c>
      <c r="G11" s="9" t="s">
        <v>57</v>
      </c>
    </row>
    <row r="12" spans="2:12" x14ac:dyDescent="0.25">
      <c r="B12" s="9"/>
      <c r="C12" s="10">
        <f>(C10+C11)*K7</f>
        <v>144.52698412698416</v>
      </c>
      <c r="D12" s="9"/>
      <c r="E12" s="9">
        <v>360</v>
      </c>
      <c r="F12" s="10">
        <f t="shared" ref="F12:F13" si="0">C12/E12</f>
        <v>0.40146384479717823</v>
      </c>
      <c r="G12" s="9" t="s">
        <v>59</v>
      </c>
    </row>
    <row r="13" spans="2:12" x14ac:dyDescent="0.25">
      <c r="B13" s="9"/>
      <c r="C13" s="10">
        <f>(C10+C11)*K8</f>
        <v>112.06400000000002</v>
      </c>
      <c r="D13" s="9"/>
      <c r="E13" s="9">
        <v>360</v>
      </c>
      <c r="F13" s="10">
        <f t="shared" si="0"/>
        <v>0.31128888888888895</v>
      </c>
      <c r="G13" s="9" t="s">
        <v>60</v>
      </c>
    </row>
    <row r="14" spans="2:12" x14ac:dyDescent="0.25">
      <c r="B14" s="9"/>
      <c r="C14" s="10">
        <v>272</v>
      </c>
      <c r="D14" s="9"/>
      <c r="E14" s="9">
        <v>360</v>
      </c>
      <c r="F14" s="10">
        <f>C14/E14</f>
        <v>0.75555555555555554</v>
      </c>
      <c r="G14" s="9" t="s">
        <v>61</v>
      </c>
    </row>
    <row r="15" spans="2:12" x14ac:dyDescent="0.25">
      <c r="B15" s="9"/>
      <c r="C15" s="10">
        <f>C14*K9</f>
        <v>8.16</v>
      </c>
      <c r="D15" s="9"/>
      <c r="E15" s="9">
        <v>360</v>
      </c>
      <c r="F15" s="10">
        <f>C15/E15</f>
        <v>2.2666666666666668E-2</v>
      </c>
      <c r="G15" s="9" t="s">
        <v>57</v>
      </c>
    </row>
    <row r="16" spans="2:12" x14ac:dyDescent="0.25">
      <c r="B16" s="9"/>
      <c r="C16" s="10">
        <f>(C14+C15)*K7</f>
        <v>144.52698412698416</v>
      </c>
      <c r="D16" s="9"/>
      <c r="E16" s="9">
        <v>360</v>
      </c>
      <c r="F16" s="10">
        <f t="shared" ref="F16:F17" si="1">C16/E16</f>
        <v>0.40146384479717823</v>
      </c>
      <c r="G16" s="9" t="s">
        <v>59</v>
      </c>
    </row>
    <row r="17" spans="2:12" x14ac:dyDescent="0.25">
      <c r="B17" s="9"/>
      <c r="C17" s="10">
        <f>(C14+C15)*K8</f>
        <v>112.06400000000002</v>
      </c>
      <c r="D17" s="9"/>
      <c r="E17" s="9">
        <v>360</v>
      </c>
      <c r="F17" s="10">
        <f t="shared" si="1"/>
        <v>0.31128888888888895</v>
      </c>
      <c r="G17" s="9" t="s">
        <v>60</v>
      </c>
    </row>
    <row r="18" spans="2:12" x14ac:dyDescent="0.25">
      <c r="C18" s="11">
        <f>SUM(C10:C17)</f>
        <v>1073.5019682539682</v>
      </c>
      <c r="F18" s="14">
        <f>SUM(F10:F17)</f>
        <v>2.9819499118165789</v>
      </c>
      <c r="G18" s="12" t="s">
        <v>62</v>
      </c>
    </row>
    <row r="19" spans="2:12" x14ac:dyDescent="0.25">
      <c r="F19" s="3"/>
      <c r="K19">
        <f>1511.79*648.84/664.24</f>
        <v>1476.7400692520775</v>
      </c>
      <c r="L19" t="s">
        <v>63</v>
      </c>
    </row>
    <row r="20" spans="2:12" x14ac:dyDescent="0.25">
      <c r="B20" s="9" t="s">
        <v>52</v>
      </c>
      <c r="C20" s="9" t="s">
        <v>53</v>
      </c>
      <c r="D20" s="9" t="s">
        <v>54</v>
      </c>
      <c r="E20" s="9" t="s">
        <v>55</v>
      </c>
      <c r="F20" s="10"/>
      <c r="G20" s="9" t="s">
        <v>56</v>
      </c>
      <c r="K20">
        <f>575*648.84/664.24</f>
        <v>561.66897506925204</v>
      </c>
      <c r="L20" t="s">
        <v>64</v>
      </c>
    </row>
    <row r="21" spans="2:12" x14ac:dyDescent="0.25">
      <c r="B21" s="13">
        <v>44412</v>
      </c>
      <c r="C21" s="10">
        <v>630</v>
      </c>
      <c r="D21" s="9"/>
      <c r="E21" s="9">
        <v>360</v>
      </c>
      <c r="F21" s="10">
        <f>C21/E21</f>
        <v>1.75</v>
      </c>
      <c r="G21" s="9" t="s">
        <v>65</v>
      </c>
    </row>
    <row r="22" spans="2:12" x14ac:dyDescent="0.25">
      <c r="B22" s="13"/>
      <c r="C22" s="10">
        <v>18.84</v>
      </c>
      <c r="D22" s="9"/>
      <c r="E22" s="9">
        <v>360</v>
      </c>
      <c r="F22" s="10">
        <f>C22/E22</f>
        <v>5.2333333333333336E-2</v>
      </c>
      <c r="G22" s="9" t="s">
        <v>57</v>
      </c>
      <c r="K22">
        <f>SUM(K19:K21)</f>
        <v>2038.4090443213295</v>
      </c>
    </row>
    <row r="23" spans="2:12" x14ac:dyDescent="0.25">
      <c r="B23" s="13"/>
      <c r="C23" s="10">
        <f>(C21+C22)*K7</f>
        <v>334.71904761904767</v>
      </c>
      <c r="D23" s="9"/>
      <c r="E23" s="9">
        <v>360</v>
      </c>
      <c r="F23" s="10">
        <f>C23/E23</f>
        <v>0.92977513227513242</v>
      </c>
      <c r="G23" s="9" t="s">
        <v>66</v>
      </c>
    </row>
    <row r="24" spans="2:12" x14ac:dyDescent="0.25">
      <c r="B24" s="13"/>
      <c r="C24" s="10"/>
      <c r="D24" s="9"/>
      <c r="E24" s="9"/>
      <c r="F24" s="10"/>
      <c r="G24" s="9"/>
    </row>
    <row r="25" spans="2:12" x14ac:dyDescent="0.25">
      <c r="B25" s="9"/>
      <c r="C25" s="10">
        <v>216</v>
      </c>
      <c r="D25" s="9"/>
      <c r="E25" s="9">
        <f>360-E30</f>
        <v>216</v>
      </c>
      <c r="F25" s="10">
        <f>C25/E25</f>
        <v>1</v>
      </c>
      <c r="G25" s="9" t="s">
        <v>67</v>
      </c>
      <c r="K25">
        <f>K22/99.55</f>
        <v>20.476233493936007</v>
      </c>
    </row>
    <row r="26" spans="2:12" x14ac:dyDescent="0.25">
      <c r="B26" s="9"/>
      <c r="C26" s="10">
        <f>C25*K9</f>
        <v>6.4799999999999995</v>
      </c>
      <c r="D26" s="9"/>
      <c r="E26" s="9">
        <v>216</v>
      </c>
      <c r="F26" s="10">
        <f>C26/E26</f>
        <v>0.03</v>
      </c>
      <c r="G26" s="9" t="s">
        <v>57</v>
      </c>
    </row>
    <row r="27" spans="2:12" x14ac:dyDescent="0.25">
      <c r="B27" s="9"/>
      <c r="C27" s="10">
        <f>(C25+C26)*K7</f>
        <v>114.77142857142857</v>
      </c>
      <c r="D27" s="9"/>
      <c r="E27" s="9">
        <v>216</v>
      </c>
      <c r="F27" s="10">
        <f>C27/E27</f>
        <v>0.53134920634920635</v>
      </c>
      <c r="G27" s="9" t="s">
        <v>66</v>
      </c>
    </row>
    <row r="28" spans="2:12" x14ac:dyDescent="0.25">
      <c r="B28" s="9"/>
      <c r="C28" s="10">
        <f>(C25+C26)*K8</f>
        <v>88.992000000000004</v>
      </c>
      <c r="D28" s="9"/>
      <c r="E28" s="9">
        <v>216</v>
      </c>
      <c r="F28" s="10">
        <f>C28/E28</f>
        <v>0.41200000000000003</v>
      </c>
      <c r="G28" s="9" t="s">
        <v>68</v>
      </c>
    </row>
    <row r="29" spans="2:12" x14ac:dyDescent="0.25">
      <c r="B29" s="9"/>
      <c r="C29" s="10"/>
      <c r="D29" s="9"/>
      <c r="E29" s="9"/>
      <c r="F29" s="10"/>
      <c r="G29" s="9"/>
    </row>
    <row r="30" spans="2:12" x14ac:dyDescent="0.25">
      <c r="B30" s="9"/>
      <c r="C30" s="10">
        <v>175</v>
      </c>
      <c r="D30" s="9"/>
      <c r="E30" s="9">
        <v>144</v>
      </c>
      <c r="F30" s="10">
        <f>C30/E30</f>
        <v>1.2152777777777777</v>
      </c>
      <c r="G30" s="9" t="s">
        <v>69</v>
      </c>
    </row>
    <row r="31" spans="2:12" x14ac:dyDescent="0.25">
      <c r="B31" s="9"/>
      <c r="C31" s="10">
        <f>C30*K9</f>
        <v>5.25</v>
      </c>
      <c r="D31" s="9"/>
      <c r="E31" s="9">
        <v>144</v>
      </c>
      <c r="F31" s="10">
        <f>C31/E31</f>
        <v>3.6458333333333336E-2</v>
      </c>
      <c r="G31" s="9" t="s">
        <v>57</v>
      </c>
    </row>
    <row r="32" spans="2:12" x14ac:dyDescent="0.25">
      <c r="B32" s="9"/>
      <c r="C32" s="10">
        <f>(C30+C31)*K7</f>
        <v>92.986111111111114</v>
      </c>
      <c r="D32" s="9"/>
      <c r="E32" s="9">
        <v>144</v>
      </c>
      <c r="F32" s="10">
        <f>C32/E32</f>
        <v>0.64573688271604945</v>
      </c>
      <c r="G32" s="9" t="s">
        <v>70</v>
      </c>
    </row>
    <row r="33" spans="2:7" x14ac:dyDescent="0.25">
      <c r="B33" s="9"/>
      <c r="C33" s="10">
        <f>(C30+C31)*K8</f>
        <v>72.100000000000009</v>
      </c>
      <c r="D33" s="9"/>
      <c r="E33" s="9">
        <v>144</v>
      </c>
      <c r="F33" s="10">
        <f>C33/E33</f>
        <v>0.50069444444444455</v>
      </c>
      <c r="G33" s="9" t="s">
        <v>68</v>
      </c>
    </row>
    <row r="34" spans="2:7" x14ac:dyDescent="0.25">
      <c r="B34" s="9"/>
      <c r="C34" s="10"/>
      <c r="D34" s="9"/>
      <c r="E34" s="9"/>
      <c r="F34" s="10"/>
      <c r="G34" s="9"/>
    </row>
    <row r="35" spans="2:7" x14ac:dyDescent="0.25">
      <c r="C35">
        <f>SUM(C21:C34)</f>
        <v>1755.1385873015872</v>
      </c>
      <c r="F35" s="14">
        <f>SUM(F21:F34)</f>
        <v>7.1036251102292773</v>
      </c>
      <c r="G35" s="12" t="s">
        <v>71</v>
      </c>
    </row>
    <row r="38" spans="2:7" x14ac:dyDescent="0.25">
      <c r="E38" t="s">
        <v>9</v>
      </c>
      <c r="F38" s="8">
        <f>F35+F18</f>
        <v>10.085575022045855</v>
      </c>
      <c r="G38" t="s">
        <v>38</v>
      </c>
    </row>
    <row r="39" spans="2:7" x14ac:dyDescent="0.25">
      <c r="F39" s="8">
        <f>F38*1.09</f>
        <v>10.993276774029983</v>
      </c>
      <c r="G39" t="s">
        <v>39</v>
      </c>
    </row>
  </sheetData>
  <mergeCells count="1">
    <mergeCell ref="B2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</vt:lpstr>
      <vt:lpstr>FMC-320U-A</vt:lpstr>
      <vt:lpstr>PCB</vt:lpstr>
      <vt:lpstr>RE</vt:lpstr>
      <vt:lpstr>NRE-BASE</vt:lpstr>
      <vt:lpstr>LCD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Gamarra</dc:creator>
  <cp:lastModifiedBy>IyD-PC</cp:lastModifiedBy>
  <dcterms:created xsi:type="dcterms:W3CDTF">2015-06-05T18:17:20Z</dcterms:created>
  <dcterms:modified xsi:type="dcterms:W3CDTF">2023-11-13T11:59:30Z</dcterms:modified>
</cp:coreProperties>
</file>