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FLOWMEET Dropbox\flowmeet\ID\Electronica\Equipos\FMC-320U\Administracion\"/>
    </mc:Choice>
  </mc:AlternateContent>
  <xr:revisionPtr revIDLastSave="0" documentId="13_ncr:1_{2D98EE65-C09D-4A8C-BBFD-5F5AC13BCBEB}" xr6:coauthVersionLast="47" xr6:coauthVersionMax="47" xr10:uidLastSave="{00000000-0000-0000-0000-000000000000}"/>
  <bookViews>
    <workbookView xWindow="28680" yWindow="-120" windowWidth="29040" windowHeight="15720" activeTab="4" xr2:uid="{00000000-000D-0000-FFFF-FFFF00000000}"/>
  </bookViews>
  <sheets>
    <sheet name="Leer" sheetId="5" r:id="rId1"/>
    <sheet name="Logger Capacidad" sheetId="1" r:id="rId2"/>
    <sheet name="Logger Consumo" sheetId="2" r:id="rId3"/>
    <sheet name="Impresora Consumo" sheetId="4" r:id="rId4"/>
    <sheet name="Consum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D6" i="3"/>
  <c r="N7" i="3"/>
  <c r="E6" i="3"/>
  <c r="E7" i="3"/>
  <c r="E12" i="4"/>
  <c r="E13" i="4"/>
  <c r="E11" i="4"/>
  <c r="G12" i="4"/>
  <c r="G13" i="4"/>
  <c r="G11" i="4"/>
  <c r="D22" i="2"/>
  <c r="E22" i="2" s="1"/>
  <c r="F22" i="2" s="1"/>
  <c r="E21" i="2"/>
  <c r="F21" i="2" s="1"/>
  <c r="E4" i="2"/>
  <c r="C9" i="1"/>
  <c r="M6" i="1" s="1"/>
  <c r="I7" i="1"/>
  <c r="I8" i="1"/>
  <c r="I9" i="1"/>
  <c r="I10" i="1"/>
  <c r="I11" i="1"/>
  <c r="I12" i="1"/>
  <c r="I13" i="1"/>
  <c r="I14" i="1"/>
  <c r="I6" i="1"/>
  <c r="L6" i="1"/>
  <c r="F14" i="1"/>
  <c r="H14" i="1" s="1"/>
  <c r="H7" i="1"/>
  <c r="H10" i="1"/>
  <c r="H11" i="1"/>
  <c r="H12" i="1"/>
  <c r="H13" i="1"/>
  <c r="H6" i="1"/>
  <c r="F8" i="1"/>
  <c r="F7" i="1"/>
  <c r="C7" i="1"/>
  <c r="E9" i="3" l="1"/>
  <c r="E10" i="3" s="1"/>
  <c r="E12" i="3" s="1"/>
  <c r="D23" i="2"/>
  <c r="E23" i="2" s="1"/>
  <c r="F23" i="2" s="1"/>
  <c r="H23" i="2" s="1"/>
  <c r="I23" i="2" s="1"/>
  <c r="K21" i="2"/>
  <c r="J21" i="2"/>
  <c r="H21" i="2"/>
  <c r="I21" i="2" s="1"/>
  <c r="G21" i="2"/>
  <c r="G22" i="2"/>
  <c r="K22" i="2"/>
  <c r="J22" i="2"/>
  <c r="H22" i="2"/>
  <c r="I22" i="2" s="1"/>
  <c r="D5" i="2"/>
  <c r="F4" i="2"/>
  <c r="G4" i="2" s="1"/>
  <c r="H9" i="1"/>
  <c r="H8" i="1"/>
  <c r="F9" i="1"/>
  <c r="E11" i="3" l="1"/>
  <c r="J23" i="2"/>
  <c r="K23" i="2"/>
  <c r="G23" i="2"/>
  <c r="E5" i="2"/>
  <c r="F5" i="2" s="1"/>
  <c r="J5" i="2" s="1"/>
  <c r="D6" i="2"/>
  <c r="E6" i="2" s="1"/>
  <c r="F6" i="2" s="1"/>
  <c r="H4" i="2"/>
  <c r="I4" i="2" s="1"/>
  <c r="J4" i="2"/>
  <c r="K4" i="2"/>
  <c r="F10" i="1"/>
  <c r="K5" i="2" l="1"/>
  <c r="G5" i="2"/>
  <c r="H5" i="2"/>
  <c r="I5" i="2" s="1"/>
  <c r="J6" i="2"/>
  <c r="H6" i="2"/>
  <c r="I6" i="2" s="1"/>
  <c r="K6" i="2"/>
  <c r="G6" i="2"/>
  <c r="F11" i="1"/>
  <c r="F12" i="1" l="1"/>
  <c r="F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H Sagarra</author>
  </authors>
  <commentList>
    <comment ref="L6" authorId="0" shapeId="0" xr:uid="{80AAC28F-9272-4F49-8897-DCB17F9E8372}">
      <text>
        <r>
          <rPr>
            <b/>
            <sz val="9"/>
            <color indexed="81"/>
            <rFont val="Tahoma"/>
            <charset val="1"/>
          </rPr>
          <t>Daniel H Sagarra:</t>
        </r>
        <r>
          <rPr>
            <sz val="9"/>
            <color indexed="81"/>
            <rFont val="Tahoma"/>
            <charset val="1"/>
          </rPr>
          <t xml:space="preserve">
Tension a nueva
</t>
        </r>
      </text>
    </comment>
    <comment ref="M6" authorId="0" shapeId="0" xr:uid="{80BCDC4D-2C43-4BC4-A6F4-36F4201E7021}">
      <text>
        <r>
          <rPr>
            <b/>
            <sz val="9"/>
            <color indexed="81"/>
            <rFont val="Tahoma"/>
            <charset val="1"/>
          </rPr>
          <t>Daniel H Sagarra:</t>
        </r>
        <r>
          <rPr>
            <sz val="9"/>
            <color indexed="81"/>
            <rFont val="Tahoma"/>
            <charset val="1"/>
          </rPr>
          <t xml:space="preserve">
Tension a advertencia de baja bateria, vida util.</t>
        </r>
      </text>
    </comment>
    <comment ref="N6" authorId="0" shapeId="0" xr:uid="{00A6AEC9-51F8-491B-AA35-E81EB4E616D7}">
      <text>
        <r>
          <rPr>
            <b/>
            <sz val="9"/>
            <color indexed="81"/>
            <rFont val="Tahoma"/>
            <charset val="1"/>
          </rPr>
          <t>Daniel H Sagarra:</t>
        </r>
        <r>
          <rPr>
            <sz val="9"/>
            <color indexed="81"/>
            <rFont val="Tahoma"/>
            <charset val="1"/>
          </rPr>
          <t xml:space="preserve">
Capacidad de la bateia a V low</t>
        </r>
      </text>
    </comment>
    <comment ref="N7" authorId="0" shapeId="0" xr:uid="{9A04B383-5B63-4690-AF05-A2E37272F9F1}">
      <text>
        <r>
          <rPr>
            <b/>
            <sz val="9"/>
            <color indexed="81"/>
            <rFont val="Tahoma"/>
            <family val="2"/>
          </rPr>
          <t>Daniel H Sagarra:</t>
        </r>
        <r>
          <rPr>
            <sz val="9"/>
            <color indexed="81"/>
            <rFont val="Tahoma"/>
            <family val="2"/>
          </rPr>
          <t xml:space="preserve">
Se concidera que al haber usado el 85% de la capacidad de la bateria es necesaria cambiar. Por el comportamiento de esta bateria, curva plana en la descarga, y otros virutes de este modelo, es mas que suficiente.</t>
        </r>
      </text>
    </comment>
  </commentList>
</comments>
</file>

<file path=xl/sharedStrings.xml><?xml version="1.0" encoding="utf-8"?>
<sst xmlns="http://schemas.openxmlformats.org/spreadsheetml/2006/main" count="90" uniqueCount="67">
  <si>
    <t>Memoria Inicial</t>
  </si>
  <si>
    <t>Memoria Final</t>
  </si>
  <si>
    <t>hex</t>
  </si>
  <si>
    <t>Bytes</t>
  </si>
  <si>
    <t>81FFFFF</t>
  </si>
  <si>
    <t>Capacidad</t>
  </si>
  <si>
    <t>Tamaño de registro</t>
  </si>
  <si>
    <t>Capacidad de registros</t>
  </si>
  <si>
    <t>Unidad</t>
  </si>
  <si>
    <t>Capacidad [años]</t>
  </si>
  <si>
    <t>Minutos entre registros</t>
  </si>
  <si>
    <t>Periodo</t>
  </si>
  <si>
    <t>Aplicacion</t>
  </si>
  <si>
    <t>Camion cisterna</t>
  </si>
  <si>
    <t>Registros/dia</t>
  </si>
  <si>
    <t>Registros [dia]</t>
  </si>
  <si>
    <t>Capacida[años]</t>
  </si>
  <si>
    <t>Capacidad de la bateria [ma/h]</t>
  </si>
  <si>
    <t>Conexiones soportadas para uso del 100% de la bateria</t>
  </si>
  <si>
    <t>Conexiones soportadas para uso del 15% de la bateria</t>
  </si>
  <si>
    <t>Vida util [dias] a una conexión pór dia.</t>
  </si>
  <si>
    <t xml:space="preserve">Vida util [dias] a una conexión por semana </t>
  </si>
  <si>
    <t>Vida util [dias] a una conexión por mes</t>
  </si>
  <si>
    <t xml:space="preserve">Vida util [años] a una conexión por semana </t>
  </si>
  <si>
    <t>Vida util [años] a una conexión por mes</t>
  </si>
  <si>
    <r>
      <t xml:space="preserve">Corriente [mA]
</t>
    </r>
    <r>
      <rPr>
        <b/>
        <sz val="11"/>
        <color theme="1"/>
        <rFont val="Calibri"/>
        <family val="2"/>
        <scheme val="minor"/>
      </rPr>
      <t>Nota: elegir modulo con consumo en el orden de 10mA</t>
    </r>
  </si>
  <si>
    <t>Duracion promedio de conexión [segundos]
Nota: optimizar tiempo de conexión, operación conjunta firmware y app</t>
  </si>
  <si>
    <t>PARA UN CONSUMO DE 70 MA, QUE ES ALTO POR EL MODULO ORIGINAL QUE SE ESTA USANDO, SI CONCIDERAMOS QUE EL 15% DE LA CARGA DE LA BATERIA SE LA DESTINA A LA ALIMENTACION DEL DATA LOGGER, DESCARGANDO LOS DATOS UN VEZ POR SEMANA, SI LA DESCARGA SE LOGRA HACER EN UN MINUTO, LO ANTERIOR NOS DA UNA DURACION DE 4.68 AÑOS. LA VIDA UTIL DEL INSTRUMENTO AUN SERIA DE 3 AÑOS, SI SE CUMPLE CON LO SIGUIENTE</t>
  </si>
  <si>
    <t>1) TRANSMITIR LOS DATOS EN 60 SEGUNDOS O MENOS</t>
  </si>
  <si>
    <t>3) EL USUARIO DESCARGA LOS DATOS CON UNA FRECUENCIA DE UNA VEZ POR SEMANA</t>
  </si>
  <si>
    <t>EL CONSUMO DEL MODULO ESTA MUY POR ENCIMA DE LO QUE SE PODRIA CONSEGUIR, 10 MA ES UN CONSUMO MAS ACORDE SI LO QUE SE BUSCA ES AUMENTAR LA FRECUENCIA DE CONEXIONES</t>
  </si>
  <si>
    <t xml:space="preserve">EN EL CASO ANTERIOR, EL SISTEMA COMPLETO CONSUMO 10MA AL  TRANSMITIR, CON UNA CONEXIÓN DIARIA, Y A 60 SEGUNDOS POR CONEXIÓN, DESTINAMOS EL 5% DE LA CAPACIDAD DE LA BATERIA Y AUN ASI TENEMOS 10.9 AÑOS DE AUTONOMIA PARA LA TRANSMISION DE DATOS. </t>
  </si>
  <si>
    <t>Consumo</t>
  </si>
  <si>
    <t>Estado</t>
  </si>
  <si>
    <t>Consumo [uA]</t>
  </si>
  <si>
    <t>Capacidad bateria</t>
  </si>
  <si>
    <t>Flujo cero</t>
  </si>
  <si>
    <t>Ciclo trabajo</t>
  </si>
  <si>
    <t>Flujo</t>
  </si>
  <si>
    <t>Total</t>
  </si>
  <si>
    <t>Consumo Medio</t>
  </si>
  <si>
    <t>uA-promerio</t>
  </si>
  <si>
    <t>Duracion</t>
  </si>
  <si>
    <t>Horas</t>
  </si>
  <si>
    <t>años</t>
  </si>
  <si>
    <t>CALCULO DE DURACION DE LA BATERIA. ESTE CALCULO SOLAMENTE TIENE EN CUENTA LO QUE CONSUMO EL COMPUTADOR SI LA SEÑAL DE ENTRADA ES UN SENSOR PICK-UP. QUE ENTREGA SEÑAL DURANTE UNA DETERMINADA PORCION DEL DIA</t>
  </si>
  <si>
    <t>Bateria</t>
  </si>
  <si>
    <t>ENERGIZER L91</t>
  </si>
  <si>
    <t>Capacidad [mAh]</t>
  </si>
  <si>
    <t>Unidd</t>
  </si>
  <si>
    <t>V inicial</t>
  </si>
  <si>
    <t>Utilidad</t>
  </si>
  <si>
    <t>V low</t>
  </si>
  <si>
    <t>La vida util de la bateria se estima en 6.5 años, trabajando con un pick-up 8 horas dia los 365 dias del año.</t>
  </si>
  <si>
    <t>Duracion de la bateria a LOW Battery</t>
  </si>
  <si>
    <t>Vida util [años]</t>
  </si>
  <si>
    <t>Agregar calculos para consumo de impreso</t>
  </si>
  <si>
    <t>impresión</t>
  </si>
  <si>
    <t>mA</t>
  </si>
  <si>
    <t>Tiempo</t>
  </si>
  <si>
    <t>s</t>
  </si>
  <si>
    <t>Duracion de impresión</t>
  </si>
  <si>
    <t>Impresiones por dia</t>
  </si>
  <si>
    <t>Impresiones en  5 años</t>
  </si>
  <si>
    <t>Impresión soportadas para uso del 15% de la bateria</t>
  </si>
  <si>
    <t>Reservo el 15% de la capacidad de la bateria para descarga de datos o imprimir ticket. Con esto puede descargar datos mas de una vez a la semana o imprimir dos tickets por dia.</t>
  </si>
  <si>
    <t>Nota, las mediciones en este caso se hicieron con el ST-LKINK desconectado, si se conecta el ST-LINK hay un drenaje de corriente desde ST-LINK hacia el computador, y el consumo disminuye 5uA aproximadamente.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</si>
</sst>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54">
    <xf numFmtId="0" fontId="0" fillId="0" borderId="0" xfId="0"/>
    <xf numFmtId="0" fontId="0" fillId="0" borderId="0" xfId="0" applyAlignment="1">
      <alignment horizontal="right"/>
    </xf>
    <xf numFmtId="2" fontId="0" fillId="0" borderId="0" xfId="0" applyNumberFormat="1"/>
    <xf numFmtId="0" fontId="0" fillId="0" borderId="1" xfId="0" applyBorder="1" applyAlignment="1">
      <alignment vertical="center" wrapText="1"/>
    </xf>
    <xf numFmtId="0" fontId="0" fillId="0" borderId="1" xfId="0" applyBorder="1"/>
    <xf numFmtId="1" fontId="0" fillId="0" borderId="1" xfId="0" applyNumberFormat="1" applyBorder="1"/>
    <xf numFmtId="0" fontId="0" fillId="0" borderId="0" xfId="0" applyAlignment="1">
      <alignment horizontal="left" vertical="center" wrapText="1"/>
    </xf>
    <xf numFmtId="2" fontId="0" fillId="0" borderId="1" xfId="0" applyNumberFormat="1" applyBorder="1"/>
    <xf numFmtId="2" fontId="2" fillId="3" borderId="1" xfId="0" applyNumberFormat="1" applyFont="1" applyFill="1" applyBorder="1"/>
    <xf numFmtId="1" fontId="2" fillId="3" borderId="1" xfId="0" applyNumberFormat="1" applyFont="1" applyFill="1" applyBorder="1"/>
    <xf numFmtId="164" fontId="0" fillId="0" borderId="1" xfId="0" applyNumberFormat="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0" borderId="0" xfId="0" applyAlignment="1">
      <alignment horizontal="center"/>
    </xf>
    <xf numFmtId="0" fontId="0" fillId="0" borderId="1" xfId="0" applyBorder="1" applyAlignment="1">
      <alignment horizontal="center"/>
    </xf>
    <xf numFmtId="9" fontId="0" fillId="0" borderId="1" xfId="1" applyFont="1" applyBorder="1"/>
    <xf numFmtId="0" fontId="0" fillId="0" borderId="10" xfId="0" applyBorder="1" applyAlignment="1">
      <alignment horizontal="center"/>
    </xf>
    <xf numFmtId="0" fontId="0" fillId="0" borderId="11"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13" xfId="0" applyBorder="1" applyAlignment="1">
      <alignment horizontal="center"/>
    </xf>
    <xf numFmtId="0" fontId="0" fillId="0" borderId="10" xfId="0" applyBorder="1" applyAlignment="1">
      <alignment horizontal="left" wrapText="1"/>
    </xf>
    <xf numFmtId="0" fontId="0" fillId="0" borderId="13" xfId="0" applyBorder="1" applyAlignment="1">
      <alignment horizontal="left" wrapText="1"/>
    </xf>
    <xf numFmtId="0" fontId="0" fillId="0" borderId="11" xfId="0" applyBorder="1" applyAlignment="1">
      <alignment horizontal="left" wrapText="1"/>
    </xf>
    <xf numFmtId="0" fontId="0" fillId="0" borderId="14" xfId="0" applyBorder="1" applyAlignment="1">
      <alignment horizontal="left" vertical="center"/>
    </xf>
    <xf numFmtId="0" fontId="0" fillId="0" borderId="15" xfId="0" applyBorder="1" applyAlignment="1">
      <alignment horizontal="left" vertical="center"/>
    </xf>
    <xf numFmtId="0" fontId="0" fillId="0" borderId="12" xfId="0" applyBorder="1" applyAlignment="1">
      <alignment horizontal="left" vertical="center"/>
    </xf>
    <xf numFmtId="164" fontId="0" fillId="0" borderId="14" xfId="0" applyNumberFormat="1" applyBorder="1" applyAlignment="1">
      <alignment horizontal="right" vertical="center"/>
    </xf>
    <xf numFmtId="164" fontId="0" fillId="0" borderId="15" xfId="0" applyNumberFormat="1" applyBorder="1" applyAlignment="1">
      <alignment horizontal="right" vertical="center"/>
    </xf>
    <xf numFmtId="164" fontId="0" fillId="0" borderId="12" xfId="0" applyNumberFormat="1" applyBorder="1" applyAlignment="1">
      <alignment horizontal="right" vertical="center"/>
    </xf>
    <xf numFmtId="0" fontId="0" fillId="0" borderId="10" xfId="0" applyBorder="1" applyAlignment="1">
      <alignment horizontal="left"/>
    </xf>
    <xf numFmtId="0" fontId="0" fillId="0" borderId="13" xfId="0" applyBorder="1" applyAlignment="1">
      <alignment horizontal="left"/>
    </xf>
    <xf numFmtId="0" fontId="0" fillId="0" borderId="11" xfId="0" applyBorder="1" applyAlignment="1">
      <alignment horizontal="left"/>
    </xf>
    <xf numFmtId="0" fontId="0" fillId="0" borderId="0" xfId="0" applyAlignment="1"/>
    <xf numFmtId="0" fontId="0" fillId="0" borderId="1"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D961B-0A29-48E7-A995-56FB494DCCEE}">
  <dimension ref="B3:I7"/>
  <sheetViews>
    <sheetView workbookViewId="0">
      <selection activeCell="H13" sqref="H13"/>
    </sheetView>
  </sheetViews>
  <sheetFormatPr defaultRowHeight="15" x14ac:dyDescent="0.25"/>
  <sheetData>
    <row r="3" spans="2:9" x14ac:dyDescent="0.25">
      <c r="B3" s="35" t="s">
        <v>66</v>
      </c>
      <c r="C3" s="53"/>
      <c r="D3" s="53"/>
      <c r="E3" s="53"/>
      <c r="F3" s="53"/>
      <c r="G3" s="53"/>
      <c r="H3" s="53"/>
      <c r="I3" s="53"/>
    </row>
    <row r="4" spans="2:9" x14ac:dyDescent="0.25">
      <c r="B4" s="53"/>
      <c r="C4" s="53"/>
      <c r="D4" s="53"/>
      <c r="E4" s="53"/>
      <c r="F4" s="53"/>
      <c r="G4" s="53"/>
      <c r="H4" s="53"/>
      <c r="I4" s="53"/>
    </row>
    <row r="5" spans="2:9" x14ac:dyDescent="0.25">
      <c r="B5" s="53"/>
      <c r="C5" s="53"/>
      <c r="D5" s="53"/>
      <c r="E5" s="53"/>
      <c r="F5" s="53"/>
      <c r="G5" s="53"/>
      <c r="H5" s="53"/>
      <c r="I5" s="53"/>
    </row>
    <row r="6" spans="2:9" x14ac:dyDescent="0.25">
      <c r="B6" s="53"/>
      <c r="C6" s="53"/>
      <c r="D6" s="53"/>
      <c r="E6" s="53"/>
      <c r="F6" s="53"/>
      <c r="G6" s="53"/>
      <c r="H6" s="53"/>
      <c r="I6" s="53"/>
    </row>
    <row r="7" spans="2:9" x14ac:dyDescent="0.25">
      <c r="B7" s="53"/>
      <c r="C7" s="53"/>
      <c r="D7" s="53"/>
      <c r="E7" s="53"/>
      <c r="F7" s="53"/>
      <c r="G7" s="53"/>
      <c r="H7" s="53"/>
      <c r="I7" s="53"/>
    </row>
  </sheetData>
  <mergeCells count="1">
    <mergeCell ref="B3: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M14"/>
  <sheetViews>
    <sheetView workbookViewId="0">
      <selection activeCell="C9" sqref="C9"/>
    </sheetView>
  </sheetViews>
  <sheetFormatPr defaultRowHeight="15" x14ac:dyDescent="0.25"/>
  <cols>
    <col min="2" max="2" width="21.140625" bestFit="1" customWidth="1"/>
    <col min="3" max="3" width="9.140625" customWidth="1"/>
    <col min="6" max="6" width="10.5703125" bestFit="1" customWidth="1"/>
    <col min="7" max="7" width="22.140625" bestFit="1" customWidth="1"/>
    <col min="8" max="8" width="16.140625" bestFit="1" customWidth="1"/>
    <col min="9" max="9" width="13.85546875" bestFit="1" customWidth="1"/>
    <col min="11" max="11" width="15.28515625" bestFit="1" customWidth="1"/>
    <col min="12" max="12" width="12.7109375" bestFit="1" customWidth="1"/>
    <col min="13" max="13" width="14.5703125" bestFit="1" customWidth="1"/>
  </cols>
  <sheetData>
    <row r="5" spans="2:13" x14ac:dyDescent="0.25">
      <c r="B5" t="s">
        <v>0</v>
      </c>
      <c r="C5" s="1">
        <v>8104000</v>
      </c>
      <c r="D5" t="s">
        <v>2</v>
      </c>
      <c r="F5" t="s">
        <v>11</v>
      </c>
      <c r="G5" t="s">
        <v>8</v>
      </c>
      <c r="H5" t="s">
        <v>9</v>
      </c>
      <c r="I5" t="s">
        <v>15</v>
      </c>
      <c r="K5" t="s">
        <v>12</v>
      </c>
      <c r="L5" t="s">
        <v>14</v>
      </c>
      <c r="M5" t="s">
        <v>16</v>
      </c>
    </row>
    <row r="6" spans="2:13" x14ac:dyDescent="0.25">
      <c r="B6" t="s">
        <v>1</v>
      </c>
      <c r="C6" s="1" t="s">
        <v>4</v>
      </c>
      <c r="D6" t="s">
        <v>2</v>
      </c>
      <c r="F6">
        <v>1</v>
      </c>
      <c r="G6" t="s">
        <v>10</v>
      </c>
      <c r="H6">
        <f>(C$9*F6)/(60*24*365)</f>
        <v>6.1369863013698629E-2</v>
      </c>
      <c r="I6">
        <f>60*24/F6</f>
        <v>1440</v>
      </c>
      <c r="K6" t="s">
        <v>13</v>
      </c>
      <c r="L6">
        <f>6*4*2*2</f>
        <v>96</v>
      </c>
      <c r="M6" s="2">
        <f>C9/(L6*365)</f>
        <v>0.92054794520547945</v>
      </c>
    </row>
    <row r="7" spans="2:13" x14ac:dyDescent="0.25">
      <c r="B7" t="s">
        <v>5</v>
      </c>
      <c r="C7" s="1">
        <f>HEX2DEC(C6)-HEX2DEC(C5)+1</f>
        <v>1032192</v>
      </c>
      <c r="D7" t="s">
        <v>3</v>
      </c>
      <c r="F7">
        <f>F6*2</f>
        <v>2</v>
      </c>
      <c r="G7" t="s">
        <v>10</v>
      </c>
      <c r="H7">
        <f t="shared" ref="H7:H13" si="0">(C$9*F7)/(60*24*365)</f>
        <v>0.12273972602739726</v>
      </c>
      <c r="I7">
        <f t="shared" ref="I7:I14" si="1">60*24/F7</f>
        <v>720</v>
      </c>
    </row>
    <row r="8" spans="2:13" x14ac:dyDescent="0.25">
      <c r="B8" t="s">
        <v>6</v>
      </c>
      <c r="C8">
        <v>32</v>
      </c>
      <c r="D8" t="s">
        <v>3</v>
      </c>
      <c r="F8">
        <f t="shared" ref="F8:F13" si="2">F7*2</f>
        <v>4</v>
      </c>
      <c r="G8" t="s">
        <v>10</v>
      </c>
      <c r="H8">
        <f t="shared" si="0"/>
        <v>0.24547945205479452</v>
      </c>
      <c r="I8">
        <f t="shared" si="1"/>
        <v>360</v>
      </c>
    </row>
    <row r="9" spans="2:13" x14ac:dyDescent="0.25">
      <c r="B9" t="s">
        <v>7</v>
      </c>
      <c r="C9">
        <f>C7/C8</f>
        <v>32256</v>
      </c>
      <c r="F9">
        <f t="shared" si="2"/>
        <v>8</v>
      </c>
      <c r="G9" t="s">
        <v>10</v>
      </c>
      <c r="H9">
        <f t="shared" si="0"/>
        <v>0.49095890410958903</v>
      </c>
      <c r="I9">
        <f t="shared" si="1"/>
        <v>180</v>
      </c>
    </row>
    <row r="10" spans="2:13" x14ac:dyDescent="0.25">
      <c r="F10">
        <f t="shared" si="2"/>
        <v>16</v>
      </c>
      <c r="G10" t="s">
        <v>10</v>
      </c>
      <c r="H10">
        <f t="shared" si="0"/>
        <v>0.98191780821917807</v>
      </c>
      <c r="I10">
        <f t="shared" si="1"/>
        <v>90</v>
      </c>
    </row>
    <row r="11" spans="2:13" x14ac:dyDescent="0.25">
      <c r="F11">
        <f t="shared" si="2"/>
        <v>32</v>
      </c>
      <c r="G11" t="s">
        <v>10</v>
      </c>
      <c r="H11">
        <f t="shared" si="0"/>
        <v>1.9638356164383561</v>
      </c>
      <c r="I11">
        <f t="shared" si="1"/>
        <v>45</v>
      </c>
    </row>
    <row r="12" spans="2:13" x14ac:dyDescent="0.25">
      <c r="F12">
        <f t="shared" si="2"/>
        <v>64</v>
      </c>
      <c r="G12" t="s">
        <v>10</v>
      </c>
      <c r="H12">
        <f t="shared" si="0"/>
        <v>3.9276712328767123</v>
      </c>
      <c r="I12">
        <f t="shared" si="1"/>
        <v>22.5</v>
      </c>
    </row>
    <row r="13" spans="2:13" x14ac:dyDescent="0.25">
      <c r="F13">
        <f t="shared" si="2"/>
        <v>128</v>
      </c>
      <c r="G13" t="s">
        <v>10</v>
      </c>
      <c r="H13">
        <f t="shared" si="0"/>
        <v>7.8553424657534245</v>
      </c>
      <c r="I13">
        <f t="shared" si="1"/>
        <v>11.25</v>
      </c>
    </row>
    <row r="14" spans="2:13" x14ac:dyDescent="0.25">
      <c r="F14">
        <f t="shared" ref="F14" si="3">F13*2</f>
        <v>256</v>
      </c>
      <c r="G14" t="s">
        <v>10</v>
      </c>
      <c r="H14">
        <f t="shared" ref="H14" si="4">(C$9*F14)/(60*24*365)</f>
        <v>15.710684931506849</v>
      </c>
      <c r="I14">
        <f t="shared" si="1"/>
        <v>5.625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D07DA-C24B-4553-81C2-F53EFA33118B}">
  <dimension ref="B3:K27"/>
  <sheetViews>
    <sheetView workbookViewId="0">
      <selection activeCell="B3" sqref="B3:K6"/>
    </sheetView>
  </sheetViews>
  <sheetFormatPr defaultColWidth="21.140625" defaultRowHeight="15" x14ac:dyDescent="0.25"/>
  <cols>
    <col min="1" max="1" width="1.28515625" customWidth="1"/>
    <col min="4" max="4" width="26.42578125" customWidth="1"/>
  </cols>
  <sheetData>
    <row r="3" spans="2:11" ht="92.25" customHeight="1" x14ac:dyDescent="0.25">
      <c r="B3" s="3" t="s">
        <v>17</v>
      </c>
      <c r="C3" s="3" t="s">
        <v>25</v>
      </c>
      <c r="D3" s="3" t="s">
        <v>26</v>
      </c>
      <c r="E3" s="3" t="s">
        <v>18</v>
      </c>
      <c r="F3" s="3" t="s">
        <v>19</v>
      </c>
      <c r="G3" s="3" t="s">
        <v>20</v>
      </c>
      <c r="H3" s="3" t="s">
        <v>21</v>
      </c>
      <c r="I3" s="3" t="s">
        <v>23</v>
      </c>
      <c r="J3" s="3" t="s">
        <v>22</v>
      </c>
      <c r="K3" s="3" t="s">
        <v>24</v>
      </c>
    </row>
    <row r="4" spans="2:11" x14ac:dyDescent="0.25">
      <c r="B4" s="4">
        <v>3500</v>
      </c>
      <c r="C4" s="4">
        <v>70</v>
      </c>
      <c r="D4" s="4">
        <v>30</v>
      </c>
      <c r="E4" s="5">
        <f>B4/C4*(60*60/D4)</f>
        <v>6000</v>
      </c>
      <c r="F4" s="5">
        <f>E4*0.15</f>
        <v>900</v>
      </c>
      <c r="G4" s="5">
        <f>F4</f>
        <v>900</v>
      </c>
      <c r="H4" s="4">
        <f>F4*7</f>
        <v>6300</v>
      </c>
      <c r="I4" s="7">
        <f>H4/365</f>
        <v>17.260273972602739</v>
      </c>
      <c r="J4" s="5">
        <f>F4*30</f>
        <v>27000</v>
      </c>
      <c r="K4" s="7">
        <f>F4*30/365</f>
        <v>73.972602739726028</v>
      </c>
    </row>
    <row r="5" spans="2:11" x14ac:dyDescent="0.25">
      <c r="B5" s="4">
        <v>3500</v>
      </c>
      <c r="C5" s="4">
        <v>70</v>
      </c>
      <c r="D5" s="4">
        <f>D4*2</f>
        <v>60</v>
      </c>
      <c r="E5" s="5">
        <f>B5/C5*(60*60/D5)</f>
        <v>3000</v>
      </c>
      <c r="F5" s="5">
        <f>E5*0.15</f>
        <v>450</v>
      </c>
      <c r="G5" s="5">
        <f t="shared" ref="G5:G6" si="0">F5</f>
        <v>450</v>
      </c>
      <c r="H5" s="9">
        <f t="shared" ref="H5:H6" si="1">F5*7</f>
        <v>3150</v>
      </c>
      <c r="I5" s="8">
        <f t="shared" ref="I5:I6" si="2">H5/365</f>
        <v>8.6301369863013697</v>
      </c>
      <c r="J5" s="5">
        <f>F5*30</f>
        <v>13500</v>
      </c>
      <c r="K5" s="7">
        <f t="shared" ref="K5:K6" si="3">F5*30/365</f>
        <v>36.986301369863014</v>
      </c>
    </row>
    <row r="6" spans="2:11" x14ac:dyDescent="0.25">
      <c r="B6" s="4">
        <v>3500</v>
      </c>
      <c r="C6" s="4">
        <v>70</v>
      </c>
      <c r="D6" s="4">
        <f>D5*2</f>
        <v>120</v>
      </c>
      <c r="E6" s="5">
        <f>B6/C6*(60*60/D6)</f>
        <v>1500</v>
      </c>
      <c r="F6" s="5">
        <f>E6*0.15</f>
        <v>225</v>
      </c>
      <c r="G6" s="5">
        <f t="shared" si="0"/>
        <v>225</v>
      </c>
      <c r="H6" s="4">
        <f t="shared" si="1"/>
        <v>1575</v>
      </c>
      <c r="I6" s="7">
        <f t="shared" si="2"/>
        <v>4.3150684931506849</v>
      </c>
      <c r="J6" s="5">
        <f>F6*30</f>
        <v>6750</v>
      </c>
      <c r="K6" s="7">
        <f t="shared" si="3"/>
        <v>18.493150684931507</v>
      </c>
    </row>
    <row r="9" spans="2:11" ht="15" customHeight="1" x14ac:dyDescent="0.25">
      <c r="B9" s="20" t="s">
        <v>27</v>
      </c>
      <c r="C9" s="21"/>
      <c r="D9" s="21"/>
      <c r="E9" s="21"/>
      <c r="F9" s="21"/>
      <c r="G9" s="22"/>
      <c r="H9" s="6"/>
      <c r="I9" s="6"/>
      <c r="J9" s="6"/>
      <c r="K9" s="6"/>
    </row>
    <row r="10" spans="2:11" x14ac:dyDescent="0.25">
      <c r="B10" s="23"/>
      <c r="C10" s="24"/>
      <c r="D10" s="24"/>
      <c r="E10" s="24"/>
      <c r="F10" s="24"/>
      <c r="G10" s="25"/>
      <c r="H10" s="6"/>
      <c r="I10" s="6"/>
      <c r="J10" s="6"/>
      <c r="K10" s="6"/>
    </row>
    <row r="11" spans="2:11" x14ac:dyDescent="0.25">
      <c r="B11" s="23"/>
      <c r="C11" s="24"/>
      <c r="D11" s="24"/>
      <c r="E11" s="24"/>
      <c r="F11" s="24"/>
      <c r="G11" s="25"/>
      <c r="H11" s="6"/>
      <c r="I11" s="6"/>
      <c r="J11" s="6"/>
      <c r="K11" s="6"/>
    </row>
    <row r="12" spans="2:11" x14ac:dyDescent="0.25">
      <c r="B12" s="23"/>
      <c r="C12" s="24"/>
      <c r="D12" s="24"/>
      <c r="E12" s="24"/>
      <c r="F12" s="24"/>
      <c r="G12" s="25"/>
      <c r="H12" s="6"/>
      <c r="I12" s="6"/>
      <c r="J12" s="6"/>
      <c r="K12" s="6"/>
    </row>
    <row r="13" spans="2:11" x14ac:dyDescent="0.25">
      <c r="B13" s="23" t="s">
        <v>28</v>
      </c>
      <c r="C13" s="24"/>
      <c r="D13" s="24"/>
      <c r="E13" s="24"/>
      <c r="F13" s="24"/>
      <c r="G13" s="25"/>
      <c r="H13" s="6"/>
      <c r="I13" s="6"/>
      <c r="J13" s="6"/>
      <c r="K13" s="6"/>
    </row>
    <row r="14" spans="2:11" x14ac:dyDescent="0.25">
      <c r="B14" s="26" t="s">
        <v>29</v>
      </c>
      <c r="C14" s="27"/>
      <c r="D14" s="27"/>
      <c r="E14" s="27"/>
      <c r="F14" s="27"/>
      <c r="G14" s="28"/>
      <c r="H14" s="6"/>
      <c r="I14" s="6"/>
      <c r="J14" s="6"/>
      <c r="K14" s="6"/>
    </row>
    <row r="16" spans="2:11" x14ac:dyDescent="0.25">
      <c r="B16" s="11" t="s">
        <v>30</v>
      </c>
      <c r="C16" s="12"/>
      <c r="D16" s="12"/>
      <c r="E16" s="12"/>
      <c r="F16" s="13"/>
    </row>
    <row r="17" spans="2:11" x14ac:dyDescent="0.25">
      <c r="B17" s="14"/>
      <c r="C17" s="15"/>
      <c r="D17" s="15"/>
      <c r="E17" s="15"/>
      <c r="F17" s="16"/>
    </row>
    <row r="18" spans="2:11" x14ac:dyDescent="0.25">
      <c r="B18" s="17"/>
      <c r="C18" s="18"/>
      <c r="D18" s="18"/>
      <c r="E18" s="18"/>
      <c r="F18" s="19"/>
    </row>
    <row r="20" spans="2:11" ht="75" x14ac:dyDescent="0.25">
      <c r="B20" s="3" t="s">
        <v>17</v>
      </c>
      <c r="C20" s="3" t="s">
        <v>25</v>
      </c>
      <c r="D20" s="3" t="s">
        <v>26</v>
      </c>
      <c r="E20" s="3" t="s">
        <v>18</v>
      </c>
      <c r="F20" s="3" t="s">
        <v>19</v>
      </c>
      <c r="G20" s="3" t="s">
        <v>20</v>
      </c>
      <c r="H20" s="3" t="s">
        <v>21</v>
      </c>
      <c r="I20" s="3" t="s">
        <v>23</v>
      </c>
      <c r="J20" s="3" t="s">
        <v>22</v>
      </c>
      <c r="K20" s="3" t="s">
        <v>24</v>
      </c>
    </row>
    <row r="21" spans="2:11" x14ac:dyDescent="0.25">
      <c r="B21" s="4">
        <v>3500</v>
      </c>
      <c r="C21" s="4">
        <v>10</v>
      </c>
      <c r="D21" s="4">
        <v>30</v>
      </c>
      <c r="E21" s="5">
        <f>B21/C21*(60*60/D21)</f>
        <v>42000</v>
      </c>
      <c r="F21" s="5">
        <f>E21*0.05</f>
        <v>2100</v>
      </c>
      <c r="G21" s="5">
        <f>F21</f>
        <v>2100</v>
      </c>
      <c r="H21" s="4">
        <f>F21*7</f>
        <v>14700</v>
      </c>
      <c r="I21" s="7">
        <f>H21/365</f>
        <v>40.273972602739725</v>
      </c>
      <c r="J21" s="5">
        <f>F21*30</f>
        <v>63000</v>
      </c>
      <c r="K21" s="7">
        <f>F21*30/365</f>
        <v>172.60273972602741</v>
      </c>
    </row>
    <row r="22" spans="2:11" x14ac:dyDescent="0.25">
      <c r="B22" s="4">
        <v>3500</v>
      </c>
      <c r="C22" s="4">
        <v>10</v>
      </c>
      <c r="D22" s="4">
        <f>D21*2</f>
        <v>60</v>
      </c>
      <c r="E22" s="5">
        <f>B22/C22*(60*60/D22)</f>
        <v>21000</v>
      </c>
      <c r="F22" s="5">
        <f>E22*0.05</f>
        <v>1050</v>
      </c>
      <c r="G22" s="5">
        <f t="shared" ref="G22:G23" si="4">F22</f>
        <v>1050</v>
      </c>
      <c r="H22" s="5">
        <f t="shared" ref="H22:H23" si="5">F22*7</f>
        <v>7350</v>
      </c>
      <c r="I22" s="10">
        <f t="shared" ref="I22:I23" si="6">H22/365</f>
        <v>20.136986301369863</v>
      </c>
      <c r="J22" s="5">
        <f>F22*30</f>
        <v>31500</v>
      </c>
      <c r="K22" s="7">
        <f t="shared" ref="K22:K23" si="7">F22*30/365</f>
        <v>86.301369863013704</v>
      </c>
    </row>
    <row r="23" spans="2:11" x14ac:dyDescent="0.25">
      <c r="B23" s="4">
        <v>3500</v>
      </c>
      <c r="C23" s="4">
        <v>10</v>
      </c>
      <c r="D23" s="4">
        <f>D22*2</f>
        <v>120</v>
      </c>
      <c r="E23" s="5">
        <f>B23/C23*(60*60/D23)</f>
        <v>10500</v>
      </c>
      <c r="F23" s="5">
        <f>E23*0.05</f>
        <v>525</v>
      </c>
      <c r="G23" s="5">
        <f t="shared" si="4"/>
        <v>525</v>
      </c>
      <c r="H23" s="4">
        <f t="shared" si="5"/>
        <v>3675</v>
      </c>
      <c r="I23" s="7">
        <f t="shared" si="6"/>
        <v>10.068493150684931</v>
      </c>
      <c r="J23" s="5">
        <f>F23*30</f>
        <v>15750</v>
      </c>
      <c r="K23" s="7">
        <f t="shared" si="7"/>
        <v>43.150684931506852</v>
      </c>
    </row>
    <row r="25" spans="2:11" x14ac:dyDescent="0.25">
      <c r="B25" s="11" t="s">
        <v>31</v>
      </c>
      <c r="C25" s="12"/>
      <c r="D25" s="12"/>
      <c r="E25" s="12"/>
      <c r="F25" s="13"/>
    </row>
    <row r="26" spans="2:11" x14ac:dyDescent="0.25">
      <c r="B26" s="14"/>
      <c r="C26" s="15"/>
      <c r="D26" s="15"/>
      <c r="E26" s="15"/>
      <c r="F26" s="16"/>
    </row>
    <row r="27" spans="2:11" x14ac:dyDescent="0.25">
      <c r="B27" s="17"/>
      <c r="C27" s="18"/>
      <c r="D27" s="18"/>
      <c r="E27" s="18"/>
      <c r="F27" s="19"/>
    </row>
  </sheetData>
  <mergeCells count="5">
    <mergeCell ref="B16:F18"/>
    <mergeCell ref="B25:F27"/>
    <mergeCell ref="B9:G12"/>
    <mergeCell ref="B13:G13"/>
    <mergeCell ref="B14:G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3D17A-34AE-4934-982E-748BDCE80543}">
  <dimension ref="B2:G13"/>
  <sheetViews>
    <sheetView workbookViewId="0">
      <selection activeCell="F17" sqref="F17"/>
    </sheetView>
  </sheetViews>
  <sheetFormatPr defaultRowHeight="15" x14ac:dyDescent="0.25"/>
  <cols>
    <col min="2" max="7" width="21.85546875" customWidth="1"/>
  </cols>
  <sheetData>
    <row r="2" spans="2:7" x14ac:dyDescent="0.25">
      <c r="B2" s="37" t="s">
        <v>56</v>
      </c>
      <c r="C2" s="37"/>
      <c r="D2" s="37"/>
      <c r="E2" s="37"/>
      <c r="F2" s="37"/>
      <c r="G2" s="37"/>
    </row>
    <row r="3" spans="2:7" x14ac:dyDescent="0.25">
      <c r="B3" s="37"/>
      <c r="C3" s="37"/>
      <c r="D3" s="37"/>
      <c r="E3" s="37"/>
      <c r="F3" s="37"/>
      <c r="G3" s="37"/>
    </row>
    <row r="5" spans="2:7" x14ac:dyDescent="0.25">
      <c r="B5" s="29" t="s">
        <v>57</v>
      </c>
      <c r="C5" s="29"/>
      <c r="D5" s="29"/>
      <c r="E5" s="29"/>
      <c r="F5" s="52"/>
      <c r="G5" s="52"/>
    </row>
    <row r="6" spans="2:7" x14ac:dyDescent="0.25">
      <c r="B6" t="s">
        <v>32</v>
      </c>
      <c r="C6">
        <v>68</v>
      </c>
      <c r="D6" t="s">
        <v>58</v>
      </c>
    </row>
    <row r="7" spans="2:7" x14ac:dyDescent="0.25">
      <c r="B7" t="s">
        <v>59</v>
      </c>
      <c r="C7">
        <v>6.2</v>
      </c>
      <c r="D7" t="s">
        <v>60</v>
      </c>
    </row>
    <row r="10" spans="2:7" ht="60" x14ac:dyDescent="0.25">
      <c r="B10" s="3" t="s">
        <v>17</v>
      </c>
      <c r="C10" s="3" t="s">
        <v>25</v>
      </c>
      <c r="D10" s="3" t="s">
        <v>61</v>
      </c>
      <c r="E10" s="3" t="s">
        <v>64</v>
      </c>
      <c r="F10" s="3" t="s">
        <v>62</v>
      </c>
      <c r="G10" s="3" t="s">
        <v>63</v>
      </c>
    </row>
    <row r="11" spans="2:7" x14ac:dyDescent="0.25">
      <c r="B11" s="4">
        <v>3500</v>
      </c>
      <c r="C11" s="4">
        <v>68</v>
      </c>
      <c r="D11" s="4">
        <v>6.2</v>
      </c>
      <c r="E11" s="5">
        <f>B11/C11*(60*60/D11)*0.15</f>
        <v>4482.9222011385191</v>
      </c>
      <c r="F11" s="5">
        <v>1</v>
      </c>
      <c r="G11" s="5">
        <f>F11*365*5</f>
        <v>1825</v>
      </c>
    </row>
    <row r="12" spans="2:7" x14ac:dyDescent="0.25">
      <c r="B12" s="4">
        <v>3500</v>
      </c>
      <c r="C12" s="4">
        <v>68</v>
      </c>
      <c r="D12" s="4">
        <v>6.2</v>
      </c>
      <c r="E12" s="5">
        <f t="shared" ref="E12:E13" si="0">B12/C12*(60*60/D12)*0.15</f>
        <v>4482.9222011385191</v>
      </c>
      <c r="F12" s="5">
        <v>2</v>
      </c>
      <c r="G12" s="5">
        <f t="shared" ref="G12:G13" si="1">F12*365*5</f>
        <v>3650</v>
      </c>
    </row>
    <row r="13" spans="2:7" x14ac:dyDescent="0.25">
      <c r="B13" s="4">
        <v>3500</v>
      </c>
      <c r="C13" s="4">
        <v>68</v>
      </c>
      <c r="D13" s="4">
        <v>6.2</v>
      </c>
      <c r="E13" s="5">
        <f t="shared" si="0"/>
        <v>4482.9222011385191</v>
      </c>
      <c r="F13" s="5">
        <v>5</v>
      </c>
      <c r="G13" s="5">
        <f t="shared" si="1"/>
        <v>9125</v>
      </c>
    </row>
  </sheetData>
  <mergeCells count="2">
    <mergeCell ref="B2:G3"/>
    <mergeCell ref="B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4793D-FBB7-40C9-B5F6-023AD69CC458}">
  <dimension ref="B2:O20"/>
  <sheetViews>
    <sheetView tabSelected="1" workbookViewId="0">
      <selection activeCell="M23" sqref="M23"/>
    </sheetView>
  </sheetViews>
  <sheetFormatPr defaultRowHeight="15" x14ac:dyDescent="0.25"/>
  <cols>
    <col min="1" max="1" width="3" customWidth="1"/>
    <col min="2" max="2" width="9.7109375" bestFit="1" customWidth="1"/>
    <col min="3" max="3" width="13.7109375" bestFit="1" customWidth="1"/>
    <col min="4" max="4" width="12" bestFit="1" customWidth="1"/>
    <col min="5" max="5" width="15.5703125" bestFit="1" customWidth="1"/>
    <col min="6" max="6" width="12.42578125" bestFit="1" customWidth="1"/>
    <col min="7" max="7" width="2.42578125" customWidth="1"/>
    <col min="15" max="15" width="14.5703125" bestFit="1" customWidth="1"/>
  </cols>
  <sheetData>
    <row r="2" spans="2:15" ht="15" customHeight="1" x14ac:dyDescent="0.25">
      <c r="B2" s="11" t="s">
        <v>45</v>
      </c>
      <c r="C2" s="12"/>
      <c r="D2" s="12"/>
      <c r="E2" s="12"/>
      <c r="F2" s="12"/>
      <c r="G2" s="12"/>
      <c r="H2" s="12"/>
      <c r="I2" s="12"/>
      <c r="J2" s="12"/>
      <c r="K2" s="12"/>
      <c r="L2" s="12"/>
      <c r="M2" s="12"/>
      <c r="N2" s="12"/>
      <c r="O2" s="13"/>
    </row>
    <row r="3" spans="2:15" x14ac:dyDescent="0.25">
      <c r="B3" s="17"/>
      <c r="C3" s="18"/>
      <c r="D3" s="18"/>
      <c r="E3" s="18"/>
      <c r="F3" s="18"/>
      <c r="G3" s="18"/>
      <c r="H3" s="18"/>
      <c r="I3" s="18"/>
      <c r="J3" s="18"/>
      <c r="K3" s="18"/>
      <c r="L3" s="18"/>
      <c r="M3" s="18"/>
      <c r="N3" s="18"/>
      <c r="O3" s="19"/>
    </row>
    <row r="4" spans="2:15" x14ac:dyDescent="0.25">
      <c r="B4" s="38"/>
      <c r="C4" s="38"/>
      <c r="D4" s="38"/>
      <c r="E4" s="38"/>
      <c r="F4" s="38"/>
      <c r="G4" s="38"/>
      <c r="H4" s="38"/>
      <c r="I4" s="38"/>
      <c r="J4" s="38"/>
      <c r="K4" s="38"/>
      <c r="L4" s="38"/>
      <c r="M4" s="38"/>
      <c r="N4" s="38"/>
    </row>
    <row r="5" spans="2:15" x14ac:dyDescent="0.25">
      <c r="B5" s="4" t="s">
        <v>33</v>
      </c>
      <c r="C5" s="4" t="s">
        <v>34</v>
      </c>
      <c r="D5" s="4" t="s">
        <v>37</v>
      </c>
      <c r="E5" s="4" t="s">
        <v>40</v>
      </c>
      <c r="F5" s="4" t="s">
        <v>49</v>
      </c>
      <c r="H5" s="30" t="s">
        <v>46</v>
      </c>
      <c r="I5" s="30"/>
      <c r="J5" s="30"/>
      <c r="K5" s="30"/>
      <c r="L5" s="30"/>
      <c r="M5" s="30"/>
      <c r="N5" s="30"/>
      <c r="O5" s="30"/>
    </row>
    <row r="6" spans="2:15" x14ac:dyDescent="0.25">
      <c r="B6" s="4" t="s">
        <v>36</v>
      </c>
      <c r="C6" s="4">
        <v>40</v>
      </c>
      <c r="D6" s="31">
        <f>2/3</f>
        <v>0.66666666666666663</v>
      </c>
      <c r="E6" s="10">
        <f>C6*D6</f>
        <v>26.666666666666664</v>
      </c>
      <c r="F6" s="4"/>
      <c r="H6" s="30" t="s">
        <v>35</v>
      </c>
      <c r="I6" s="30"/>
      <c r="J6" s="34" t="s">
        <v>48</v>
      </c>
      <c r="K6" s="34"/>
      <c r="L6" s="4" t="s">
        <v>50</v>
      </c>
      <c r="M6" s="4" t="s">
        <v>52</v>
      </c>
      <c r="N6" s="4" t="s">
        <v>51</v>
      </c>
      <c r="O6" s="4" t="s">
        <v>55</v>
      </c>
    </row>
    <row r="7" spans="2:15" x14ac:dyDescent="0.25">
      <c r="B7" s="4" t="s">
        <v>38</v>
      </c>
      <c r="C7" s="4">
        <v>78</v>
      </c>
      <c r="D7" s="31">
        <f>1/3</f>
        <v>0.33333333333333331</v>
      </c>
      <c r="E7" s="10">
        <f>C7*D7</f>
        <v>26</v>
      </c>
      <c r="F7" s="4"/>
      <c r="H7" s="30" t="s">
        <v>47</v>
      </c>
      <c r="I7" s="30"/>
      <c r="J7" s="30">
        <v>3500</v>
      </c>
      <c r="K7" s="30"/>
      <c r="L7" s="4">
        <v>1.7</v>
      </c>
      <c r="M7" s="4">
        <v>1.5</v>
      </c>
      <c r="N7" s="4">
        <f>J7*0.85</f>
        <v>2975</v>
      </c>
      <c r="O7" s="4">
        <v>25</v>
      </c>
    </row>
    <row r="8" spans="2:15" x14ac:dyDescent="0.25">
      <c r="B8" s="4"/>
      <c r="C8" s="4"/>
      <c r="D8" s="4"/>
      <c r="E8" s="4"/>
      <c r="F8" s="4"/>
      <c r="H8" s="30"/>
      <c r="I8" s="30"/>
      <c r="J8" s="30"/>
      <c r="K8" s="30"/>
      <c r="L8" s="4"/>
      <c r="M8" s="4"/>
      <c r="N8" s="4"/>
      <c r="O8" s="4"/>
    </row>
    <row r="9" spans="2:15" x14ac:dyDescent="0.25">
      <c r="B9" s="4"/>
      <c r="C9" s="4"/>
      <c r="D9" s="4" t="s">
        <v>39</v>
      </c>
      <c r="E9" s="10">
        <f>SUM(E6:E8)</f>
        <v>52.666666666666664</v>
      </c>
      <c r="F9" s="4" t="s">
        <v>41</v>
      </c>
      <c r="H9" s="30"/>
      <c r="I9" s="30"/>
      <c r="J9" s="30"/>
      <c r="K9" s="30"/>
      <c r="L9" s="4"/>
      <c r="M9" s="4"/>
      <c r="N9" s="4"/>
      <c r="O9" s="4"/>
    </row>
    <row r="10" spans="2:15" x14ac:dyDescent="0.25">
      <c r="B10" s="4"/>
      <c r="C10" s="4"/>
      <c r="D10" s="4" t="s">
        <v>42</v>
      </c>
      <c r="E10" s="5">
        <f>N7/(E9/1000)</f>
        <v>56487.3417721519</v>
      </c>
      <c r="F10" s="4" t="s">
        <v>43</v>
      </c>
    </row>
    <row r="11" spans="2:15" x14ac:dyDescent="0.25">
      <c r="B11" s="49" t="s">
        <v>54</v>
      </c>
      <c r="C11" s="50"/>
      <c r="D11" s="51"/>
      <c r="E11" s="10">
        <f>E10/(24*365)</f>
        <v>6.4483266863187101</v>
      </c>
      <c r="F11" s="4" t="s">
        <v>44</v>
      </c>
    </row>
    <row r="12" spans="2:15" x14ac:dyDescent="0.25">
      <c r="B12" s="11" t="s">
        <v>65</v>
      </c>
      <c r="C12" s="12"/>
      <c r="D12" s="13"/>
      <c r="E12" s="46">
        <f>E10*0.85/(365*24)</f>
        <v>5.4810776833709038</v>
      </c>
      <c r="F12" s="43" t="s">
        <v>44</v>
      </c>
    </row>
    <row r="13" spans="2:15" x14ac:dyDescent="0.25">
      <c r="B13" s="14"/>
      <c r="C13" s="36"/>
      <c r="D13" s="16"/>
      <c r="E13" s="47"/>
      <c r="F13" s="44"/>
    </row>
    <row r="14" spans="2:15" x14ac:dyDescent="0.25">
      <c r="B14" s="14"/>
      <c r="C14" s="36"/>
      <c r="D14" s="16"/>
      <c r="E14" s="47"/>
      <c r="F14" s="44"/>
    </row>
    <row r="15" spans="2:15" ht="15" customHeight="1" x14ac:dyDescent="0.25">
      <c r="B15" s="17"/>
      <c r="C15" s="18"/>
      <c r="D15" s="19"/>
      <c r="E15" s="48"/>
      <c r="F15" s="45"/>
      <c r="H15" s="40"/>
      <c r="I15" s="41"/>
      <c r="J15" s="42"/>
    </row>
    <row r="16" spans="2:15" x14ac:dyDescent="0.25">
      <c r="B16" s="32"/>
      <c r="C16" s="39"/>
      <c r="D16" s="33"/>
      <c r="E16" s="5"/>
      <c r="F16" s="4"/>
    </row>
    <row r="17" spans="2:6" x14ac:dyDescent="0.25">
      <c r="B17" s="32"/>
      <c r="C17" s="39"/>
      <c r="D17" s="33"/>
      <c r="E17" s="10"/>
      <c r="F17" s="4"/>
    </row>
    <row r="19" spans="2:6" x14ac:dyDescent="0.25">
      <c r="B19" s="37" t="s">
        <v>53</v>
      </c>
      <c r="C19" s="37"/>
      <c r="D19" s="37"/>
      <c r="E19" s="37"/>
      <c r="F19" s="37"/>
    </row>
    <row r="20" spans="2:6" x14ac:dyDescent="0.25">
      <c r="B20" s="37"/>
      <c r="C20" s="37"/>
      <c r="D20" s="37"/>
      <c r="E20" s="37"/>
      <c r="F20" s="37"/>
    </row>
  </sheetData>
  <mergeCells count="18">
    <mergeCell ref="H15:J15"/>
    <mergeCell ref="B12:D15"/>
    <mergeCell ref="E12:E15"/>
    <mergeCell ref="F12:F15"/>
    <mergeCell ref="B2:O3"/>
    <mergeCell ref="H5:O5"/>
    <mergeCell ref="B19:F20"/>
    <mergeCell ref="B11:D11"/>
    <mergeCell ref="B16:D16"/>
    <mergeCell ref="B17:D17"/>
    <mergeCell ref="H9:I9"/>
    <mergeCell ref="J6:K6"/>
    <mergeCell ref="J7:K7"/>
    <mergeCell ref="J8:K8"/>
    <mergeCell ref="J9:K9"/>
    <mergeCell ref="H6:I6"/>
    <mergeCell ref="H7:I7"/>
    <mergeCell ref="H8:I8"/>
  </mergeCells>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Leer</vt:lpstr>
      <vt:lpstr>Logger Capacidad</vt:lpstr>
      <vt:lpstr>Logger Consumo</vt:lpstr>
      <vt:lpstr>Impresora Consumo</vt:lpstr>
      <vt:lpstr>Consumo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 Sagarra</dc:creator>
  <cp:lastModifiedBy>Daniel H Sagarra</cp:lastModifiedBy>
  <dcterms:created xsi:type="dcterms:W3CDTF">2015-06-05T18:17:20Z</dcterms:created>
  <dcterms:modified xsi:type="dcterms:W3CDTF">2025-05-03T18:29:09Z</dcterms:modified>
</cp:coreProperties>
</file>