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defaultThemeVersion="202300"/>
  <xr:revisionPtr revIDLastSave="366" documentId="8_{AED99607-7F66-4A43-B88F-38B55AA32657}" xr6:coauthVersionLast="47" xr6:coauthVersionMax="47" xr10:uidLastSave="{2E161855-96BC-4535-93EF-2099E171980A}"/>
  <bookViews>
    <workbookView xWindow="-120" yWindow="-120" windowWidth="20730" windowHeight="11160" xr2:uid="{8D0CB110-EF34-4849-85EA-148BF03D3AEB}"/>
  </bookViews>
  <sheets>
    <sheet name="New" sheetId="26" r:id="rId1"/>
    <sheet name="Old" sheetId="2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5" l="1"/>
  <c r="H13" i="26"/>
  <c r="L56" i="26"/>
  <c r="L55" i="26"/>
  <c r="L43" i="26" l="1"/>
  <c r="K68" i="26" s="1"/>
  <c r="L44" i="26"/>
  <c r="K69" i="26" s="1"/>
  <c r="L45" i="26"/>
  <c r="K70" i="26" s="1"/>
  <c r="L46" i="26"/>
  <c r="K71" i="26" s="1"/>
  <c r="L42" i="26"/>
  <c r="N25" i="26"/>
  <c r="N26" i="26"/>
  <c r="N27" i="26"/>
  <c r="N28" i="26"/>
  <c r="N29" i="26"/>
  <c r="N30" i="26"/>
  <c r="N31" i="26"/>
  <c r="N32" i="26"/>
  <c r="N33" i="26"/>
  <c r="N14" i="26"/>
  <c r="N15" i="26"/>
  <c r="N16" i="26"/>
  <c r="N17" i="26"/>
  <c r="N18" i="26"/>
  <c r="N19" i="26"/>
  <c r="N20" i="26"/>
  <c r="N21" i="26"/>
  <c r="N22" i="26"/>
  <c r="N23" i="26"/>
  <c r="N24" i="26"/>
  <c r="N13" i="26"/>
  <c r="K60" i="26" l="1"/>
  <c r="H39" i="26"/>
  <c r="H14" i="26"/>
  <c r="H15" i="26"/>
  <c r="H16" i="26"/>
  <c r="H17" i="26"/>
  <c r="H103" i="26"/>
  <c r="H102" i="26"/>
  <c r="H101" i="26"/>
  <c r="H100" i="26"/>
  <c r="H91" i="26"/>
  <c r="H90" i="26"/>
  <c r="H89" i="26"/>
  <c r="H88" i="26"/>
  <c r="H79" i="26"/>
  <c r="H78" i="26"/>
  <c r="H77" i="26"/>
  <c r="H76" i="26"/>
  <c r="H66" i="26"/>
  <c r="H65" i="26"/>
  <c r="H64" i="26"/>
  <c r="H63" i="26"/>
  <c r="H53" i="26"/>
  <c r="H52" i="26"/>
  <c r="H51" i="26"/>
  <c r="H50" i="26"/>
  <c r="H40" i="26"/>
  <c r="H38" i="26"/>
  <c r="H37" i="26"/>
  <c r="H31" i="26"/>
  <c r="H30" i="26"/>
  <c r="H29" i="26"/>
  <c r="H28" i="26"/>
  <c r="H99" i="26"/>
  <c r="H98" i="26"/>
  <c r="H97" i="26"/>
  <c r="H96" i="26"/>
  <c r="H95" i="26"/>
  <c r="H94" i="26"/>
  <c r="H93" i="26"/>
  <c r="H92" i="26"/>
  <c r="H87" i="26"/>
  <c r="H86" i="26"/>
  <c r="H85" i="26"/>
  <c r="H84" i="26"/>
  <c r="H83" i="26"/>
  <c r="H82" i="26"/>
  <c r="H81" i="26"/>
  <c r="H80" i="26"/>
  <c r="H75" i="26"/>
  <c r="H74" i="26"/>
  <c r="H73" i="26"/>
  <c r="H72" i="26"/>
  <c r="H71" i="26"/>
  <c r="H70" i="26"/>
  <c r="H69" i="26"/>
  <c r="H68" i="26"/>
  <c r="H67" i="26"/>
  <c r="H62" i="26"/>
  <c r="H61" i="26"/>
  <c r="H60" i="26"/>
  <c r="H59" i="26"/>
  <c r="H58" i="26"/>
  <c r="H57" i="26"/>
  <c r="H56" i="26"/>
  <c r="H55" i="26"/>
  <c r="H54" i="26"/>
  <c r="H49" i="26"/>
  <c r="H48" i="26"/>
  <c r="H47" i="26"/>
  <c r="H46" i="26"/>
  <c r="H45" i="26"/>
  <c r="H44" i="26"/>
  <c r="H43" i="26"/>
  <c r="H42" i="26"/>
  <c r="H41" i="26"/>
  <c r="H36" i="26"/>
  <c r="H35" i="26"/>
  <c r="H34" i="26"/>
  <c r="H33" i="26"/>
  <c r="H32" i="26"/>
  <c r="H27" i="26"/>
  <c r="H26" i="26"/>
  <c r="H25" i="26"/>
  <c r="H24" i="26"/>
  <c r="H23" i="26"/>
  <c r="H22" i="26"/>
  <c r="H21" i="26"/>
  <c r="H20" i="26"/>
  <c r="H19" i="26"/>
  <c r="H18" i="26"/>
  <c r="L13" i="26"/>
  <c r="L17" i="26"/>
  <c r="L27" i="26"/>
  <c r="L21" i="26"/>
  <c r="L15" i="26"/>
  <c r="L14" i="26"/>
  <c r="L32" i="26"/>
  <c r="L22" i="26"/>
  <c r="L20" i="26"/>
  <c r="L28" i="26"/>
  <c r="L26" i="26"/>
  <c r="L31" i="26"/>
  <c r="L24" i="26"/>
  <c r="L16" i="26"/>
  <c r="L19" i="26"/>
  <c r="L30" i="26"/>
  <c r="L33" i="26"/>
  <c r="L18" i="26"/>
  <c r="L23" i="26"/>
  <c r="L25" i="26"/>
  <c r="L29" i="26"/>
  <c r="L50" i="26"/>
  <c r="L51" i="26"/>
  <c r="L52" i="26"/>
  <c r="E20" i="25"/>
  <c r="L37" i="26"/>
  <c r="L38" i="26"/>
  <c r="L36" i="26"/>
  <c r="J4" i="25"/>
  <c r="E8" i="25"/>
  <c r="E7" i="25"/>
  <c r="E6" i="25"/>
  <c r="N13" i="25"/>
  <c r="I22" i="25" s="1"/>
  <c r="N12" i="25"/>
  <c r="N11" i="25"/>
  <c r="N10" i="25"/>
  <c r="N9" i="25"/>
  <c r="E11" i="25"/>
  <c r="E10" i="25"/>
  <c r="E25" i="25"/>
  <c r="E22" i="25"/>
  <c r="J8" i="25"/>
  <c r="N3" i="25"/>
  <c r="J7" i="25"/>
  <c r="J6" i="25"/>
  <c r="E17" i="25"/>
  <c r="N15" i="25"/>
  <c r="E4" i="25"/>
  <c r="E13" i="25"/>
  <c r="N16" i="25"/>
  <c r="N5" i="25"/>
  <c r="N4" i="25"/>
  <c r="J10" i="25"/>
  <c r="J9" i="25"/>
  <c r="J5" i="25"/>
  <c r="E26" i="25"/>
  <c r="E21" i="25"/>
  <c r="E16" i="25"/>
  <c r="E15" i="25"/>
  <c r="E32" i="25"/>
  <c r="E31" i="25"/>
  <c r="E30" i="25"/>
  <c r="E29" i="25"/>
  <c r="E28" i="25"/>
  <c r="E27" i="25"/>
  <c r="E24" i="25"/>
  <c r="E23" i="25"/>
  <c r="E19" i="25"/>
  <c r="E18" i="25"/>
  <c r="E14" i="25"/>
  <c r="E12" i="25"/>
  <c r="N14" i="25"/>
  <c r="E9" i="25"/>
  <c r="E5" i="25"/>
  <c r="K67" i="26" l="1"/>
  <c r="O144" i="26"/>
  <c r="O141" i="26"/>
  <c r="O143" i="26"/>
  <c r="O142" i="26"/>
  <c r="O140" i="26"/>
  <c r="I20" i="25"/>
  <c r="I21" i="25"/>
  <c r="I19" i="25"/>
  <c r="I18"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 authorId="0" shapeId="0" xr:uid="{5B3F3FAE-0FE8-44DA-84FD-C9BC4F04C65A}">
      <text>
        <r>
          <rPr>
            <b/>
            <sz val="9"/>
            <color indexed="81"/>
            <rFont val="Segoe UI"/>
            <family val="2"/>
          </rPr>
          <t xml:space="preserve">Nyx:
</t>
        </r>
        <r>
          <rPr>
            <sz val="9"/>
            <color indexed="81"/>
            <rFont val="Segoe UI"/>
            <family val="2"/>
          </rPr>
          <t>I filled in all the fields to test the functionality (I didn't change any calculations except for the fortresses. Remember that the fortress calculation depends on the prior completion of the General Information). And I modified the coloring in some places to make it easier to see the areas to be filled in, marked on the sides.</t>
        </r>
      </text>
    </comment>
    <comment ref="F12" authorId="0" shapeId="0" xr:uid="{F7821F1C-A971-40BC-931A-F980DDCF77AB}">
      <text>
        <r>
          <rPr>
            <b/>
            <sz val="9"/>
            <color indexed="81"/>
            <rFont val="Tahoma"/>
            <charset val="1"/>
          </rPr>
          <t>Silver Per Unit (to retrain for un-recoverable units)</t>
        </r>
      </text>
    </comment>
    <comment ref="K63" authorId="0" shapeId="0" xr:uid="{A72ABB8B-99D1-4510-80CF-8C9E2D31C578}">
      <text>
        <r>
          <rPr>
            <sz val="9"/>
            <color indexed="81"/>
            <rFont val="Tahoma"/>
            <family val="2"/>
          </rPr>
          <t>Enter as 100% for no use of judge discretion, &gt;100% to increase compensation, &lt;100% to decrease</t>
        </r>
      </text>
    </comment>
  </commentList>
</comments>
</file>

<file path=xl/sharedStrings.xml><?xml version="1.0" encoding="utf-8"?>
<sst xmlns="http://schemas.openxmlformats.org/spreadsheetml/2006/main" count="383" uniqueCount="186">
  <si>
    <t>Number</t>
  </si>
  <si>
    <t>Wall Level</t>
  </si>
  <si>
    <t>Green</t>
  </si>
  <si>
    <t>Silver</t>
  </si>
  <si>
    <t>Lumber</t>
  </si>
  <si>
    <t>Iron</t>
  </si>
  <si>
    <t>Stone</t>
  </si>
  <si>
    <t>Food</t>
  </si>
  <si>
    <t>Gold</t>
  </si>
  <si>
    <t>Blue</t>
  </si>
  <si>
    <t>Purple</t>
  </si>
  <si>
    <t>Yellow</t>
  </si>
  <si>
    <t>Portals</t>
  </si>
  <si>
    <t>Tar</t>
  </si>
  <si>
    <t>TOTALS</t>
  </si>
  <si>
    <t>Level</t>
  </si>
  <si>
    <t>Colour</t>
  </si>
  <si>
    <t>Grey</t>
  </si>
  <si>
    <t>Grey (Mounted)</t>
  </si>
  <si>
    <t>Green (Mounted)</t>
  </si>
  <si>
    <t>Blue (Mounted)</t>
  </si>
  <si>
    <t>Purple (Mounted)</t>
  </si>
  <si>
    <t>Yellow (Mounted)</t>
  </si>
  <si>
    <t>Orange</t>
  </si>
  <si>
    <t>Orange (Mounted)</t>
  </si>
  <si>
    <t>Red</t>
  </si>
  <si>
    <t>Red (Mounted)</t>
  </si>
  <si>
    <t>II.1</t>
  </si>
  <si>
    <t>II.2</t>
  </si>
  <si>
    <t>Orange (Flying)</t>
  </si>
  <si>
    <t>Red (Flying)</t>
  </si>
  <si>
    <t>Yellow (Flying)</t>
  </si>
  <si>
    <t>Grey (Flying)</t>
  </si>
  <si>
    <t>Green (Flying)</t>
  </si>
  <si>
    <t>Troops</t>
  </si>
  <si>
    <t>Comp (Silver)</t>
  </si>
  <si>
    <t>Orange (Merc)</t>
  </si>
  <si>
    <t>Orange (Mounted Merc)</t>
  </si>
  <si>
    <t>Red (Merc)</t>
  </si>
  <si>
    <t>Red (Mounted Merc)</t>
  </si>
  <si>
    <t>Yellow (Merc)</t>
  </si>
  <si>
    <t>Yellow (Mounted Merc)</t>
  </si>
  <si>
    <t>Monsters</t>
  </si>
  <si>
    <t>Walls</t>
  </si>
  <si>
    <t>Resources</t>
  </si>
  <si>
    <t>Stolen</t>
  </si>
  <si>
    <t>Comp</t>
  </si>
  <si>
    <t>Resource</t>
  </si>
  <si>
    <t>SPU</t>
  </si>
  <si>
    <t>Mutliplier</t>
  </si>
  <si>
    <t>Category</t>
  </si>
  <si>
    <t>Type</t>
  </si>
  <si>
    <t>Guardsmen</t>
  </si>
  <si>
    <t>Specialist</t>
  </si>
  <si>
    <t>Engineer corps</t>
  </si>
  <si>
    <t>Archer I, Spearman I</t>
  </si>
  <si>
    <t>Swordsman I</t>
  </si>
  <si>
    <t>Scout I</t>
  </si>
  <si>
    <t>Catapult I</t>
  </si>
  <si>
    <t>Losses</t>
  </si>
  <si>
    <t>Archer II, Spearman II</t>
  </si>
  <si>
    <t>Rider I</t>
  </si>
  <si>
    <t>Rider II</t>
  </si>
  <si>
    <t>Swordsman II</t>
  </si>
  <si>
    <t>Scout II</t>
  </si>
  <si>
    <t>Catapult II</t>
  </si>
  <si>
    <t>Archer III, Spearman III</t>
  </si>
  <si>
    <t>Rider III</t>
  </si>
  <si>
    <t>Swordsman III</t>
  </si>
  <si>
    <t>Scout III</t>
  </si>
  <si>
    <t>Catapult III</t>
  </si>
  <si>
    <t>Archer IV, Spearman IV</t>
  </si>
  <si>
    <t>Rider IV</t>
  </si>
  <si>
    <t>Swordsman IV</t>
  </si>
  <si>
    <t>Scout IV</t>
  </si>
  <si>
    <t>Catapult IV</t>
  </si>
  <si>
    <t>Barrack Troops</t>
  </si>
  <si>
    <t>Archer V, Spearman V</t>
  </si>
  <si>
    <t>Rider V</t>
  </si>
  <si>
    <t>Swordsman V</t>
  </si>
  <si>
    <t>Scout V</t>
  </si>
  <si>
    <t>Catapult V</t>
  </si>
  <si>
    <t>Battle Griffin V</t>
  </si>
  <si>
    <t>Lion Rider V</t>
  </si>
  <si>
    <t>Vulture V</t>
  </si>
  <si>
    <t>Level 1</t>
  </si>
  <si>
    <t>Level 2</t>
  </si>
  <si>
    <t>Level 4</t>
  </si>
  <si>
    <t>Level 3</t>
  </si>
  <si>
    <t>Level 6</t>
  </si>
  <si>
    <t>Level 5</t>
  </si>
  <si>
    <t>Level 8</t>
  </si>
  <si>
    <t>Level 7</t>
  </si>
  <si>
    <t>Level 9</t>
  </si>
  <si>
    <t>Deadshot V</t>
  </si>
  <si>
    <t>Battle Griffin VI</t>
  </si>
  <si>
    <t>Swift Jaeger VI</t>
  </si>
  <si>
    <t>Heavy Arbalester VI, Heavy Halberdier VI</t>
  </si>
  <si>
    <t>Mounted Knight VI</t>
  </si>
  <si>
    <t>Deadshot VI</t>
  </si>
  <si>
    <t>Lion Rider VI</t>
  </si>
  <si>
    <t>Vulture VI</t>
  </si>
  <si>
    <t>Heavy Knight VI</t>
  </si>
  <si>
    <t>Battle Griffin VII</t>
  </si>
  <si>
    <t>Heavy Arbalester VII, Heavy Halberdier VII</t>
  </si>
  <si>
    <t>Mounted Knight VII</t>
  </si>
  <si>
    <t>Deadshot VII</t>
  </si>
  <si>
    <t>Lion Rider VII</t>
  </si>
  <si>
    <t>Vulture VII</t>
  </si>
  <si>
    <t>Heavy Knight VII</t>
  </si>
  <si>
    <t>Swift Jaeger VII</t>
  </si>
  <si>
    <t>Ballistae VI</t>
  </si>
  <si>
    <t>Ballistae VII</t>
  </si>
  <si>
    <t>Purifier I, Punisher I</t>
  </si>
  <si>
    <t>Smiter I</t>
  </si>
  <si>
    <t>Corax I</t>
  </si>
  <si>
    <t>Legitimist I, Duelist I</t>
  </si>
  <si>
    <t>Whitemane I</t>
  </si>
  <si>
    <t>Royal Lion I</t>
  </si>
  <si>
    <t>Panoptic I</t>
  </si>
  <si>
    <t>Josephine I</t>
  </si>
  <si>
    <t>Purifier II, Punisher II</t>
  </si>
  <si>
    <t>Smiter II</t>
  </si>
  <si>
    <t>Corax II</t>
  </si>
  <si>
    <t>Legitimist II, Duelist II</t>
  </si>
  <si>
    <t>Whitemane II</t>
  </si>
  <si>
    <t>Royal Lion II</t>
  </si>
  <si>
    <t>Panoptic II</t>
  </si>
  <si>
    <t>Josephine II</t>
  </si>
  <si>
    <t>Dragon</t>
  </si>
  <si>
    <t>-</t>
  </si>
  <si>
    <t>Elemental</t>
  </si>
  <si>
    <t>Giant</t>
  </si>
  <si>
    <t>Beast</t>
  </si>
  <si>
    <t>Default</t>
  </si>
  <si>
    <t>Mercenaries</t>
  </si>
  <si>
    <t>Other</t>
  </si>
  <si>
    <t>Destroyed</t>
  </si>
  <si>
    <t>Compensation</t>
  </si>
  <si>
    <t>Taken</t>
  </si>
  <si>
    <t>Clan Buildings</t>
  </si>
  <si>
    <t>Totals</t>
  </si>
  <si>
    <t>Item</t>
  </si>
  <si>
    <t>SRC</t>
  </si>
  <si>
    <t>Epic Monster Hunter</t>
  </si>
  <si>
    <t>Jungle King</t>
  </si>
  <si>
    <t>Slavic Warrior</t>
  </si>
  <si>
    <t>Wyvern</t>
  </si>
  <si>
    <t>Warden</t>
  </si>
  <si>
    <t>Eternal Cannoneer</t>
  </si>
  <si>
    <t>Demonic Salamander</t>
  </si>
  <si>
    <t>Highlander</t>
  </si>
  <si>
    <t>Jago</t>
  </si>
  <si>
    <t>Warregal</t>
  </si>
  <si>
    <t>Pounder</t>
  </si>
  <si>
    <t>Scarface</t>
  </si>
  <si>
    <t>Galloper</t>
  </si>
  <si>
    <t>Grim Stalker Leader</t>
  </si>
  <si>
    <t>Wasp Man Leader</t>
  </si>
  <si>
    <t>Chitinous Defender Leader</t>
  </si>
  <si>
    <t>Combat Anteater Leader</t>
  </si>
  <si>
    <t>Grace</t>
  </si>
  <si>
    <t>Quicksand</t>
  </si>
  <si>
    <t>Ariel</t>
  </si>
  <si>
    <t>Elder Bounty Hunter</t>
  </si>
  <si>
    <t>Attacking Player:</t>
  </si>
  <si>
    <t>Might:</t>
  </si>
  <si>
    <t>Defending Player:</t>
  </si>
  <si>
    <t>Might Penalty</t>
  </si>
  <si>
    <t>Multiplier</t>
  </si>
  <si>
    <t>Judges Discretion</t>
  </si>
  <si>
    <t>Percentage payable</t>
  </si>
  <si>
    <t>Title (all levels)</t>
  </si>
  <si>
    <t>General Information</t>
  </si>
  <si>
    <t>Chat Case:</t>
  </si>
  <si>
    <t>Hour:</t>
  </si>
  <si>
    <t>CoT:</t>
  </si>
  <si>
    <t>yes/no</t>
  </si>
  <si>
    <t>nickname</t>
  </si>
  <si>
    <t>*151#D000*</t>
  </si>
  <si>
    <t>Attack Report Date:</t>
  </si>
  <si>
    <t>Please fill in all the fields so the report works correctly.</t>
  </si>
  <si>
    <t>Fort</t>
  </si>
  <si>
    <t>Capital</t>
  </si>
  <si>
    <t>Number of Attacks</t>
  </si>
  <si>
    <t>Monsters &amp; Mercs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</si>
</sst>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400]h:mm:ss\ AM/PM"/>
  </numFmts>
  <fonts count="15" x14ac:knownFonts="1">
    <font>
      <sz val="11"/>
      <color theme="1"/>
      <name val="Aptos Narrow"/>
      <family val="2"/>
      <scheme val="minor"/>
    </font>
    <font>
      <b/>
      <sz val="9"/>
      <color theme="1"/>
      <name val="Aptos Narrow"/>
      <family val="2"/>
      <scheme val="minor"/>
    </font>
    <font>
      <sz val="9"/>
      <color theme="1"/>
      <name val="Aptos Narrow"/>
      <family val="2"/>
      <scheme val="minor"/>
    </font>
    <font>
      <b/>
      <u/>
      <sz val="9"/>
      <color theme="1"/>
      <name val="Aptos Narrow"/>
      <family val="2"/>
      <scheme val="minor"/>
    </font>
    <font>
      <u/>
      <sz val="9"/>
      <color theme="1"/>
      <name val="Aptos Narrow"/>
      <family val="2"/>
      <scheme val="minor"/>
    </font>
    <font>
      <sz val="11"/>
      <color theme="1"/>
      <name val="Aptos Narrow"/>
      <family val="2"/>
      <scheme val="minor"/>
    </font>
    <font>
      <b/>
      <sz val="9"/>
      <color indexed="81"/>
      <name val="Tahoma"/>
      <charset val="1"/>
    </font>
    <font>
      <sz val="9"/>
      <color indexed="81"/>
      <name val="Tahoma"/>
      <family val="2"/>
    </font>
    <font>
      <b/>
      <sz val="18"/>
      <color theme="1"/>
      <name val="Aptos Narrow"/>
      <family val="2"/>
      <scheme val="minor"/>
    </font>
    <font>
      <sz val="10"/>
      <color theme="1"/>
      <name val="Aptos Narrow"/>
      <family val="2"/>
      <scheme val="minor"/>
    </font>
    <font>
      <sz val="9"/>
      <name val="Aptos Narrow"/>
      <family val="2"/>
      <scheme val="minor"/>
    </font>
    <font>
      <sz val="9"/>
      <color indexed="81"/>
      <name val="Segoe UI"/>
      <family val="2"/>
    </font>
    <font>
      <b/>
      <sz val="9"/>
      <color indexed="81"/>
      <name val="Segoe UI"/>
      <family val="2"/>
    </font>
    <font>
      <b/>
      <sz val="10"/>
      <color theme="9" tint="-0.249977111117893"/>
      <name val="Aptos Narrow"/>
      <family val="2"/>
      <scheme val="minor"/>
    </font>
    <font>
      <b/>
      <sz val="10"/>
      <color rgb="FFC00000"/>
      <name val="Aptos Narrow"/>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rgb="FF9B421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29">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1" xfId="0" applyFont="1" applyBorder="1"/>
    <xf numFmtId="0" fontId="3" fillId="0" borderId="2" xfId="0" applyFont="1" applyBorder="1"/>
    <xf numFmtId="0" fontId="2" fillId="0" borderId="2" xfId="0" applyFont="1" applyBorder="1"/>
    <xf numFmtId="0" fontId="2" fillId="0" borderId="3" xfId="0" applyFont="1" applyBorder="1"/>
    <xf numFmtId="0" fontId="1" fillId="0" borderId="4" xfId="0" applyFont="1" applyBorder="1"/>
    <xf numFmtId="3" fontId="1" fillId="0" borderId="0" xfId="0" applyNumberFormat="1" applyFont="1"/>
    <xf numFmtId="0" fontId="1" fillId="0" borderId="6" xfId="0" applyFont="1" applyBorder="1"/>
    <xf numFmtId="0" fontId="1" fillId="0" borderId="7" xfId="0" applyFont="1" applyBorder="1"/>
    <xf numFmtId="3" fontId="2" fillId="0" borderId="0" xfId="0" applyNumberFormat="1"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8" borderId="0" xfId="0" applyFont="1" applyFill="1" applyAlignment="1">
      <alignment horizontal="right"/>
    </xf>
    <xf numFmtId="0" fontId="2" fillId="2" borderId="0" xfId="0" applyFont="1" applyFill="1" applyAlignment="1">
      <alignment horizontal="right"/>
    </xf>
    <xf numFmtId="3" fontId="2" fillId="8" borderId="0" xfId="0" applyNumberFormat="1" applyFont="1" applyFill="1" applyAlignment="1">
      <alignment horizontal="right"/>
    </xf>
    <xf numFmtId="3" fontId="2" fillId="2" borderId="0" xfId="0" applyNumberFormat="1" applyFont="1" applyFill="1" applyAlignment="1">
      <alignment horizontal="right"/>
    </xf>
    <xf numFmtId="3" fontId="2" fillId="3" borderId="0" xfId="0" applyNumberFormat="1" applyFont="1" applyFill="1" applyAlignment="1">
      <alignment horizontal="right"/>
    </xf>
    <xf numFmtId="3" fontId="2" fillId="4" borderId="0" xfId="0" applyNumberFormat="1" applyFont="1" applyFill="1" applyAlignment="1">
      <alignment horizontal="right"/>
    </xf>
    <xf numFmtId="3" fontId="2" fillId="5" borderId="0" xfId="0" applyNumberFormat="1" applyFont="1" applyFill="1" applyAlignment="1">
      <alignment horizontal="right"/>
    </xf>
    <xf numFmtId="3" fontId="2" fillId="6" borderId="0" xfId="0" applyNumberFormat="1" applyFont="1" applyFill="1" applyAlignment="1">
      <alignment horizontal="right"/>
    </xf>
    <xf numFmtId="3" fontId="2" fillId="7" borderId="0" xfId="0" applyNumberFormat="1" applyFont="1" applyFill="1" applyAlignment="1">
      <alignment horizontal="right"/>
    </xf>
    <xf numFmtId="3" fontId="4" fillId="0" borderId="0" xfId="0" applyNumberFormat="1" applyFont="1" applyAlignment="1">
      <alignment horizontal="right"/>
    </xf>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10" borderId="0" xfId="0" quotePrefix="1" applyFont="1" applyFill="1"/>
    <xf numFmtId="3" fontId="2" fillId="0" borderId="0" xfId="0" applyNumberFormat="1" applyFont="1" applyAlignment="1">
      <alignment horizontal="right"/>
    </xf>
    <xf numFmtId="0" fontId="2" fillId="0" borderId="9" xfId="0" applyFont="1" applyBorder="1"/>
    <xf numFmtId="0" fontId="2" fillId="0" borderId="11" xfId="0" applyFont="1" applyBorder="1"/>
    <xf numFmtId="164" fontId="2" fillId="8" borderId="0" xfId="1" applyNumberFormat="1" applyFont="1" applyFill="1"/>
    <xf numFmtId="164" fontId="2" fillId="12" borderId="0" xfId="1" applyNumberFormat="1" applyFont="1" applyFill="1"/>
    <xf numFmtId="164" fontId="2" fillId="10" borderId="0" xfId="1" applyNumberFormat="1" applyFont="1" applyFill="1"/>
    <xf numFmtId="164" fontId="2" fillId="10" borderId="0" xfId="1" quotePrefix="1" applyNumberFormat="1" applyFont="1" applyFill="1"/>
    <xf numFmtId="164" fontId="2" fillId="9" borderId="0" xfId="1" applyNumberFormat="1" applyFont="1" applyFill="1"/>
    <xf numFmtId="164" fontId="2" fillId="5" borderId="0" xfId="1" applyNumberFormat="1" applyFont="1" applyFill="1"/>
    <xf numFmtId="164" fontId="2" fillId="6" borderId="0" xfId="1" applyNumberFormat="1" applyFont="1" applyFill="1"/>
    <xf numFmtId="164" fontId="2" fillId="11" borderId="0" xfId="1" applyNumberFormat="1" applyFont="1" applyFill="1"/>
    <xf numFmtId="164" fontId="2" fillId="8" borderId="4" xfId="1" applyNumberFormat="1" applyFont="1" applyFill="1" applyBorder="1"/>
    <xf numFmtId="164" fontId="2" fillId="8" borderId="4" xfId="1" applyNumberFormat="1" applyFont="1" applyFill="1" applyBorder="1" applyAlignment="1">
      <alignment horizontal="right"/>
    </xf>
    <xf numFmtId="164" fontId="2" fillId="12" borderId="4" xfId="1" applyNumberFormat="1" applyFont="1" applyFill="1" applyBorder="1"/>
    <xf numFmtId="164" fontId="2" fillId="12" borderId="4" xfId="1" applyNumberFormat="1" applyFont="1" applyFill="1" applyBorder="1" applyAlignment="1">
      <alignment horizontal="right"/>
    </xf>
    <xf numFmtId="164" fontId="2" fillId="10" borderId="4" xfId="1" applyNumberFormat="1" applyFont="1" applyFill="1" applyBorder="1" applyAlignment="1">
      <alignment horizontal="right"/>
    </xf>
    <xf numFmtId="164" fontId="2" fillId="9" borderId="4" xfId="1" applyNumberFormat="1" applyFont="1" applyFill="1" applyBorder="1" applyAlignment="1">
      <alignment horizontal="right"/>
    </xf>
    <xf numFmtId="164" fontId="2" fillId="5" borderId="4" xfId="1" applyNumberFormat="1" applyFont="1" applyFill="1" applyBorder="1" applyAlignment="1">
      <alignment horizontal="right"/>
    </xf>
    <xf numFmtId="164" fontId="2" fillId="6" borderId="4" xfId="1" applyNumberFormat="1" applyFont="1" applyFill="1" applyBorder="1" applyAlignment="1">
      <alignment horizontal="right"/>
    </xf>
    <xf numFmtId="164" fontId="2" fillId="11" borderId="4" xfId="1" applyNumberFormat="1" applyFont="1" applyFill="1" applyBorder="1" applyAlignment="1">
      <alignment horizontal="right"/>
    </xf>
    <xf numFmtId="2" fontId="2" fillId="0" borderId="0" xfId="0" applyNumberFormat="1" applyFont="1"/>
    <xf numFmtId="0" fontId="2" fillId="13" borderId="0" xfId="0" applyFont="1" applyFill="1"/>
    <xf numFmtId="3" fontId="2" fillId="13" borderId="0" xfId="0" applyNumberFormat="1" applyFont="1" applyFill="1"/>
    <xf numFmtId="0" fontId="1" fillId="13" borderId="0" xfId="0" applyFont="1" applyFill="1"/>
    <xf numFmtId="0" fontId="10" fillId="14" borderId="0" xfId="0" applyFont="1" applyFill="1"/>
    <xf numFmtId="164" fontId="10" fillId="14" borderId="0" xfId="1" applyNumberFormat="1" applyFont="1" applyFill="1"/>
    <xf numFmtId="164" fontId="10" fillId="14" borderId="0" xfId="1" applyNumberFormat="1" applyFont="1" applyFill="1" applyAlignment="1">
      <alignment horizontal="right"/>
    </xf>
    <xf numFmtId="164" fontId="2" fillId="8" borderId="0" xfId="1" applyNumberFormat="1" applyFont="1" applyFill="1" applyBorder="1" applyAlignment="1">
      <alignment horizontal="right"/>
    </xf>
    <xf numFmtId="164" fontId="2" fillId="12" borderId="0" xfId="1" applyNumberFormat="1" applyFont="1" applyFill="1" applyBorder="1" applyAlignment="1">
      <alignment horizontal="right"/>
    </xf>
    <xf numFmtId="164" fontId="2" fillId="10" borderId="0" xfId="1" applyNumberFormat="1" applyFont="1" applyFill="1" applyBorder="1" applyAlignment="1">
      <alignment horizontal="right"/>
    </xf>
    <xf numFmtId="164" fontId="2" fillId="9" borderId="0" xfId="1" applyNumberFormat="1" applyFont="1" applyFill="1" applyBorder="1" applyAlignment="1">
      <alignment horizontal="right"/>
    </xf>
    <xf numFmtId="164" fontId="2" fillId="5" borderId="0" xfId="1" applyNumberFormat="1" applyFont="1" applyFill="1" applyBorder="1" applyAlignment="1">
      <alignment horizontal="right"/>
    </xf>
    <xf numFmtId="164" fontId="2" fillId="6" borderId="0" xfId="1" applyNumberFormat="1" applyFont="1" applyFill="1" applyBorder="1" applyAlignment="1">
      <alignment horizontal="right"/>
    </xf>
    <xf numFmtId="164" fontId="2" fillId="11" borderId="0" xfId="1" applyNumberFormat="1" applyFont="1" applyFill="1" applyBorder="1" applyAlignment="1">
      <alignment horizontal="right"/>
    </xf>
    <xf numFmtId="164" fontId="2" fillId="8" borderId="0" xfId="1" applyNumberFormat="1" applyFont="1" applyFill="1" applyBorder="1"/>
    <xf numFmtId="164" fontId="2" fillId="12" borderId="0" xfId="1" applyNumberFormat="1" applyFont="1" applyFill="1" applyBorder="1"/>
    <xf numFmtId="164" fontId="2" fillId="8" borderId="5" xfId="1" applyNumberFormat="1" applyFont="1" applyFill="1" applyBorder="1"/>
    <xf numFmtId="164" fontId="2" fillId="12" borderId="5" xfId="1" applyNumberFormat="1" applyFont="1" applyFill="1" applyBorder="1"/>
    <xf numFmtId="164" fontId="2" fillId="10" borderId="5" xfId="1" applyNumberFormat="1" applyFont="1" applyFill="1" applyBorder="1"/>
    <xf numFmtId="164" fontId="2" fillId="9" borderId="5" xfId="1" applyNumberFormat="1" applyFont="1" applyFill="1" applyBorder="1"/>
    <xf numFmtId="164" fontId="2" fillId="5" borderId="5" xfId="1" applyNumberFormat="1" applyFont="1" applyFill="1" applyBorder="1"/>
    <xf numFmtId="164" fontId="2" fillId="6" borderId="5" xfId="1" applyNumberFormat="1" applyFont="1" applyFill="1" applyBorder="1"/>
    <xf numFmtId="164" fontId="2" fillId="11" borderId="5" xfId="1" applyNumberFormat="1" applyFont="1" applyFill="1" applyBorder="1"/>
    <xf numFmtId="0" fontId="1" fillId="15" borderId="0" xfId="0" applyFont="1" applyFill="1"/>
    <xf numFmtId="0" fontId="2" fillId="15" borderId="0" xfId="0" applyFont="1" applyFill="1"/>
    <xf numFmtId="0" fontId="4" fillId="15" borderId="0" xfId="0" applyFont="1" applyFill="1"/>
    <xf numFmtId="3" fontId="2" fillId="15" borderId="0" xfId="0" applyNumberFormat="1" applyFont="1" applyFill="1"/>
    <xf numFmtId="0" fontId="2" fillId="15" borderId="0" xfId="0" applyFont="1" applyFill="1" applyAlignment="1">
      <alignment horizontal="right"/>
    </xf>
    <xf numFmtId="4" fontId="2" fillId="15" borderId="0" xfId="0" applyNumberFormat="1" applyFont="1" applyFill="1"/>
    <xf numFmtId="0" fontId="3" fillId="15" borderId="0" xfId="0" applyFont="1" applyFill="1" applyAlignment="1">
      <alignment horizontal="center"/>
    </xf>
    <xf numFmtId="0" fontId="3" fillId="15" borderId="0" xfId="0" applyFont="1" applyFill="1" applyAlignment="1">
      <alignment horizontal="center" wrapText="1"/>
    </xf>
    <xf numFmtId="0" fontId="2" fillId="16" borderId="15" xfId="0" applyFont="1" applyFill="1" applyBorder="1"/>
    <xf numFmtId="14" fontId="2" fillId="16" borderId="15" xfId="0" applyNumberFormat="1" applyFont="1" applyFill="1" applyBorder="1" applyAlignment="1">
      <alignment horizontal="left"/>
    </xf>
    <xf numFmtId="165" fontId="2" fillId="16" borderId="15" xfId="0" applyNumberFormat="1" applyFont="1" applyFill="1" applyBorder="1" applyAlignment="1">
      <alignment horizontal="left"/>
    </xf>
    <xf numFmtId="164" fontId="10" fillId="17" borderId="15" xfId="1" applyNumberFormat="1" applyFont="1" applyFill="1" applyBorder="1" applyAlignment="1">
      <alignment horizontal="right"/>
    </xf>
    <xf numFmtId="0" fontId="2" fillId="18" borderId="15" xfId="0" applyFont="1" applyFill="1" applyBorder="1" applyAlignment="1">
      <alignment horizontal="right"/>
    </xf>
    <xf numFmtId="3" fontId="2" fillId="18" borderId="15" xfId="0" applyNumberFormat="1" applyFont="1" applyFill="1" applyBorder="1" applyAlignment="1">
      <alignment horizontal="right"/>
    </xf>
    <xf numFmtId="0" fontId="2" fillId="18" borderId="15" xfId="0" applyFont="1" applyFill="1" applyBorder="1"/>
    <xf numFmtId="3" fontId="2" fillId="18" borderId="15" xfId="0" applyNumberFormat="1" applyFont="1" applyFill="1" applyBorder="1"/>
    <xf numFmtId="4" fontId="2" fillId="0" borderId="10" xfId="0" applyNumberFormat="1" applyFont="1" applyBorder="1"/>
    <xf numFmtId="4" fontId="2" fillId="0" borderId="12" xfId="0" applyNumberFormat="1" applyFont="1" applyBorder="1"/>
    <xf numFmtId="0" fontId="1" fillId="19" borderId="0" xfId="0" applyFont="1" applyFill="1"/>
    <xf numFmtId="0" fontId="2" fillId="19" borderId="0" xfId="0" applyFont="1" applyFill="1"/>
    <xf numFmtId="9" fontId="2" fillId="20" borderId="15" xfId="2" applyFont="1" applyFill="1" applyBorder="1"/>
    <xf numFmtId="0" fontId="1" fillId="8" borderId="0" xfId="0" applyFont="1" applyFill="1" applyAlignment="1">
      <alignment horizontal="center" vertical="center" textRotation="90"/>
    </xf>
    <xf numFmtId="0" fontId="1" fillId="12" borderId="0" xfId="0" applyFont="1" applyFill="1" applyAlignment="1">
      <alignment horizontal="center" vertical="center" textRotation="90"/>
    </xf>
    <xf numFmtId="0" fontId="1" fillId="10" borderId="0" xfId="0" applyFont="1" applyFill="1" applyAlignment="1">
      <alignment horizontal="center" vertical="center" textRotation="90"/>
    </xf>
    <xf numFmtId="0" fontId="1" fillId="9" borderId="0" xfId="0" applyFont="1" applyFill="1" applyAlignment="1">
      <alignment horizontal="center" vertical="center" textRotation="90"/>
    </xf>
    <xf numFmtId="0" fontId="1" fillId="5" borderId="0" xfId="0" applyFont="1" applyFill="1" applyAlignment="1">
      <alignment horizontal="center" vertical="center" textRotation="90"/>
    </xf>
    <xf numFmtId="3" fontId="1" fillId="0" borderId="0" xfId="0" applyNumberFormat="1" applyFont="1"/>
    <xf numFmtId="3" fontId="1" fillId="0" borderId="5" xfId="0" applyNumberFormat="1" applyFont="1" applyBorder="1"/>
    <xf numFmtId="3" fontId="1" fillId="0" borderId="7" xfId="0" applyNumberFormat="1" applyFont="1" applyBorder="1"/>
    <xf numFmtId="3" fontId="1" fillId="0" borderId="8" xfId="0" applyNumberFormat="1" applyFont="1" applyBorder="1"/>
    <xf numFmtId="0" fontId="1" fillId="6" borderId="0" xfId="0" applyFont="1" applyFill="1" applyAlignment="1">
      <alignment horizontal="center" vertical="center" textRotation="90"/>
    </xf>
    <xf numFmtId="0" fontId="1" fillId="11" borderId="0" xfId="0" applyFont="1" applyFill="1" applyAlignment="1">
      <alignment horizontal="center" vertical="center" textRotation="90"/>
    </xf>
    <xf numFmtId="0" fontId="4" fillId="15" borderId="0" xfId="0" applyFont="1" applyFill="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8" fillId="13" borderId="0" xfId="0" applyFont="1" applyFill="1" applyAlignment="1">
      <alignment horizontal="center"/>
    </xf>
    <xf numFmtId="0" fontId="9" fillId="13" borderId="0" xfId="0" applyFont="1" applyFill="1" applyAlignment="1">
      <alignment horizontal="center" vertical="top"/>
    </xf>
    <xf numFmtId="164" fontId="2" fillId="16" borderId="4" xfId="1" applyNumberFormat="1" applyFont="1" applyFill="1" applyBorder="1" applyAlignment="1">
      <alignment horizontal="left"/>
    </xf>
    <xf numFmtId="164" fontId="2" fillId="16" borderId="0" xfId="1" applyNumberFormat="1" applyFont="1" applyFill="1" applyBorder="1" applyAlignment="1">
      <alignment horizontal="left"/>
    </xf>
    <xf numFmtId="164" fontId="2" fillId="16" borderId="5" xfId="1" applyNumberFormat="1" applyFont="1" applyFill="1" applyBorder="1" applyAlignment="1">
      <alignment horizontal="left"/>
    </xf>
    <xf numFmtId="0" fontId="13" fillId="13" borderId="0" xfId="0" applyFont="1" applyFill="1"/>
    <xf numFmtId="0" fontId="13" fillId="1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4" fontId="1" fillId="0" borderId="0" xfId="0" applyNumberFormat="1" applyFont="1"/>
    <xf numFmtId="4" fontId="1" fillId="0" borderId="5" xfId="0" applyNumberFormat="1" applyFont="1" applyBorder="1"/>
    <xf numFmtId="4" fontId="1" fillId="0" borderId="7" xfId="0" applyNumberFormat="1" applyFont="1" applyBorder="1"/>
    <xf numFmtId="4" fontId="1" fillId="0" borderId="8" xfId="0" applyNumberFormat="1" applyFont="1" applyBorder="1"/>
  </cellXfs>
  <cellStyles count="3">
    <cellStyle name="Normal" xfId="0" builtinId="0"/>
    <cellStyle name="Porcentagem" xfId="2" builtinId="5"/>
    <cellStyle name="Vírgula" xfId="1" builtinId="3"/>
  </cellStyles>
  <dxfs count="0"/>
  <tableStyles count="0" defaultTableStyle="TableStyleMedium2" defaultPivotStyle="PivotStyleLight16"/>
  <colors>
    <mruColors>
      <color rgb="FF9B4211"/>
      <color rgb="FFAD4A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F0464-BABB-46A3-BE9D-DC13D510AAB3}">
  <sheetPr codeName="Sheet1"/>
  <dimension ref="B1:P144"/>
  <sheetViews>
    <sheetView tabSelected="1" topLeftCell="B19" workbookViewId="0">
      <selection activeCell="D19" sqref="D19"/>
    </sheetView>
  </sheetViews>
  <sheetFormatPr defaultColWidth="9.140625" defaultRowHeight="12" x14ac:dyDescent="0.2"/>
  <cols>
    <col min="1" max="1" width="2" style="2" customWidth="1"/>
    <col min="2" max="2" width="3.140625" style="2" bestFit="1" customWidth="1"/>
    <col min="3" max="3" width="15.42578125" style="2" customWidth="1"/>
    <col min="4" max="4" width="30.140625" style="2" bestFit="1" customWidth="1"/>
    <col min="5" max="5" width="6.7109375" style="2" customWidth="1"/>
    <col min="6" max="6" width="7.7109375" style="12" bestFit="1" customWidth="1"/>
    <col min="7" max="7" width="6.85546875" style="2" bestFit="1" customWidth="1"/>
    <col min="8" max="8" width="10.42578125" style="2" bestFit="1" customWidth="1"/>
    <col min="9" max="9" width="2.85546875" style="2" customWidth="1"/>
    <col min="10" max="10" width="19.7109375" style="2" customWidth="1"/>
    <col min="11" max="11" width="14.7109375" style="2" customWidth="1"/>
    <col min="12" max="12" width="11.85546875" style="2" customWidth="1"/>
    <col min="13" max="13" width="6.42578125" style="2" bestFit="1" customWidth="1"/>
    <col min="14" max="14" width="13.42578125" style="2" customWidth="1"/>
    <col min="15" max="15" width="2.85546875" style="2" customWidth="1"/>
    <col min="16" max="16" width="11.140625" style="2" bestFit="1" customWidth="1"/>
    <col min="17" max="17" width="24.42578125" style="2" customWidth="1"/>
    <col min="18" max="16384" width="9.140625" style="2"/>
  </cols>
  <sheetData>
    <row r="1" spans="2:14" ht="24" x14ac:dyDescent="0.4">
      <c r="B1" s="59"/>
      <c r="C1" s="116" t="s">
        <v>173</v>
      </c>
      <c r="D1" s="116"/>
      <c r="E1" s="116"/>
      <c r="F1" s="116"/>
      <c r="G1" s="116"/>
      <c r="H1" s="116"/>
      <c r="I1" s="59"/>
    </row>
    <row r="2" spans="2:14" ht="21.75" customHeight="1" x14ac:dyDescent="0.2">
      <c r="B2" s="59"/>
      <c r="C2" s="117" t="s">
        <v>181</v>
      </c>
      <c r="D2" s="117"/>
      <c r="E2" s="117"/>
      <c r="F2" s="117"/>
      <c r="G2" s="117"/>
      <c r="H2" s="117"/>
      <c r="I2" s="59"/>
    </row>
    <row r="3" spans="2:14" x14ac:dyDescent="0.2">
      <c r="B3" s="59"/>
      <c r="C3" s="61" t="s">
        <v>174</v>
      </c>
      <c r="D3" s="89" t="s">
        <v>179</v>
      </c>
      <c r="E3" s="59"/>
      <c r="F3" s="60"/>
      <c r="G3" s="59"/>
      <c r="H3" s="59"/>
      <c r="I3" s="59"/>
    </row>
    <row r="4" spans="2:14" x14ac:dyDescent="0.2">
      <c r="B4" s="59"/>
      <c r="C4" s="61" t="s">
        <v>180</v>
      </c>
      <c r="D4" s="90">
        <v>45504</v>
      </c>
      <c r="E4" s="59"/>
      <c r="F4" s="60"/>
      <c r="G4" s="59"/>
      <c r="H4" s="59"/>
      <c r="I4" s="59"/>
    </row>
    <row r="5" spans="2:14" x14ac:dyDescent="0.2">
      <c r="B5" s="59"/>
      <c r="C5" s="61" t="s">
        <v>175</v>
      </c>
      <c r="D5" s="91">
        <v>0.61805555555555558</v>
      </c>
      <c r="E5" s="59"/>
      <c r="F5" s="60"/>
      <c r="G5" s="59"/>
      <c r="H5" s="59"/>
      <c r="I5" s="59"/>
    </row>
    <row r="6" spans="2:14" x14ac:dyDescent="0.2">
      <c r="B6" s="59"/>
      <c r="C6" s="61" t="s">
        <v>176</v>
      </c>
      <c r="D6" s="89" t="s">
        <v>177</v>
      </c>
      <c r="E6" s="59"/>
      <c r="F6" s="60"/>
      <c r="G6" s="59"/>
      <c r="H6" s="59"/>
      <c r="I6" s="59"/>
    </row>
    <row r="7" spans="2:14" ht="13.5" x14ac:dyDescent="0.25">
      <c r="B7" s="59"/>
      <c r="C7" s="123" t="s">
        <v>165</v>
      </c>
      <c r="D7" s="89" t="s">
        <v>178</v>
      </c>
      <c r="E7" s="124" t="s">
        <v>166</v>
      </c>
      <c r="F7" s="118">
        <v>7000000</v>
      </c>
      <c r="G7" s="119"/>
      <c r="H7" s="120"/>
      <c r="I7" s="59"/>
    </row>
    <row r="8" spans="2:14" ht="13.5" x14ac:dyDescent="0.25">
      <c r="B8" s="59"/>
      <c r="C8" s="121" t="s">
        <v>167</v>
      </c>
      <c r="D8" s="89" t="s">
        <v>178</v>
      </c>
      <c r="E8" s="122" t="s">
        <v>166</v>
      </c>
      <c r="F8" s="118">
        <v>6500000</v>
      </c>
      <c r="G8" s="119"/>
      <c r="H8" s="120"/>
      <c r="I8" s="59"/>
    </row>
    <row r="9" spans="2:14" x14ac:dyDescent="0.2">
      <c r="B9" s="59"/>
      <c r="C9" s="59"/>
      <c r="D9" s="59"/>
      <c r="E9" s="59"/>
      <c r="F9" s="60"/>
      <c r="G9" s="59"/>
      <c r="H9" s="59"/>
      <c r="I9" s="59"/>
    </row>
    <row r="11" spans="2:14" x14ac:dyDescent="0.2">
      <c r="C11" s="1" t="s">
        <v>76</v>
      </c>
      <c r="D11" s="1"/>
      <c r="E11" s="1"/>
      <c r="F11" s="9"/>
      <c r="G11" s="1"/>
      <c r="H11" s="1"/>
      <c r="J11" s="1" t="s">
        <v>135</v>
      </c>
      <c r="K11" s="1"/>
      <c r="L11" s="9"/>
      <c r="M11" s="1"/>
      <c r="N11" s="1"/>
    </row>
    <row r="12" spans="2:14" x14ac:dyDescent="0.2">
      <c r="C12" s="13" t="s">
        <v>50</v>
      </c>
      <c r="D12" s="13" t="s">
        <v>51</v>
      </c>
      <c r="E12" s="13" t="s">
        <v>143</v>
      </c>
      <c r="F12" s="32" t="s">
        <v>48</v>
      </c>
      <c r="G12" s="14" t="s">
        <v>59</v>
      </c>
      <c r="H12" s="14" t="s">
        <v>35</v>
      </c>
      <c r="I12" s="3"/>
      <c r="J12" s="13" t="s">
        <v>172</v>
      </c>
      <c r="K12" s="13" t="s">
        <v>143</v>
      </c>
      <c r="L12" s="32" t="s">
        <v>48</v>
      </c>
      <c r="M12" s="14" t="s">
        <v>59</v>
      </c>
      <c r="N12" s="14" t="s">
        <v>35</v>
      </c>
    </row>
    <row r="13" spans="2:14" x14ac:dyDescent="0.2">
      <c r="B13" s="102" t="s">
        <v>85</v>
      </c>
      <c r="C13" s="22" t="s">
        <v>52</v>
      </c>
      <c r="D13" s="22" t="s">
        <v>55</v>
      </c>
      <c r="E13" s="41">
        <v>40</v>
      </c>
      <c r="F13" s="74">
        <v>60</v>
      </c>
      <c r="G13" s="65">
        <v>0</v>
      </c>
      <c r="H13" s="50">
        <f>(((G13*0.75)*E13)+((G13*0.25)*F13))*$F$105</f>
        <v>0</v>
      </c>
      <c r="J13" s="62" t="s">
        <v>163</v>
      </c>
      <c r="K13" s="63">
        <v>800</v>
      </c>
      <c r="L13" s="63">
        <f t="shared" ref="L13:L33" si="0">(K13/80)*1000</f>
        <v>10000</v>
      </c>
      <c r="M13" s="92"/>
      <c r="N13" s="64">
        <f>(((M13*0.75)*K13)+((M13*0.25)*L13))*$F$106</f>
        <v>0</v>
      </c>
    </row>
    <row r="14" spans="2:14" x14ac:dyDescent="0.2">
      <c r="B14" s="102"/>
      <c r="C14" s="22" t="s">
        <v>52</v>
      </c>
      <c r="D14" s="22" t="s">
        <v>61</v>
      </c>
      <c r="E14" s="41">
        <v>80</v>
      </c>
      <c r="F14" s="74">
        <v>121</v>
      </c>
      <c r="G14" s="65">
        <v>0</v>
      </c>
      <c r="H14" s="50">
        <f t="shared" ref="H14:H27" si="1">(((G14*0.75)*E14)+((G14*0.25)*F14))*$F$105</f>
        <v>0</v>
      </c>
      <c r="J14" s="62" t="s">
        <v>159</v>
      </c>
      <c r="K14" s="63">
        <v>80</v>
      </c>
      <c r="L14" s="63">
        <f t="shared" si="0"/>
        <v>1000</v>
      </c>
      <c r="M14" s="92"/>
      <c r="N14" s="64">
        <f t="shared" ref="N14:N33" si="2">(((M14*0.75)*K14)+((M14*0.25)*L14))*$F$106</f>
        <v>0</v>
      </c>
    </row>
    <row r="15" spans="2:14" x14ac:dyDescent="0.2">
      <c r="B15" s="102"/>
      <c r="C15" s="22" t="s">
        <v>53</v>
      </c>
      <c r="D15" s="22" t="s">
        <v>56</v>
      </c>
      <c r="E15" s="41">
        <v>40</v>
      </c>
      <c r="F15" s="74">
        <v>82</v>
      </c>
      <c r="G15" s="65">
        <v>0</v>
      </c>
      <c r="H15" s="50">
        <f t="shared" si="1"/>
        <v>0</v>
      </c>
      <c r="J15" s="62" t="s">
        <v>160</v>
      </c>
      <c r="K15" s="63">
        <v>80</v>
      </c>
      <c r="L15" s="63">
        <f t="shared" si="0"/>
        <v>1000</v>
      </c>
      <c r="M15" s="92"/>
      <c r="N15" s="64">
        <f t="shared" si="2"/>
        <v>0</v>
      </c>
    </row>
    <row r="16" spans="2:14" x14ac:dyDescent="0.2">
      <c r="B16" s="102"/>
      <c r="C16" s="22" t="s">
        <v>53</v>
      </c>
      <c r="D16" s="22" t="s">
        <v>57</v>
      </c>
      <c r="E16" s="41">
        <v>200</v>
      </c>
      <c r="F16" s="74">
        <v>406</v>
      </c>
      <c r="G16" s="65">
        <v>0</v>
      </c>
      <c r="H16" s="50">
        <f t="shared" si="1"/>
        <v>0</v>
      </c>
      <c r="J16" s="62" t="s">
        <v>150</v>
      </c>
      <c r="K16" s="63">
        <v>3000</v>
      </c>
      <c r="L16" s="63">
        <f t="shared" si="0"/>
        <v>37500</v>
      </c>
      <c r="M16" s="92"/>
      <c r="N16" s="64">
        <f t="shared" si="2"/>
        <v>0</v>
      </c>
    </row>
    <row r="17" spans="2:14" x14ac:dyDescent="0.2">
      <c r="B17" s="102"/>
      <c r="C17" s="22" t="s">
        <v>54</v>
      </c>
      <c r="D17" s="22" t="s">
        <v>58</v>
      </c>
      <c r="E17" s="41">
        <v>400</v>
      </c>
      <c r="F17" s="74">
        <v>730</v>
      </c>
      <c r="G17" s="65">
        <v>0</v>
      </c>
      <c r="H17" s="50">
        <f t="shared" si="1"/>
        <v>0</v>
      </c>
      <c r="J17" s="62" t="s">
        <v>164</v>
      </c>
      <c r="K17" s="63">
        <v>80</v>
      </c>
      <c r="L17" s="63">
        <f t="shared" si="0"/>
        <v>1000</v>
      </c>
      <c r="M17" s="92"/>
      <c r="N17" s="64">
        <f t="shared" si="2"/>
        <v>0</v>
      </c>
    </row>
    <row r="18" spans="2:14" x14ac:dyDescent="0.2">
      <c r="B18" s="103" t="s">
        <v>86</v>
      </c>
      <c r="C18" s="36" t="s">
        <v>52</v>
      </c>
      <c r="D18" s="36" t="s">
        <v>60</v>
      </c>
      <c r="E18" s="42">
        <v>40</v>
      </c>
      <c r="F18" s="75">
        <v>101</v>
      </c>
      <c r="G18" s="66">
        <v>0</v>
      </c>
      <c r="H18" s="52">
        <f t="shared" si="1"/>
        <v>0</v>
      </c>
      <c r="J18" s="62" t="s">
        <v>144</v>
      </c>
      <c r="K18" s="63">
        <v>80</v>
      </c>
      <c r="L18" s="63">
        <f t="shared" si="0"/>
        <v>1000</v>
      </c>
      <c r="M18" s="92"/>
      <c r="N18" s="64">
        <f t="shared" si="2"/>
        <v>0</v>
      </c>
    </row>
    <row r="19" spans="2:14" x14ac:dyDescent="0.2">
      <c r="B19" s="103"/>
      <c r="C19" s="36" t="s">
        <v>52</v>
      </c>
      <c r="D19" s="36" t="s">
        <v>62</v>
      </c>
      <c r="E19" s="42">
        <v>80</v>
      </c>
      <c r="F19" s="75">
        <v>201</v>
      </c>
      <c r="G19" s="66">
        <v>0</v>
      </c>
      <c r="H19" s="52">
        <f t="shared" si="1"/>
        <v>0</v>
      </c>
      <c r="J19" s="62" t="s">
        <v>149</v>
      </c>
      <c r="K19" s="63">
        <v>3200</v>
      </c>
      <c r="L19" s="63">
        <f t="shared" si="0"/>
        <v>40000</v>
      </c>
      <c r="M19" s="92"/>
      <c r="N19" s="64">
        <f t="shared" si="2"/>
        <v>0</v>
      </c>
    </row>
    <row r="20" spans="2:14" x14ac:dyDescent="0.2">
      <c r="B20" s="103"/>
      <c r="C20" s="36" t="s">
        <v>53</v>
      </c>
      <c r="D20" s="36" t="s">
        <v>63</v>
      </c>
      <c r="E20" s="42">
        <v>40</v>
      </c>
      <c r="F20" s="75">
        <v>136</v>
      </c>
      <c r="G20" s="66">
        <v>0</v>
      </c>
      <c r="H20" s="52">
        <f t="shared" si="1"/>
        <v>0</v>
      </c>
      <c r="J20" s="62" t="s">
        <v>156</v>
      </c>
      <c r="K20" s="63">
        <v>160</v>
      </c>
      <c r="L20" s="63">
        <f t="shared" si="0"/>
        <v>2000</v>
      </c>
      <c r="M20" s="92"/>
      <c r="N20" s="64">
        <f t="shared" si="2"/>
        <v>0</v>
      </c>
    </row>
    <row r="21" spans="2:14" x14ac:dyDescent="0.2">
      <c r="B21" s="103"/>
      <c r="C21" s="36" t="s">
        <v>53</v>
      </c>
      <c r="D21" s="36" t="s">
        <v>64</v>
      </c>
      <c r="E21" s="42">
        <v>200</v>
      </c>
      <c r="F21" s="75">
        <v>676</v>
      </c>
      <c r="G21" s="66">
        <v>0</v>
      </c>
      <c r="H21" s="52">
        <f t="shared" si="1"/>
        <v>0</v>
      </c>
      <c r="J21" s="62" t="s">
        <v>161</v>
      </c>
      <c r="K21" s="63">
        <v>400</v>
      </c>
      <c r="L21" s="63">
        <f t="shared" si="0"/>
        <v>5000</v>
      </c>
      <c r="M21" s="92"/>
      <c r="N21" s="64">
        <f t="shared" si="2"/>
        <v>0</v>
      </c>
    </row>
    <row r="22" spans="2:14" x14ac:dyDescent="0.2">
      <c r="B22" s="103"/>
      <c r="C22" s="36" t="s">
        <v>54</v>
      </c>
      <c r="D22" s="36" t="s">
        <v>65</v>
      </c>
      <c r="E22" s="42">
        <v>400</v>
      </c>
      <c r="F22" s="75">
        <v>1220</v>
      </c>
      <c r="G22" s="66">
        <v>0</v>
      </c>
      <c r="H22" s="52">
        <f t="shared" si="1"/>
        <v>0</v>
      </c>
      <c r="J22" s="62" t="s">
        <v>157</v>
      </c>
      <c r="K22" s="63">
        <v>80</v>
      </c>
      <c r="L22" s="63">
        <f t="shared" si="0"/>
        <v>1000</v>
      </c>
      <c r="M22" s="92"/>
      <c r="N22" s="64">
        <f t="shared" si="2"/>
        <v>0</v>
      </c>
    </row>
    <row r="23" spans="2:14" x14ac:dyDescent="0.2">
      <c r="B23" s="104" t="s">
        <v>88</v>
      </c>
      <c r="C23" s="34" t="s">
        <v>52</v>
      </c>
      <c r="D23" s="34" t="s">
        <v>66</v>
      </c>
      <c r="E23" s="43">
        <v>40</v>
      </c>
      <c r="F23" s="76">
        <v>141</v>
      </c>
      <c r="G23" s="67">
        <v>0</v>
      </c>
      <c r="H23" s="53">
        <f t="shared" si="1"/>
        <v>0</v>
      </c>
      <c r="J23" s="62" t="s">
        <v>151</v>
      </c>
      <c r="K23" s="63">
        <v>80</v>
      </c>
      <c r="L23" s="63">
        <f t="shared" si="0"/>
        <v>1000</v>
      </c>
      <c r="M23" s="92"/>
      <c r="N23" s="64">
        <f t="shared" si="2"/>
        <v>0</v>
      </c>
    </row>
    <row r="24" spans="2:14" x14ac:dyDescent="0.2">
      <c r="B24" s="104"/>
      <c r="C24" s="34" t="s">
        <v>52</v>
      </c>
      <c r="D24" s="34" t="s">
        <v>67</v>
      </c>
      <c r="E24" s="43">
        <v>80</v>
      </c>
      <c r="F24" s="76">
        <v>281</v>
      </c>
      <c r="G24" s="67">
        <v>0</v>
      </c>
      <c r="H24" s="53">
        <f t="shared" si="1"/>
        <v>0</v>
      </c>
      <c r="J24" s="62" t="s">
        <v>152</v>
      </c>
      <c r="K24" s="63">
        <v>1600</v>
      </c>
      <c r="L24" s="63">
        <f t="shared" si="0"/>
        <v>20000</v>
      </c>
      <c r="M24" s="92"/>
      <c r="N24" s="64">
        <f t="shared" si="2"/>
        <v>0</v>
      </c>
    </row>
    <row r="25" spans="2:14" x14ac:dyDescent="0.2">
      <c r="B25" s="104"/>
      <c r="C25" s="34" t="s">
        <v>53</v>
      </c>
      <c r="D25" s="34" t="s">
        <v>68</v>
      </c>
      <c r="E25" s="43">
        <v>40</v>
      </c>
      <c r="F25" s="76">
        <v>190</v>
      </c>
      <c r="G25" s="67">
        <v>0</v>
      </c>
      <c r="H25" s="53">
        <f t="shared" si="1"/>
        <v>0</v>
      </c>
      <c r="J25" s="62" t="s">
        <v>145</v>
      </c>
      <c r="K25" s="63">
        <v>2640</v>
      </c>
      <c r="L25" s="63">
        <f t="shared" si="0"/>
        <v>33000</v>
      </c>
      <c r="M25" s="92"/>
      <c r="N25" s="64">
        <f t="shared" si="2"/>
        <v>0</v>
      </c>
    </row>
    <row r="26" spans="2:14" x14ac:dyDescent="0.2">
      <c r="B26" s="104"/>
      <c r="C26" s="34" t="s">
        <v>53</v>
      </c>
      <c r="D26" s="34" t="s">
        <v>69</v>
      </c>
      <c r="E26" s="43">
        <v>200</v>
      </c>
      <c r="F26" s="76">
        <v>946</v>
      </c>
      <c r="G26" s="67">
        <v>0</v>
      </c>
      <c r="H26" s="53">
        <f t="shared" si="1"/>
        <v>0</v>
      </c>
      <c r="J26" s="62" t="s">
        <v>154</v>
      </c>
      <c r="K26" s="63">
        <v>80</v>
      </c>
      <c r="L26" s="63">
        <f t="shared" si="0"/>
        <v>1000</v>
      </c>
      <c r="M26" s="92"/>
      <c r="N26" s="64">
        <f t="shared" si="2"/>
        <v>0</v>
      </c>
    </row>
    <row r="27" spans="2:14" x14ac:dyDescent="0.2">
      <c r="B27" s="104"/>
      <c r="C27" s="34" t="s">
        <v>54</v>
      </c>
      <c r="D27" s="34" t="s">
        <v>70</v>
      </c>
      <c r="E27" s="43">
        <v>400</v>
      </c>
      <c r="F27" s="76">
        <v>1710</v>
      </c>
      <c r="G27" s="67">
        <v>0</v>
      </c>
      <c r="H27" s="53">
        <f t="shared" si="1"/>
        <v>0</v>
      </c>
      <c r="J27" s="62" t="s">
        <v>162</v>
      </c>
      <c r="K27" s="63">
        <v>160</v>
      </c>
      <c r="L27" s="63">
        <f t="shared" si="0"/>
        <v>2000</v>
      </c>
      <c r="M27" s="92"/>
      <c r="N27" s="64">
        <f t="shared" si="2"/>
        <v>0</v>
      </c>
    </row>
    <row r="28" spans="2:14" x14ac:dyDescent="0.2">
      <c r="B28" s="104"/>
      <c r="C28" s="34" t="s">
        <v>129</v>
      </c>
      <c r="D28" s="37" t="s">
        <v>130</v>
      </c>
      <c r="E28" s="44">
        <v>1120</v>
      </c>
      <c r="F28" s="76">
        <v>2950</v>
      </c>
      <c r="G28" s="67">
        <v>0</v>
      </c>
      <c r="H28" s="53">
        <f>(((G28*0.75)*E28)+((G28*0.25)*F28))*$F$106</f>
        <v>0</v>
      </c>
      <c r="J28" s="62" t="s">
        <v>155</v>
      </c>
      <c r="K28" s="63">
        <v>80</v>
      </c>
      <c r="L28" s="63">
        <f t="shared" si="0"/>
        <v>1000</v>
      </c>
      <c r="M28" s="92"/>
      <c r="N28" s="64">
        <f t="shared" si="2"/>
        <v>0</v>
      </c>
    </row>
    <row r="29" spans="2:14" x14ac:dyDescent="0.2">
      <c r="B29" s="104"/>
      <c r="C29" s="34" t="s">
        <v>131</v>
      </c>
      <c r="D29" s="37" t="s">
        <v>130</v>
      </c>
      <c r="E29" s="44">
        <v>480</v>
      </c>
      <c r="F29" s="76">
        <v>1270</v>
      </c>
      <c r="G29" s="67">
        <v>0</v>
      </c>
      <c r="H29" s="53">
        <f t="shared" ref="H29:H31" si="3">(((G29*0.75)*E29)+((G29*0.25)*F29))*$F$106</f>
        <v>0</v>
      </c>
      <c r="J29" s="62" t="s">
        <v>146</v>
      </c>
      <c r="K29" s="63">
        <v>80</v>
      </c>
      <c r="L29" s="63">
        <f t="shared" si="0"/>
        <v>1000</v>
      </c>
      <c r="M29" s="92"/>
      <c r="N29" s="64">
        <f t="shared" si="2"/>
        <v>0</v>
      </c>
    </row>
    <row r="30" spans="2:14" x14ac:dyDescent="0.2">
      <c r="B30" s="104"/>
      <c r="C30" s="34" t="s">
        <v>132</v>
      </c>
      <c r="D30" s="37" t="s">
        <v>130</v>
      </c>
      <c r="E30" s="44">
        <v>1280</v>
      </c>
      <c r="F30" s="76">
        <v>3370</v>
      </c>
      <c r="G30" s="67">
        <v>0</v>
      </c>
      <c r="H30" s="53">
        <f t="shared" si="3"/>
        <v>0</v>
      </c>
      <c r="J30" s="62" t="s">
        <v>148</v>
      </c>
      <c r="K30" s="63">
        <v>3400</v>
      </c>
      <c r="L30" s="63">
        <f t="shared" si="0"/>
        <v>42500</v>
      </c>
      <c r="M30" s="92"/>
      <c r="N30" s="64">
        <f t="shared" si="2"/>
        <v>0</v>
      </c>
    </row>
    <row r="31" spans="2:14" x14ac:dyDescent="0.2">
      <c r="B31" s="104"/>
      <c r="C31" s="34" t="s">
        <v>133</v>
      </c>
      <c r="D31" s="37" t="s">
        <v>130</v>
      </c>
      <c r="E31" s="44">
        <v>960</v>
      </c>
      <c r="F31" s="76">
        <v>2530</v>
      </c>
      <c r="G31" s="67">
        <v>0</v>
      </c>
      <c r="H31" s="53">
        <f t="shared" si="3"/>
        <v>0</v>
      </c>
      <c r="J31" s="62" t="s">
        <v>153</v>
      </c>
      <c r="K31" s="63">
        <v>1600</v>
      </c>
      <c r="L31" s="63">
        <f t="shared" si="0"/>
        <v>20000</v>
      </c>
      <c r="M31" s="92"/>
      <c r="N31" s="64">
        <f t="shared" si="2"/>
        <v>0</v>
      </c>
    </row>
    <row r="32" spans="2:14" x14ac:dyDescent="0.2">
      <c r="B32" s="105" t="s">
        <v>87</v>
      </c>
      <c r="C32" s="33" t="s">
        <v>52</v>
      </c>
      <c r="D32" s="33" t="s">
        <v>71</v>
      </c>
      <c r="E32" s="45">
        <v>40</v>
      </c>
      <c r="F32" s="77">
        <v>181</v>
      </c>
      <c r="G32" s="68">
        <v>1586</v>
      </c>
      <c r="H32" s="54">
        <f t="shared" ref="H32:H36" si="4">(((G32*0.75)*E32)+((G32*0.25)*F32))*$F$105</f>
        <v>238693</v>
      </c>
      <c r="J32" s="62" t="s">
        <v>158</v>
      </c>
      <c r="K32" s="63">
        <v>80</v>
      </c>
      <c r="L32" s="63">
        <f t="shared" si="0"/>
        <v>1000</v>
      </c>
      <c r="M32" s="92"/>
      <c r="N32" s="64">
        <f t="shared" si="2"/>
        <v>0</v>
      </c>
    </row>
    <row r="33" spans="2:14" x14ac:dyDescent="0.2">
      <c r="B33" s="105"/>
      <c r="C33" s="33" t="s">
        <v>52</v>
      </c>
      <c r="D33" s="33" t="s">
        <v>72</v>
      </c>
      <c r="E33" s="45">
        <v>80</v>
      </c>
      <c r="F33" s="77">
        <v>361</v>
      </c>
      <c r="G33" s="68">
        <v>1</v>
      </c>
      <c r="H33" s="54">
        <f t="shared" si="4"/>
        <v>300.5</v>
      </c>
      <c r="J33" s="62" t="s">
        <v>147</v>
      </c>
      <c r="K33" s="63">
        <v>5000</v>
      </c>
      <c r="L33" s="63">
        <f t="shared" si="0"/>
        <v>62500</v>
      </c>
      <c r="M33" s="92"/>
      <c r="N33" s="64">
        <f t="shared" si="2"/>
        <v>0</v>
      </c>
    </row>
    <row r="34" spans="2:14" x14ac:dyDescent="0.2">
      <c r="B34" s="105"/>
      <c r="C34" s="33" t="s">
        <v>53</v>
      </c>
      <c r="D34" s="33" t="s">
        <v>73</v>
      </c>
      <c r="E34" s="45">
        <v>40</v>
      </c>
      <c r="F34" s="77">
        <v>244</v>
      </c>
      <c r="G34" s="68">
        <v>1</v>
      </c>
      <c r="H34" s="54">
        <f t="shared" si="4"/>
        <v>182</v>
      </c>
    </row>
    <row r="35" spans="2:14" x14ac:dyDescent="0.2">
      <c r="B35" s="105"/>
      <c r="C35" s="33" t="s">
        <v>53</v>
      </c>
      <c r="D35" s="33" t="s">
        <v>74</v>
      </c>
      <c r="E35" s="45">
        <v>200</v>
      </c>
      <c r="F35" s="77">
        <v>1220</v>
      </c>
      <c r="G35" s="68">
        <v>11</v>
      </c>
      <c r="H35" s="54">
        <f t="shared" si="4"/>
        <v>10010</v>
      </c>
      <c r="J35" s="81" t="s">
        <v>43</v>
      </c>
      <c r="K35" s="87" t="s">
        <v>137</v>
      </c>
      <c r="L35" s="113" t="s">
        <v>138</v>
      </c>
      <c r="M35" s="113"/>
      <c r="N35" s="82"/>
    </row>
    <row r="36" spans="2:14" x14ac:dyDescent="0.2">
      <c r="B36" s="105"/>
      <c r="C36" s="33" t="s">
        <v>54</v>
      </c>
      <c r="D36" s="33" t="s">
        <v>75</v>
      </c>
      <c r="E36" s="45">
        <v>400</v>
      </c>
      <c r="F36" s="77">
        <v>2190</v>
      </c>
      <c r="G36" s="68">
        <v>15</v>
      </c>
      <c r="H36" s="54">
        <f t="shared" si="4"/>
        <v>25425</v>
      </c>
      <c r="J36" s="82" t="s">
        <v>1</v>
      </c>
      <c r="K36" s="93">
        <v>1</v>
      </c>
      <c r="L36" s="84">
        <f>250000*$K$36</f>
        <v>250000</v>
      </c>
      <c r="M36" s="82" t="s">
        <v>4</v>
      </c>
      <c r="N36" s="82"/>
    </row>
    <row r="37" spans="2:14" x14ac:dyDescent="0.2">
      <c r="B37" s="105"/>
      <c r="C37" s="33" t="s">
        <v>129</v>
      </c>
      <c r="D37" s="33" t="s">
        <v>130</v>
      </c>
      <c r="E37" s="45">
        <v>2080</v>
      </c>
      <c r="F37" s="77">
        <v>7030</v>
      </c>
      <c r="G37" s="68">
        <v>0</v>
      </c>
      <c r="H37" s="54">
        <f t="shared" ref="H37:H40" si="5">(((G37*0.75)*E37)+((G37*0.25)*F37))*$F$106</f>
        <v>0</v>
      </c>
      <c r="J37" s="82"/>
      <c r="K37" s="85"/>
      <c r="L37" s="84">
        <f>250000*$K$36</f>
        <v>250000</v>
      </c>
      <c r="M37" s="82" t="s">
        <v>5</v>
      </c>
      <c r="N37" s="82"/>
    </row>
    <row r="38" spans="2:14" x14ac:dyDescent="0.2">
      <c r="B38" s="105"/>
      <c r="C38" s="33" t="s">
        <v>131</v>
      </c>
      <c r="D38" s="33" t="s">
        <v>130</v>
      </c>
      <c r="E38" s="45">
        <v>2400</v>
      </c>
      <c r="F38" s="77">
        <v>8110</v>
      </c>
      <c r="G38" s="68">
        <v>0</v>
      </c>
      <c r="H38" s="54">
        <f t="shared" si="5"/>
        <v>0</v>
      </c>
      <c r="J38" s="82"/>
      <c r="K38" s="85"/>
      <c r="L38" s="84">
        <f>250000*$K$36</f>
        <v>250000</v>
      </c>
      <c r="M38" s="82" t="s">
        <v>6</v>
      </c>
      <c r="N38" s="82"/>
    </row>
    <row r="39" spans="2:14" x14ac:dyDescent="0.2">
      <c r="B39" s="105"/>
      <c r="C39" s="33" t="s">
        <v>132</v>
      </c>
      <c r="D39" s="33" t="s">
        <v>130</v>
      </c>
      <c r="E39" s="45">
        <v>1760</v>
      </c>
      <c r="F39" s="77">
        <v>5950</v>
      </c>
      <c r="G39" s="68">
        <v>0</v>
      </c>
      <c r="H39" s="54">
        <f>(((G39*0.75)*E39)+((G39*0.25)*F39))*$F$106</f>
        <v>0</v>
      </c>
      <c r="J39" s="82"/>
      <c r="K39" s="85"/>
      <c r="L39" s="82"/>
      <c r="M39" s="82"/>
      <c r="N39" s="82"/>
    </row>
    <row r="40" spans="2:14" x14ac:dyDescent="0.2">
      <c r="B40" s="105"/>
      <c r="C40" s="33" t="s">
        <v>133</v>
      </c>
      <c r="D40" s="33" t="s">
        <v>130</v>
      </c>
      <c r="E40" s="45">
        <v>1600</v>
      </c>
      <c r="F40" s="77">
        <v>5410</v>
      </c>
      <c r="G40" s="68">
        <v>0</v>
      </c>
      <c r="H40" s="54">
        <f t="shared" si="5"/>
        <v>0</v>
      </c>
      <c r="J40" s="81" t="s">
        <v>44</v>
      </c>
      <c r="K40" s="85"/>
      <c r="L40" s="82"/>
      <c r="M40" s="82"/>
      <c r="N40" s="82"/>
    </row>
    <row r="41" spans="2:14" x14ac:dyDescent="0.2">
      <c r="B41" s="106" t="s">
        <v>90</v>
      </c>
      <c r="C41" s="19" t="s">
        <v>52</v>
      </c>
      <c r="D41" s="19" t="s">
        <v>77</v>
      </c>
      <c r="E41" s="46">
        <v>40</v>
      </c>
      <c r="F41" s="78">
        <v>221</v>
      </c>
      <c r="G41" s="69">
        <v>0</v>
      </c>
      <c r="H41" s="55">
        <f t="shared" ref="H41:H49" si="6">(((G41*0.75)*E41)+((G41*0.25)*F41))*$F$105</f>
        <v>0</v>
      </c>
      <c r="J41" s="83" t="s">
        <v>47</v>
      </c>
      <c r="K41" s="87" t="s">
        <v>139</v>
      </c>
      <c r="L41" s="113" t="s">
        <v>138</v>
      </c>
      <c r="M41" s="113"/>
      <c r="N41" s="82"/>
    </row>
    <row r="42" spans="2:14" x14ac:dyDescent="0.2">
      <c r="B42" s="106"/>
      <c r="C42" s="19" t="s">
        <v>52</v>
      </c>
      <c r="D42" s="19" t="s">
        <v>78</v>
      </c>
      <c r="E42" s="46">
        <v>80</v>
      </c>
      <c r="F42" s="78">
        <v>441</v>
      </c>
      <c r="G42" s="69">
        <v>0</v>
      </c>
      <c r="H42" s="55">
        <f t="shared" si="6"/>
        <v>0</v>
      </c>
      <c r="J42" s="82" t="s">
        <v>3</v>
      </c>
      <c r="K42" s="94">
        <v>1000</v>
      </c>
      <c r="L42" s="84">
        <f>1.2*K42</f>
        <v>1200</v>
      </c>
      <c r="M42" s="82" t="s">
        <v>3</v>
      </c>
      <c r="N42" s="82"/>
    </row>
    <row r="43" spans="2:14" x14ac:dyDescent="0.2">
      <c r="B43" s="106"/>
      <c r="C43" s="19" t="s">
        <v>52</v>
      </c>
      <c r="D43" s="19" t="s">
        <v>82</v>
      </c>
      <c r="E43" s="46">
        <v>800</v>
      </c>
      <c r="F43" s="78">
        <v>4410</v>
      </c>
      <c r="G43" s="69">
        <v>0</v>
      </c>
      <c r="H43" s="55">
        <f t="shared" si="6"/>
        <v>0</v>
      </c>
      <c r="J43" s="82" t="s">
        <v>4</v>
      </c>
      <c r="K43" s="94">
        <v>1000</v>
      </c>
      <c r="L43" s="84">
        <f t="shared" ref="L43:L46" si="7">1.2*K43</f>
        <v>1200</v>
      </c>
      <c r="M43" s="82" t="s">
        <v>4</v>
      </c>
      <c r="N43" s="82"/>
    </row>
    <row r="44" spans="2:14" x14ac:dyDescent="0.2">
      <c r="B44" s="106"/>
      <c r="C44" s="19" t="s">
        <v>53</v>
      </c>
      <c r="D44" s="19" t="s">
        <v>79</v>
      </c>
      <c r="E44" s="46">
        <v>40</v>
      </c>
      <c r="F44" s="78">
        <v>298</v>
      </c>
      <c r="G44" s="69">
        <v>0</v>
      </c>
      <c r="H44" s="55">
        <f t="shared" si="6"/>
        <v>0</v>
      </c>
      <c r="J44" s="82" t="s">
        <v>5</v>
      </c>
      <c r="K44" s="94">
        <v>1000</v>
      </c>
      <c r="L44" s="84">
        <f t="shared" si="7"/>
        <v>1200</v>
      </c>
      <c r="M44" s="82" t="s">
        <v>5</v>
      </c>
      <c r="N44" s="82"/>
    </row>
    <row r="45" spans="2:14" x14ac:dyDescent="0.2">
      <c r="B45" s="106"/>
      <c r="C45" s="19" t="s">
        <v>53</v>
      </c>
      <c r="D45" s="19" t="s">
        <v>80</v>
      </c>
      <c r="E45" s="46">
        <v>200</v>
      </c>
      <c r="F45" s="78">
        <v>1490</v>
      </c>
      <c r="G45" s="69">
        <v>0</v>
      </c>
      <c r="H45" s="55">
        <f t="shared" si="6"/>
        <v>0</v>
      </c>
      <c r="J45" s="82" t="s">
        <v>6</v>
      </c>
      <c r="K45" s="94">
        <v>1000</v>
      </c>
      <c r="L45" s="84">
        <f t="shared" si="7"/>
        <v>1200</v>
      </c>
      <c r="M45" s="82" t="s">
        <v>6</v>
      </c>
      <c r="N45" s="82"/>
    </row>
    <row r="46" spans="2:14" x14ac:dyDescent="0.2">
      <c r="B46" s="106"/>
      <c r="C46" s="19" t="s">
        <v>53</v>
      </c>
      <c r="D46" s="19" t="s">
        <v>94</v>
      </c>
      <c r="E46" s="46">
        <v>40</v>
      </c>
      <c r="F46" s="78">
        <v>298</v>
      </c>
      <c r="G46" s="69">
        <v>0</v>
      </c>
      <c r="H46" s="55">
        <f t="shared" si="6"/>
        <v>0</v>
      </c>
      <c r="J46" s="82" t="s">
        <v>7</v>
      </c>
      <c r="K46" s="94">
        <v>1000</v>
      </c>
      <c r="L46" s="84">
        <f t="shared" si="7"/>
        <v>1200</v>
      </c>
      <c r="M46" s="82" t="s">
        <v>7</v>
      </c>
      <c r="N46" s="82"/>
    </row>
    <row r="47" spans="2:14" x14ac:dyDescent="0.2">
      <c r="B47" s="106"/>
      <c r="C47" s="19" t="s">
        <v>53</v>
      </c>
      <c r="D47" s="19" t="s">
        <v>83</v>
      </c>
      <c r="E47" s="46">
        <v>80</v>
      </c>
      <c r="F47" s="78">
        <v>595</v>
      </c>
      <c r="G47" s="69">
        <v>0</v>
      </c>
      <c r="H47" s="55">
        <f t="shared" si="6"/>
        <v>0</v>
      </c>
      <c r="J47" s="82"/>
      <c r="K47" s="85"/>
      <c r="L47" s="82"/>
      <c r="M47" s="82"/>
      <c r="N47" s="82"/>
    </row>
    <row r="48" spans="2:14" x14ac:dyDescent="0.2">
      <c r="B48" s="106"/>
      <c r="C48" s="19" t="s">
        <v>53</v>
      </c>
      <c r="D48" s="19" t="s">
        <v>84</v>
      </c>
      <c r="E48" s="46">
        <v>40</v>
      </c>
      <c r="F48" s="78">
        <v>298</v>
      </c>
      <c r="G48" s="69">
        <v>0</v>
      </c>
      <c r="H48" s="55">
        <f t="shared" si="6"/>
        <v>0</v>
      </c>
      <c r="J48" s="81" t="s">
        <v>136</v>
      </c>
      <c r="K48" s="82"/>
      <c r="L48" s="82"/>
      <c r="M48" s="82"/>
      <c r="N48" s="82"/>
    </row>
    <row r="49" spans="2:14" x14ac:dyDescent="0.2">
      <c r="B49" s="106"/>
      <c r="C49" s="19" t="s">
        <v>54</v>
      </c>
      <c r="D49" s="19" t="s">
        <v>81</v>
      </c>
      <c r="E49" s="46">
        <v>400</v>
      </c>
      <c r="F49" s="78">
        <v>2680</v>
      </c>
      <c r="G49" s="69">
        <v>0</v>
      </c>
      <c r="H49" s="55">
        <f t="shared" si="6"/>
        <v>0</v>
      </c>
      <c r="J49" s="83" t="s">
        <v>142</v>
      </c>
      <c r="K49" s="87" t="s">
        <v>139</v>
      </c>
      <c r="L49" s="113" t="s">
        <v>138</v>
      </c>
      <c r="M49" s="113"/>
      <c r="N49" s="82"/>
    </row>
    <row r="50" spans="2:14" x14ac:dyDescent="0.2">
      <c r="B50" s="106"/>
      <c r="C50" s="19" t="s">
        <v>129</v>
      </c>
      <c r="D50" s="19" t="s">
        <v>130</v>
      </c>
      <c r="E50" s="46">
        <v>3200</v>
      </c>
      <c r="F50" s="78">
        <v>13300</v>
      </c>
      <c r="G50" s="69">
        <v>0</v>
      </c>
      <c r="H50" s="55">
        <f t="shared" ref="H50:H53" si="8">(((G50*0.75)*E50)+((G50*0.25)*F50))*$F$106</f>
        <v>0</v>
      </c>
      <c r="J50" s="82" t="s">
        <v>12</v>
      </c>
      <c r="K50" s="94">
        <v>0</v>
      </c>
      <c r="L50" s="84">
        <f>K50*5000000</f>
        <v>0</v>
      </c>
      <c r="M50" s="82" t="s">
        <v>3</v>
      </c>
      <c r="N50" s="82"/>
    </row>
    <row r="51" spans="2:14" x14ac:dyDescent="0.2">
      <c r="B51" s="106"/>
      <c r="C51" s="19" t="s">
        <v>131</v>
      </c>
      <c r="D51" s="19" t="s">
        <v>130</v>
      </c>
      <c r="E51" s="46">
        <v>3360</v>
      </c>
      <c r="F51" s="78">
        <v>13900</v>
      </c>
      <c r="G51" s="69">
        <v>0</v>
      </c>
      <c r="H51" s="55">
        <f t="shared" si="8"/>
        <v>0</v>
      </c>
      <c r="J51" s="82" t="s">
        <v>8</v>
      </c>
      <c r="K51" s="94">
        <v>0</v>
      </c>
      <c r="L51" s="84">
        <f>K51*2000</f>
        <v>0</v>
      </c>
      <c r="M51" s="82" t="s">
        <v>3</v>
      </c>
      <c r="N51" s="82"/>
    </row>
    <row r="52" spans="2:14" x14ac:dyDescent="0.2">
      <c r="B52" s="106"/>
      <c r="C52" s="19" t="s">
        <v>132</v>
      </c>
      <c r="D52" s="19" t="s">
        <v>130</v>
      </c>
      <c r="E52" s="46">
        <v>3680</v>
      </c>
      <c r="F52" s="78">
        <v>15200</v>
      </c>
      <c r="G52" s="69">
        <v>0</v>
      </c>
      <c r="H52" s="55">
        <f t="shared" si="8"/>
        <v>0</v>
      </c>
      <c r="J52" s="82" t="s">
        <v>13</v>
      </c>
      <c r="K52" s="94">
        <v>0</v>
      </c>
      <c r="L52" s="84">
        <f>K52*2000</f>
        <v>0</v>
      </c>
      <c r="M52" s="82" t="s">
        <v>3</v>
      </c>
      <c r="N52" s="82"/>
    </row>
    <row r="53" spans="2:14" x14ac:dyDescent="0.2">
      <c r="B53" s="106"/>
      <c r="C53" s="19" t="s">
        <v>133</v>
      </c>
      <c r="D53" s="19" t="s">
        <v>130</v>
      </c>
      <c r="E53" s="46">
        <v>3520</v>
      </c>
      <c r="F53" s="78">
        <v>14600</v>
      </c>
      <c r="G53" s="69">
        <v>0</v>
      </c>
      <c r="H53" s="55">
        <f t="shared" si="8"/>
        <v>0</v>
      </c>
      <c r="J53" s="82"/>
      <c r="K53" s="82"/>
      <c r="L53" s="82"/>
      <c r="M53" s="82"/>
      <c r="N53" s="82"/>
    </row>
    <row r="54" spans="2:14" x14ac:dyDescent="0.2">
      <c r="B54" s="111" t="s">
        <v>89</v>
      </c>
      <c r="C54" s="20" t="s">
        <v>52</v>
      </c>
      <c r="D54" s="20" t="s">
        <v>95</v>
      </c>
      <c r="E54" s="47">
        <v>800</v>
      </c>
      <c r="F54" s="79">
        <v>5210</v>
      </c>
      <c r="G54" s="70">
        <v>0</v>
      </c>
      <c r="H54" s="56">
        <f t="shared" ref="H54:H62" si="9">(((G54*0.75)*E54)+((G54*0.25)*F54))*$F$105</f>
        <v>0</v>
      </c>
      <c r="J54" s="81" t="s">
        <v>140</v>
      </c>
      <c r="K54" s="88" t="s">
        <v>184</v>
      </c>
      <c r="L54" s="113" t="s">
        <v>138</v>
      </c>
      <c r="M54" s="113"/>
      <c r="N54" s="82"/>
    </row>
    <row r="55" spans="2:14" x14ac:dyDescent="0.2">
      <c r="B55" s="111"/>
      <c r="C55" s="20" t="s">
        <v>52</v>
      </c>
      <c r="D55" s="20" t="s">
        <v>97</v>
      </c>
      <c r="E55" s="47">
        <v>40</v>
      </c>
      <c r="F55" s="79">
        <v>261</v>
      </c>
      <c r="G55" s="70">
        <v>0</v>
      </c>
      <c r="H55" s="56">
        <f t="shared" si="9"/>
        <v>0</v>
      </c>
      <c r="J55" s="82" t="s">
        <v>182</v>
      </c>
      <c r="K55" s="95">
        <v>0</v>
      </c>
      <c r="L55" s="86">
        <f>IF(F7&lt;100000, F7, IF(F7&gt;5000000, F7, 5000000))*K55</f>
        <v>0</v>
      </c>
      <c r="M55" s="82" t="s">
        <v>3</v>
      </c>
      <c r="N55" s="82"/>
    </row>
    <row r="56" spans="2:14" x14ac:dyDescent="0.2">
      <c r="B56" s="111"/>
      <c r="C56" s="20" t="s">
        <v>52</v>
      </c>
      <c r="D56" s="20" t="s">
        <v>98</v>
      </c>
      <c r="E56" s="47">
        <v>80</v>
      </c>
      <c r="F56" s="79">
        <v>521</v>
      </c>
      <c r="G56" s="70">
        <v>0</v>
      </c>
      <c r="H56" s="56">
        <f t="shared" si="9"/>
        <v>0</v>
      </c>
      <c r="J56" s="82" t="s">
        <v>183</v>
      </c>
      <c r="K56" s="96">
        <v>0</v>
      </c>
      <c r="L56" s="86">
        <f>IF(F7&lt;100000, F7, IF(F7&gt;5000000, F7, 5000000))*K56</f>
        <v>0</v>
      </c>
      <c r="M56" s="82" t="s">
        <v>3</v>
      </c>
      <c r="N56" s="82"/>
    </row>
    <row r="57" spans="2:14" x14ac:dyDescent="0.2">
      <c r="B57" s="111"/>
      <c r="C57" s="20" t="s">
        <v>53</v>
      </c>
      <c r="D57" s="20" t="s">
        <v>99</v>
      </c>
      <c r="E57" s="47">
        <v>40</v>
      </c>
      <c r="F57" s="79">
        <v>352</v>
      </c>
      <c r="G57" s="70">
        <v>0</v>
      </c>
      <c r="H57" s="56">
        <f t="shared" si="9"/>
        <v>0</v>
      </c>
      <c r="J57" s="82"/>
      <c r="K57" s="85"/>
      <c r="L57" s="82"/>
      <c r="M57" s="82"/>
      <c r="N57" s="82"/>
    </row>
    <row r="58" spans="2:14" x14ac:dyDescent="0.2">
      <c r="B58" s="111"/>
      <c r="C58" s="20" t="s">
        <v>53</v>
      </c>
      <c r="D58" s="20" t="s">
        <v>100</v>
      </c>
      <c r="E58" s="47">
        <v>80</v>
      </c>
      <c r="F58" s="79">
        <v>703</v>
      </c>
      <c r="G58" s="70">
        <v>0</v>
      </c>
      <c r="H58" s="56">
        <f t="shared" si="9"/>
        <v>0</v>
      </c>
    </row>
    <row r="59" spans="2:14" x14ac:dyDescent="0.2">
      <c r="B59" s="111"/>
      <c r="C59" s="20" t="s">
        <v>53</v>
      </c>
      <c r="D59" s="20" t="s">
        <v>101</v>
      </c>
      <c r="E59" s="47">
        <v>40</v>
      </c>
      <c r="F59" s="79">
        <v>352</v>
      </c>
      <c r="G59" s="70">
        <v>0</v>
      </c>
      <c r="H59" s="56">
        <f t="shared" si="9"/>
        <v>0</v>
      </c>
      <c r="J59" s="1" t="s">
        <v>168</v>
      </c>
    </row>
    <row r="60" spans="2:14" x14ac:dyDescent="0.2">
      <c r="B60" s="111"/>
      <c r="C60" s="20" t="s">
        <v>53</v>
      </c>
      <c r="D60" s="20" t="s">
        <v>102</v>
      </c>
      <c r="E60" s="47">
        <v>40</v>
      </c>
      <c r="F60" s="79">
        <v>352</v>
      </c>
      <c r="G60" s="70">
        <v>0</v>
      </c>
      <c r="H60" s="56">
        <f t="shared" si="9"/>
        <v>0</v>
      </c>
      <c r="J60" s="2" t="s">
        <v>169</v>
      </c>
      <c r="K60" s="58">
        <f>IFERROR(IF(F7/F8&lt;1,1,F7/F8),1)</f>
        <v>1.0769230769230769</v>
      </c>
    </row>
    <row r="61" spans="2:14" x14ac:dyDescent="0.2">
      <c r="B61" s="111"/>
      <c r="C61" s="20" t="s">
        <v>53</v>
      </c>
      <c r="D61" s="20" t="s">
        <v>96</v>
      </c>
      <c r="E61" s="47">
        <v>200</v>
      </c>
      <c r="F61" s="79">
        <v>1760</v>
      </c>
      <c r="G61" s="70">
        <v>0</v>
      </c>
      <c r="H61" s="56">
        <f t="shared" si="9"/>
        <v>0</v>
      </c>
    </row>
    <row r="62" spans="2:14" x14ac:dyDescent="0.2">
      <c r="B62" s="111"/>
      <c r="C62" s="20" t="s">
        <v>54</v>
      </c>
      <c r="D62" s="20" t="s">
        <v>111</v>
      </c>
      <c r="E62" s="47">
        <v>400</v>
      </c>
      <c r="F62" s="79">
        <v>3160</v>
      </c>
      <c r="G62" s="70">
        <v>0</v>
      </c>
      <c r="H62" s="56">
        <f t="shared" si="9"/>
        <v>0</v>
      </c>
      <c r="J62" s="99" t="s">
        <v>170</v>
      </c>
      <c r="K62" s="100"/>
      <c r="L62" s="100"/>
    </row>
    <row r="63" spans="2:14" x14ac:dyDescent="0.2">
      <c r="B63" s="111"/>
      <c r="C63" s="20" t="s">
        <v>129</v>
      </c>
      <c r="D63" s="20" t="s">
        <v>130</v>
      </c>
      <c r="E63" s="47">
        <v>5280</v>
      </c>
      <c r="F63" s="79">
        <v>25800</v>
      </c>
      <c r="G63" s="70">
        <v>0</v>
      </c>
      <c r="H63" s="56">
        <f t="shared" ref="H63:H66" si="10">(((G63*0.75)*E63)+((G63*0.25)*F63))*$F$106</f>
        <v>0</v>
      </c>
      <c r="J63" s="100" t="s">
        <v>171</v>
      </c>
      <c r="K63" s="101">
        <v>1</v>
      </c>
      <c r="L63" s="100"/>
    </row>
    <row r="64" spans="2:14" x14ac:dyDescent="0.2">
      <c r="B64" s="111"/>
      <c r="C64" s="20" t="s">
        <v>131</v>
      </c>
      <c r="D64" s="20" t="s">
        <v>130</v>
      </c>
      <c r="E64" s="47">
        <v>5600</v>
      </c>
      <c r="F64" s="79">
        <v>27400</v>
      </c>
      <c r="G64" s="70">
        <v>0</v>
      </c>
      <c r="H64" s="56">
        <f t="shared" si="10"/>
        <v>0</v>
      </c>
      <c r="J64" s="100"/>
      <c r="K64" s="100"/>
      <c r="L64" s="100"/>
    </row>
    <row r="65" spans="2:11" ht="12.75" thickBot="1" x14ac:dyDescent="0.25">
      <c r="B65" s="111"/>
      <c r="C65" s="20" t="s">
        <v>132</v>
      </c>
      <c r="D65" s="20" t="s">
        <v>130</v>
      </c>
      <c r="E65" s="47">
        <v>4800</v>
      </c>
      <c r="F65" s="79">
        <v>23500</v>
      </c>
      <c r="G65" s="70">
        <v>0</v>
      </c>
      <c r="H65" s="56">
        <f t="shared" si="10"/>
        <v>0</v>
      </c>
    </row>
    <row r="66" spans="2:11" ht="12.75" thickBot="1" x14ac:dyDescent="0.25">
      <c r="B66" s="111"/>
      <c r="C66" s="20" t="s">
        <v>133</v>
      </c>
      <c r="D66" s="20" t="s">
        <v>130</v>
      </c>
      <c r="E66" s="47">
        <v>5440</v>
      </c>
      <c r="F66" s="79">
        <v>26600</v>
      </c>
      <c r="G66" s="70">
        <v>0</v>
      </c>
      <c r="H66" s="56">
        <f t="shared" si="10"/>
        <v>0</v>
      </c>
      <c r="J66" s="114" t="s">
        <v>141</v>
      </c>
      <c r="K66" s="115"/>
    </row>
    <row r="67" spans="2:11" x14ac:dyDescent="0.2">
      <c r="B67" s="112" t="s">
        <v>92</v>
      </c>
      <c r="C67" s="35" t="s">
        <v>52</v>
      </c>
      <c r="D67" s="35" t="s">
        <v>103</v>
      </c>
      <c r="E67" s="48">
        <v>800</v>
      </c>
      <c r="F67" s="80">
        <v>6010</v>
      </c>
      <c r="G67" s="71">
        <v>0</v>
      </c>
      <c r="H67" s="57">
        <f t="shared" ref="H67:H75" si="11">(((G67*0.75)*E67)+((G67*0.25)*F67))*$F$105</f>
        <v>0</v>
      </c>
      <c r="J67" s="39" t="s">
        <v>3</v>
      </c>
      <c r="K67" s="97">
        <f>(SUM(H13:H103)+SUM(N13:N15)+L42+SUM(L50:L52)+SUM(L55:L56))*$K$60*IF($K$63=0,1,$K$63)</f>
        <v>297026.69230769231</v>
      </c>
    </row>
    <row r="68" spans="2:11" x14ac:dyDescent="0.2">
      <c r="B68" s="112"/>
      <c r="C68" s="35" t="s">
        <v>52</v>
      </c>
      <c r="D68" s="35" t="s">
        <v>104</v>
      </c>
      <c r="E68" s="48">
        <v>40</v>
      </c>
      <c r="F68" s="80">
        <v>301</v>
      </c>
      <c r="G68" s="71">
        <v>0</v>
      </c>
      <c r="H68" s="57">
        <f t="shared" si="11"/>
        <v>0</v>
      </c>
      <c r="J68" s="39" t="s">
        <v>4</v>
      </c>
      <c r="K68" s="97">
        <f>(L43+L36)*IF($K$63=0,1,$K$63)</f>
        <v>251200</v>
      </c>
    </row>
    <row r="69" spans="2:11" x14ac:dyDescent="0.2">
      <c r="B69" s="112"/>
      <c r="C69" s="35" t="s">
        <v>52</v>
      </c>
      <c r="D69" s="35" t="s">
        <v>105</v>
      </c>
      <c r="E69" s="48">
        <v>80</v>
      </c>
      <c r="F69" s="80">
        <v>601</v>
      </c>
      <c r="G69" s="71">
        <v>0</v>
      </c>
      <c r="H69" s="57">
        <f t="shared" si="11"/>
        <v>0</v>
      </c>
      <c r="J69" s="39" t="s">
        <v>5</v>
      </c>
      <c r="K69" s="97">
        <f>(L44+L37)*IF($K$63=0,1,$K$63)</f>
        <v>251200</v>
      </c>
    </row>
    <row r="70" spans="2:11" x14ac:dyDescent="0.2">
      <c r="B70" s="112"/>
      <c r="C70" s="35" t="s">
        <v>53</v>
      </c>
      <c r="D70" s="35" t="s">
        <v>106</v>
      </c>
      <c r="E70" s="48">
        <v>40</v>
      </c>
      <c r="F70" s="80">
        <v>406</v>
      </c>
      <c r="G70" s="71">
        <v>0</v>
      </c>
      <c r="H70" s="57">
        <f t="shared" si="11"/>
        <v>0</v>
      </c>
      <c r="J70" s="39" t="s">
        <v>6</v>
      </c>
      <c r="K70" s="97">
        <f>(L45+L38)*IF($K$63=0,1,$K$63)</f>
        <v>251200</v>
      </c>
    </row>
    <row r="71" spans="2:11" ht="12.75" thickBot="1" x14ac:dyDescent="0.25">
      <c r="B71" s="112"/>
      <c r="C71" s="35" t="s">
        <v>53</v>
      </c>
      <c r="D71" s="35" t="s">
        <v>107</v>
      </c>
      <c r="E71" s="48">
        <v>80</v>
      </c>
      <c r="F71" s="80">
        <v>811</v>
      </c>
      <c r="G71" s="71">
        <v>0</v>
      </c>
      <c r="H71" s="57">
        <f t="shared" si="11"/>
        <v>0</v>
      </c>
      <c r="J71" s="40" t="s">
        <v>7</v>
      </c>
      <c r="K71" s="98">
        <f>(L46)*IF($K$63=0,1,$K$63)</f>
        <v>1200</v>
      </c>
    </row>
    <row r="72" spans="2:11" x14ac:dyDescent="0.2">
      <c r="B72" s="112"/>
      <c r="C72" s="35" t="s">
        <v>53</v>
      </c>
      <c r="D72" s="35" t="s">
        <v>108</v>
      </c>
      <c r="E72" s="48">
        <v>40</v>
      </c>
      <c r="F72" s="80">
        <v>406</v>
      </c>
      <c r="G72" s="71">
        <v>0</v>
      </c>
      <c r="H72" s="57">
        <f t="shared" si="11"/>
        <v>0</v>
      </c>
    </row>
    <row r="73" spans="2:11" x14ac:dyDescent="0.2">
      <c r="B73" s="112"/>
      <c r="C73" s="35" t="s">
        <v>53</v>
      </c>
      <c r="D73" s="35" t="s">
        <v>109</v>
      </c>
      <c r="E73" s="48">
        <v>40</v>
      </c>
      <c r="F73" s="80">
        <v>406</v>
      </c>
      <c r="G73" s="71">
        <v>0</v>
      </c>
      <c r="H73" s="57">
        <f t="shared" si="11"/>
        <v>0</v>
      </c>
    </row>
    <row r="74" spans="2:11" x14ac:dyDescent="0.2">
      <c r="B74" s="112"/>
      <c r="C74" s="35" t="s">
        <v>53</v>
      </c>
      <c r="D74" s="35" t="s">
        <v>110</v>
      </c>
      <c r="E74" s="48">
        <v>200</v>
      </c>
      <c r="F74" s="80">
        <v>2030</v>
      </c>
      <c r="G74" s="71">
        <v>0</v>
      </c>
      <c r="H74" s="57">
        <f t="shared" si="11"/>
        <v>0</v>
      </c>
    </row>
    <row r="75" spans="2:11" x14ac:dyDescent="0.2">
      <c r="B75" s="112"/>
      <c r="C75" s="35" t="s">
        <v>54</v>
      </c>
      <c r="D75" s="35" t="s">
        <v>112</v>
      </c>
      <c r="E75" s="48">
        <v>400</v>
      </c>
      <c r="F75" s="80">
        <v>3650</v>
      </c>
      <c r="G75" s="71">
        <v>0</v>
      </c>
      <c r="H75" s="57">
        <f t="shared" si="11"/>
        <v>0</v>
      </c>
    </row>
    <row r="76" spans="2:11" x14ac:dyDescent="0.2">
      <c r="B76" s="112"/>
      <c r="C76" s="35" t="s">
        <v>129</v>
      </c>
      <c r="D76" s="35" t="s">
        <v>130</v>
      </c>
      <c r="E76" s="48">
        <v>7040</v>
      </c>
      <c r="F76" s="80">
        <v>39700</v>
      </c>
      <c r="G76" s="71">
        <v>0</v>
      </c>
      <c r="H76" s="57">
        <f t="shared" ref="H76:H79" si="12">(((G76*0.75)*E76)+((G76*0.25)*F76))*$F$106</f>
        <v>0</v>
      </c>
    </row>
    <row r="77" spans="2:11" x14ac:dyDescent="0.2">
      <c r="B77" s="112"/>
      <c r="C77" s="35" t="s">
        <v>131</v>
      </c>
      <c r="D77" s="35" t="s">
        <v>130</v>
      </c>
      <c r="E77" s="48">
        <v>7200</v>
      </c>
      <c r="F77" s="80">
        <v>40600</v>
      </c>
      <c r="G77" s="71">
        <v>0</v>
      </c>
      <c r="H77" s="57">
        <f t="shared" si="12"/>
        <v>0</v>
      </c>
    </row>
    <row r="78" spans="2:11" x14ac:dyDescent="0.2">
      <c r="B78" s="112"/>
      <c r="C78" s="35" t="s">
        <v>132</v>
      </c>
      <c r="D78" s="35" t="s">
        <v>130</v>
      </c>
      <c r="E78" s="48">
        <v>6880</v>
      </c>
      <c r="F78" s="80">
        <v>38800</v>
      </c>
      <c r="G78" s="71">
        <v>0</v>
      </c>
      <c r="H78" s="57">
        <f t="shared" si="12"/>
        <v>0</v>
      </c>
    </row>
    <row r="79" spans="2:11" x14ac:dyDescent="0.2">
      <c r="B79" s="112"/>
      <c r="C79" s="35" t="s">
        <v>133</v>
      </c>
      <c r="D79" s="35" t="s">
        <v>130</v>
      </c>
      <c r="E79" s="48">
        <v>6560</v>
      </c>
      <c r="F79" s="80">
        <v>37000</v>
      </c>
      <c r="G79" s="71">
        <v>0</v>
      </c>
      <c r="H79" s="57">
        <f t="shared" si="12"/>
        <v>0</v>
      </c>
    </row>
    <row r="80" spans="2:11" x14ac:dyDescent="0.2">
      <c r="B80" s="102" t="s">
        <v>91</v>
      </c>
      <c r="C80" s="22" t="s">
        <v>52</v>
      </c>
      <c r="D80" s="22" t="s">
        <v>113</v>
      </c>
      <c r="E80" s="41">
        <v>40</v>
      </c>
      <c r="F80" s="74">
        <v>341</v>
      </c>
      <c r="G80" s="72">
        <v>0</v>
      </c>
      <c r="H80" s="49">
        <f t="shared" ref="H80:H87" si="13">(((G80*0.75)*E80)+((G80*0.25)*F80))*$F$105</f>
        <v>0</v>
      </c>
    </row>
    <row r="81" spans="2:8" x14ac:dyDescent="0.2">
      <c r="B81" s="102"/>
      <c r="C81" s="22" t="s">
        <v>52</v>
      </c>
      <c r="D81" s="22" t="s">
        <v>114</v>
      </c>
      <c r="E81" s="41">
        <v>80</v>
      </c>
      <c r="F81" s="74">
        <v>681</v>
      </c>
      <c r="G81" s="72">
        <v>0</v>
      </c>
      <c r="H81" s="49">
        <f t="shared" si="13"/>
        <v>0</v>
      </c>
    </row>
    <row r="82" spans="2:8" x14ac:dyDescent="0.2">
      <c r="B82" s="102"/>
      <c r="C82" s="22" t="s">
        <v>52</v>
      </c>
      <c r="D82" s="22" t="s">
        <v>115</v>
      </c>
      <c r="E82" s="41">
        <v>800</v>
      </c>
      <c r="F82" s="74">
        <v>6810</v>
      </c>
      <c r="G82" s="72">
        <v>0</v>
      </c>
      <c r="H82" s="49">
        <f t="shared" si="13"/>
        <v>0</v>
      </c>
    </row>
    <row r="83" spans="2:8" x14ac:dyDescent="0.2">
      <c r="B83" s="102"/>
      <c r="C83" s="22" t="s">
        <v>53</v>
      </c>
      <c r="D83" s="22" t="s">
        <v>116</v>
      </c>
      <c r="E83" s="41">
        <v>40</v>
      </c>
      <c r="F83" s="74">
        <v>385</v>
      </c>
      <c r="G83" s="72">
        <v>0</v>
      </c>
      <c r="H83" s="49">
        <f t="shared" si="13"/>
        <v>0</v>
      </c>
    </row>
    <row r="84" spans="2:8" x14ac:dyDescent="0.2">
      <c r="B84" s="102"/>
      <c r="C84" s="22" t="s">
        <v>53</v>
      </c>
      <c r="D84" s="22" t="s">
        <v>117</v>
      </c>
      <c r="E84" s="41">
        <v>80</v>
      </c>
      <c r="F84" s="74">
        <v>769</v>
      </c>
      <c r="G84" s="72">
        <v>0</v>
      </c>
      <c r="H84" s="49">
        <f t="shared" si="13"/>
        <v>0</v>
      </c>
    </row>
    <row r="85" spans="2:8" x14ac:dyDescent="0.2">
      <c r="B85" s="102"/>
      <c r="C85" s="22" t="s">
        <v>53</v>
      </c>
      <c r="D85" s="22" t="s">
        <v>118</v>
      </c>
      <c r="E85" s="41">
        <v>800</v>
      </c>
      <c r="F85" s="74">
        <v>7690</v>
      </c>
      <c r="G85" s="72">
        <v>0</v>
      </c>
      <c r="H85" s="49">
        <f t="shared" si="13"/>
        <v>0</v>
      </c>
    </row>
    <row r="86" spans="2:8" x14ac:dyDescent="0.2">
      <c r="B86" s="102"/>
      <c r="C86" s="22" t="s">
        <v>53</v>
      </c>
      <c r="D86" s="22" t="s">
        <v>119</v>
      </c>
      <c r="E86" s="41">
        <v>200</v>
      </c>
      <c r="F86" s="74">
        <v>1930</v>
      </c>
      <c r="G86" s="72">
        <v>0</v>
      </c>
      <c r="H86" s="49">
        <f t="shared" si="13"/>
        <v>0</v>
      </c>
    </row>
    <row r="87" spans="2:8" x14ac:dyDescent="0.2">
      <c r="B87" s="102"/>
      <c r="C87" s="22" t="s">
        <v>54</v>
      </c>
      <c r="D87" s="22" t="s">
        <v>120</v>
      </c>
      <c r="E87" s="41">
        <v>400</v>
      </c>
      <c r="F87" s="74">
        <v>4140</v>
      </c>
      <c r="G87" s="72">
        <v>0</v>
      </c>
      <c r="H87" s="49">
        <f t="shared" si="13"/>
        <v>0</v>
      </c>
    </row>
    <row r="88" spans="2:8" x14ac:dyDescent="0.2">
      <c r="B88" s="102"/>
      <c r="C88" s="22" t="s">
        <v>129</v>
      </c>
      <c r="D88" s="22" t="s">
        <v>130</v>
      </c>
      <c r="E88" s="41">
        <v>8480</v>
      </c>
      <c r="F88" s="74">
        <v>54100</v>
      </c>
      <c r="G88" s="72">
        <v>0</v>
      </c>
      <c r="H88" s="49">
        <f t="shared" ref="H88:H91" si="14">(((G88*0.75)*E88)+((G88*0.25)*F88))*$F$106</f>
        <v>0</v>
      </c>
    </row>
    <row r="89" spans="2:8" x14ac:dyDescent="0.2">
      <c r="B89" s="102"/>
      <c r="C89" s="22" t="s">
        <v>131</v>
      </c>
      <c r="D89" s="22" t="s">
        <v>130</v>
      </c>
      <c r="E89" s="41">
        <v>8640</v>
      </c>
      <c r="F89" s="74">
        <v>55100</v>
      </c>
      <c r="G89" s="72">
        <v>0</v>
      </c>
      <c r="H89" s="49">
        <f t="shared" si="14"/>
        <v>0</v>
      </c>
    </row>
    <row r="90" spans="2:8" x14ac:dyDescent="0.2">
      <c r="B90" s="102"/>
      <c r="C90" s="22" t="s">
        <v>132</v>
      </c>
      <c r="D90" s="22" t="s">
        <v>130</v>
      </c>
      <c r="E90" s="41">
        <v>8800</v>
      </c>
      <c r="F90" s="74">
        <v>56200</v>
      </c>
      <c r="G90" s="72">
        <v>0</v>
      </c>
      <c r="H90" s="49">
        <f t="shared" si="14"/>
        <v>0</v>
      </c>
    </row>
    <row r="91" spans="2:8" x14ac:dyDescent="0.2">
      <c r="B91" s="102"/>
      <c r="C91" s="22" t="s">
        <v>133</v>
      </c>
      <c r="D91" s="22" t="s">
        <v>130</v>
      </c>
      <c r="E91" s="41">
        <v>8320</v>
      </c>
      <c r="F91" s="74">
        <v>53100</v>
      </c>
      <c r="G91" s="72">
        <v>0</v>
      </c>
      <c r="H91" s="49">
        <f t="shared" si="14"/>
        <v>0</v>
      </c>
    </row>
    <row r="92" spans="2:8" x14ac:dyDescent="0.2">
      <c r="B92" s="103" t="s">
        <v>93</v>
      </c>
      <c r="C92" s="36" t="s">
        <v>52</v>
      </c>
      <c r="D92" s="36" t="s">
        <v>121</v>
      </c>
      <c r="E92" s="42">
        <v>40</v>
      </c>
      <c r="F92" s="75">
        <v>381</v>
      </c>
      <c r="G92" s="73">
        <v>0</v>
      </c>
      <c r="H92" s="51">
        <f t="shared" ref="H92:H99" si="15">(((G92*0.75)*E92)+((G92*0.25)*F92))*$F$105</f>
        <v>0</v>
      </c>
    </row>
    <row r="93" spans="2:8" x14ac:dyDescent="0.2">
      <c r="B93" s="103"/>
      <c r="C93" s="36" t="s">
        <v>52</v>
      </c>
      <c r="D93" s="36" t="s">
        <v>122</v>
      </c>
      <c r="E93" s="42">
        <v>80</v>
      </c>
      <c r="F93" s="75">
        <v>761</v>
      </c>
      <c r="G93" s="73">
        <v>0</v>
      </c>
      <c r="H93" s="51">
        <f t="shared" si="15"/>
        <v>0</v>
      </c>
    </row>
    <row r="94" spans="2:8" x14ac:dyDescent="0.2">
      <c r="B94" s="103"/>
      <c r="C94" s="36" t="s">
        <v>52</v>
      </c>
      <c r="D94" s="36" t="s">
        <v>123</v>
      </c>
      <c r="E94" s="42">
        <v>800</v>
      </c>
      <c r="F94" s="75">
        <v>7610</v>
      </c>
      <c r="G94" s="73">
        <v>0</v>
      </c>
      <c r="H94" s="51">
        <f t="shared" si="15"/>
        <v>0</v>
      </c>
    </row>
    <row r="95" spans="2:8" x14ac:dyDescent="0.2">
      <c r="B95" s="103"/>
      <c r="C95" s="36" t="s">
        <v>53</v>
      </c>
      <c r="D95" s="36" t="s">
        <v>124</v>
      </c>
      <c r="E95" s="42">
        <v>40</v>
      </c>
      <c r="F95" s="75"/>
      <c r="G95" s="73">
        <v>0</v>
      </c>
      <c r="H95" s="51">
        <f t="shared" si="15"/>
        <v>0</v>
      </c>
    </row>
    <row r="96" spans="2:8" x14ac:dyDescent="0.2">
      <c r="B96" s="103"/>
      <c r="C96" s="36" t="s">
        <v>53</v>
      </c>
      <c r="D96" s="36" t="s">
        <v>125</v>
      </c>
      <c r="E96" s="42">
        <v>80</v>
      </c>
      <c r="F96" s="75"/>
      <c r="G96" s="73">
        <v>0</v>
      </c>
      <c r="H96" s="51">
        <f t="shared" si="15"/>
        <v>0</v>
      </c>
    </row>
    <row r="97" spans="2:12" x14ac:dyDescent="0.2">
      <c r="B97" s="103"/>
      <c r="C97" s="36" t="s">
        <v>53</v>
      </c>
      <c r="D97" s="36" t="s">
        <v>126</v>
      </c>
      <c r="E97" s="42">
        <v>800</v>
      </c>
      <c r="F97" s="75"/>
      <c r="G97" s="73">
        <v>0</v>
      </c>
      <c r="H97" s="51">
        <f t="shared" si="15"/>
        <v>0</v>
      </c>
    </row>
    <row r="98" spans="2:12" x14ac:dyDescent="0.2">
      <c r="B98" s="103"/>
      <c r="C98" s="36" t="s">
        <v>53</v>
      </c>
      <c r="D98" s="36" t="s">
        <v>127</v>
      </c>
      <c r="E98" s="42">
        <v>200</v>
      </c>
      <c r="F98" s="75"/>
      <c r="G98" s="73">
        <v>0</v>
      </c>
      <c r="H98" s="51">
        <f t="shared" si="15"/>
        <v>0</v>
      </c>
    </row>
    <row r="99" spans="2:12" x14ac:dyDescent="0.2">
      <c r="B99" s="103"/>
      <c r="C99" s="36" t="s">
        <v>54</v>
      </c>
      <c r="D99" s="36" t="s">
        <v>128</v>
      </c>
      <c r="E99" s="42">
        <v>400</v>
      </c>
      <c r="F99" s="75"/>
      <c r="G99" s="73">
        <v>0</v>
      </c>
      <c r="H99" s="51">
        <f t="shared" si="15"/>
        <v>0</v>
      </c>
    </row>
    <row r="100" spans="2:12" x14ac:dyDescent="0.2">
      <c r="B100" s="103"/>
      <c r="C100" s="36" t="s">
        <v>129</v>
      </c>
      <c r="D100" s="36" t="s">
        <v>130</v>
      </c>
      <c r="E100" s="42">
        <v>8480</v>
      </c>
      <c r="F100" s="75"/>
      <c r="G100" s="73">
        <v>0</v>
      </c>
      <c r="H100" s="51">
        <f t="shared" ref="H100:H103" si="16">(((G100*0.75)*E100)+((G100*0.25)*F100))*$F$106</f>
        <v>0</v>
      </c>
    </row>
    <row r="101" spans="2:12" x14ac:dyDescent="0.2">
      <c r="B101" s="103"/>
      <c r="C101" s="36" t="s">
        <v>131</v>
      </c>
      <c r="D101" s="36" t="s">
        <v>130</v>
      </c>
      <c r="E101" s="42">
        <v>8640</v>
      </c>
      <c r="F101" s="75"/>
      <c r="G101" s="73">
        <v>0</v>
      </c>
      <c r="H101" s="51">
        <f t="shared" si="16"/>
        <v>0</v>
      </c>
    </row>
    <row r="102" spans="2:12" x14ac:dyDescent="0.2">
      <c r="B102" s="103"/>
      <c r="C102" s="36" t="s">
        <v>132</v>
      </c>
      <c r="D102" s="36" t="s">
        <v>130</v>
      </c>
      <c r="E102" s="42">
        <v>8800</v>
      </c>
      <c r="F102" s="75"/>
      <c r="G102" s="73">
        <v>0</v>
      </c>
      <c r="H102" s="51">
        <f t="shared" si="16"/>
        <v>0</v>
      </c>
    </row>
    <row r="103" spans="2:12" x14ac:dyDescent="0.2">
      <c r="B103" s="103"/>
      <c r="C103" s="36" t="s">
        <v>133</v>
      </c>
      <c r="D103" s="36" t="s">
        <v>130</v>
      </c>
      <c r="E103" s="42">
        <v>8320</v>
      </c>
      <c r="F103" s="75"/>
      <c r="G103" s="73">
        <v>0</v>
      </c>
      <c r="H103" s="51">
        <f t="shared" si="16"/>
        <v>0</v>
      </c>
    </row>
    <row r="105" spans="2:12" x14ac:dyDescent="0.2">
      <c r="C105" s="12" t="s">
        <v>134</v>
      </c>
      <c r="D105" s="2" t="s">
        <v>49</v>
      </c>
      <c r="F105" s="2">
        <v>2</v>
      </c>
    </row>
    <row r="106" spans="2:12" x14ac:dyDescent="0.2">
      <c r="C106" s="12" t="s">
        <v>185</v>
      </c>
      <c r="D106" s="2" t="s">
        <v>49</v>
      </c>
      <c r="F106" s="2">
        <v>3</v>
      </c>
      <c r="I106" s="9"/>
    </row>
    <row r="107" spans="2:12" x14ac:dyDescent="0.2">
      <c r="F107" s="2"/>
      <c r="J107" s="14"/>
      <c r="K107" s="14"/>
      <c r="L107" s="14"/>
    </row>
    <row r="108" spans="2:12" x14ac:dyDescent="0.2">
      <c r="F108" s="2"/>
      <c r="L108" s="38"/>
    </row>
    <row r="109" spans="2:12" x14ac:dyDescent="0.2">
      <c r="L109" s="38"/>
    </row>
    <row r="110" spans="2:12" x14ac:dyDescent="0.2">
      <c r="L110" s="38"/>
    </row>
    <row r="111" spans="2:12" x14ac:dyDescent="0.2">
      <c r="G111" s="3"/>
      <c r="H111" s="12"/>
      <c r="L111" s="38"/>
    </row>
    <row r="112" spans="2:12" x14ac:dyDescent="0.2">
      <c r="H112" s="12"/>
      <c r="L112" s="38"/>
    </row>
    <row r="113" spans="10:12" x14ac:dyDescent="0.2">
      <c r="J113" s="3"/>
      <c r="K113" s="3"/>
      <c r="L113" s="38"/>
    </row>
    <row r="114" spans="10:12" x14ac:dyDescent="0.2">
      <c r="J114" s="3"/>
      <c r="K114" s="3"/>
      <c r="L114" s="38"/>
    </row>
    <row r="139" spans="13:16" x14ac:dyDescent="0.2">
      <c r="M139" s="4" t="s">
        <v>14</v>
      </c>
      <c r="N139" s="5"/>
      <c r="O139" s="6"/>
      <c r="P139" s="7"/>
    </row>
    <row r="140" spans="13:16" x14ac:dyDescent="0.2">
      <c r="M140" s="8" t="s">
        <v>3</v>
      </c>
      <c r="N140" s="1"/>
      <c r="O140" s="107">
        <f>SUM(H13:H103)+SUM(L108:L114)+L42+SUM(L50:L52)</f>
        <v>275810.5</v>
      </c>
      <c r="P140" s="108"/>
    </row>
    <row r="141" spans="13:16" x14ac:dyDescent="0.2">
      <c r="M141" s="8" t="s">
        <v>4</v>
      </c>
      <c r="N141" s="1"/>
      <c r="O141" s="107">
        <f>L36+L43</f>
        <v>251200</v>
      </c>
      <c r="P141" s="108"/>
    </row>
    <row r="142" spans="13:16" x14ac:dyDescent="0.2">
      <c r="M142" s="8" t="s">
        <v>5</v>
      </c>
      <c r="N142" s="1"/>
      <c r="O142" s="107">
        <f>L37+L44</f>
        <v>251200</v>
      </c>
      <c r="P142" s="108"/>
    </row>
    <row r="143" spans="13:16" x14ac:dyDescent="0.2">
      <c r="M143" s="8" t="s">
        <v>6</v>
      </c>
      <c r="N143" s="1"/>
      <c r="O143" s="107">
        <f>L38+L45</f>
        <v>251200</v>
      </c>
      <c r="P143" s="108"/>
    </row>
    <row r="144" spans="13:16" x14ac:dyDescent="0.2">
      <c r="M144" s="10" t="s">
        <v>7</v>
      </c>
      <c r="N144" s="11"/>
      <c r="O144" s="109">
        <f>L46</f>
        <v>1200</v>
      </c>
      <c r="P144" s="110"/>
    </row>
  </sheetData>
  <sortState xmlns:xlrd2="http://schemas.microsoft.com/office/spreadsheetml/2017/richdata2" ref="J13:N33">
    <sortCondition ref="J13:J33"/>
  </sortState>
  <mergeCells count="23">
    <mergeCell ref="C1:H1"/>
    <mergeCell ref="C2:H2"/>
    <mergeCell ref="O140:P140"/>
    <mergeCell ref="O141:P141"/>
    <mergeCell ref="O142:P142"/>
    <mergeCell ref="F7:H7"/>
    <mergeCell ref="F8:H8"/>
    <mergeCell ref="L49:M49"/>
    <mergeCell ref="L41:M41"/>
    <mergeCell ref="L35:M35"/>
    <mergeCell ref="O143:P143"/>
    <mergeCell ref="O144:P144"/>
    <mergeCell ref="B54:B66"/>
    <mergeCell ref="B67:B79"/>
    <mergeCell ref="B80:B91"/>
    <mergeCell ref="B92:B103"/>
    <mergeCell ref="L54:M54"/>
    <mergeCell ref="J66:K66"/>
    <mergeCell ref="B13:B17"/>
    <mergeCell ref="B18:B22"/>
    <mergeCell ref="B23:B31"/>
    <mergeCell ref="B32:B40"/>
    <mergeCell ref="B41:B5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8ABB-2E38-4434-90E3-783664546495}">
  <sheetPr codeName="Sheet2"/>
  <dimension ref="B2:O45"/>
  <sheetViews>
    <sheetView topLeftCell="A3" workbookViewId="0">
      <selection activeCell="M22" sqref="M22"/>
    </sheetView>
  </sheetViews>
  <sheetFormatPr defaultColWidth="9.140625" defaultRowHeight="12" x14ac:dyDescent="0.2"/>
  <cols>
    <col min="1" max="1" width="3.28515625" style="2" customWidth="1"/>
    <col min="2" max="2" width="17.7109375" style="2" bestFit="1" customWidth="1"/>
    <col min="3" max="3" width="4.5703125" style="2" bestFit="1" customWidth="1"/>
    <col min="4" max="4" width="7.5703125" style="2" customWidth="1"/>
    <col min="5" max="5" width="10.28515625" style="2" bestFit="1" customWidth="1"/>
    <col min="6" max="6" width="2.7109375" style="2" customWidth="1"/>
    <col min="7" max="7" width="7.7109375" style="2" bestFit="1" customWidth="1"/>
    <col min="8" max="8" width="4.5703125" style="2" bestFit="1" customWidth="1"/>
    <col min="9" max="9" width="6.5703125" style="2" bestFit="1" customWidth="1"/>
    <col min="10" max="10" width="10.28515625" style="2" bestFit="1" customWidth="1"/>
    <col min="11" max="11" width="7" style="2" bestFit="1" customWidth="1"/>
    <col min="12" max="12" width="11.5703125" style="2" bestFit="1" customWidth="1"/>
    <col min="13" max="14" width="11.140625" style="2" bestFit="1" customWidth="1"/>
    <col min="15" max="15" width="6.140625" style="2" bestFit="1" customWidth="1"/>
    <col min="16" max="16384" width="9.140625" style="2"/>
  </cols>
  <sheetData>
    <row r="2" spans="2:15" x14ac:dyDescent="0.2">
      <c r="B2" s="1" t="s">
        <v>34</v>
      </c>
      <c r="C2" s="1"/>
      <c r="D2" s="1"/>
      <c r="E2" s="1"/>
      <c r="G2" s="1" t="s">
        <v>42</v>
      </c>
      <c r="L2" s="1" t="s">
        <v>43</v>
      </c>
      <c r="N2" s="2" t="s">
        <v>46</v>
      </c>
    </row>
    <row r="3" spans="2:15" x14ac:dyDescent="0.2">
      <c r="B3" s="13" t="s">
        <v>16</v>
      </c>
      <c r="C3" s="14" t="s">
        <v>15</v>
      </c>
      <c r="D3" s="14" t="s">
        <v>0</v>
      </c>
      <c r="E3" s="14" t="s">
        <v>35</v>
      </c>
      <c r="F3" s="3"/>
      <c r="G3" s="15" t="s">
        <v>16</v>
      </c>
      <c r="H3" s="14" t="s">
        <v>15</v>
      </c>
      <c r="I3" s="14" t="s">
        <v>0</v>
      </c>
      <c r="J3" s="14" t="s">
        <v>35</v>
      </c>
      <c r="L3" s="2" t="s">
        <v>1</v>
      </c>
      <c r="M3" s="2">
        <v>1</v>
      </c>
      <c r="N3" s="12">
        <f>250000*$M$3</f>
        <v>250000</v>
      </c>
      <c r="O3" s="2" t="s">
        <v>4</v>
      </c>
    </row>
    <row r="4" spans="2:15" x14ac:dyDescent="0.2">
      <c r="B4" s="22" t="s">
        <v>17</v>
      </c>
      <c r="C4" s="22">
        <v>1</v>
      </c>
      <c r="D4" s="25">
        <v>0</v>
      </c>
      <c r="E4" s="25">
        <f>(D4/1000)*400000</f>
        <v>0</v>
      </c>
      <c r="G4" s="17" t="s">
        <v>9</v>
      </c>
      <c r="H4" s="17">
        <v>3</v>
      </c>
      <c r="I4" s="27">
        <v>0</v>
      </c>
      <c r="J4" s="27">
        <f>I4*50000</f>
        <v>0</v>
      </c>
      <c r="N4" s="12">
        <f>250000*$M$3</f>
        <v>250000</v>
      </c>
      <c r="O4" s="2" t="s">
        <v>5</v>
      </c>
    </row>
    <row r="5" spans="2:15" x14ac:dyDescent="0.2">
      <c r="B5" s="22" t="s">
        <v>18</v>
      </c>
      <c r="C5" s="22">
        <v>1</v>
      </c>
      <c r="D5" s="25">
        <v>0</v>
      </c>
      <c r="E5" s="25">
        <f>((D5/1000)*400000)*2</f>
        <v>0</v>
      </c>
      <c r="G5" s="18" t="s">
        <v>10</v>
      </c>
      <c r="H5" s="18">
        <v>4</v>
      </c>
      <c r="I5" s="28"/>
      <c r="J5" s="28">
        <f>I5*100000</f>
        <v>0</v>
      </c>
      <c r="N5" s="12">
        <f>250000*$M$3</f>
        <v>250000</v>
      </c>
      <c r="O5" s="2" t="s">
        <v>6</v>
      </c>
    </row>
    <row r="6" spans="2:15" x14ac:dyDescent="0.2">
      <c r="B6" s="16" t="s">
        <v>2</v>
      </c>
      <c r="C6" s="16">
        <v>2</v>
      </c>
      <c r="D6" s="26">
        <v>0</v>
      </c>
      <c r="E6" s="26">
        <f>(D6/1000)*500000</f>
        <v>0</v>
      </c>
      <c r="G6" s="19" t="s">
        <v>23</v>
      </c>
      <c r="H6" s="19">
        <v>5</v>
      </c>
      <c r="I6" s="29"/>
      <c r="J6" s="29">
        <f>I6*200000</f>
        <v>0</v>
      </c>
    </row>
    <row r="7" spans="2:15" x14ac:dyDescent="0.2">
      <c r="B7" s="16" t="s">
        <v>19</v>
      </c>
      <c r="C7" s="16">
        <v>2</v>
      </c>
      <c r="D7" s="26">
        <v>0</v>
      </c>
      <c r="E7" s="26">
        <f>((D7/1000)*500000)*2</f>
        <v>0</v>
      </c>
      <c r="G7" s="20" t="s">
        <v>25</v>
      </c>
      <c r="H7" s="20">
        <v>6</v>
      </c>
      <c r="I7" s="30"/>
      <c r="J7" s="30">
        <f>I7*400000</f>
        <v>0</v>
      </c>
      <c r="L7" s="1" t="s">
        <v>44</v>
      </c>
    </row>
    <row r="8" spans="2:15" x14ac:dyDescent="0.2">
      <c r="B8" s="17" t="s">
        <v>9</v>
      </c>
      <c r="C8" s="17">
        <v>3</v>
      </c>
      <c r="D8" s="27">
        <v>0</v>
      </c>
      <c r="E8" s="27">
        <f>(D8/1000)*750000</f>
        <v>0</v>
      </c>
      <c r="G8" s="21" t="s">
        <v>11</v>
      </c>
      <c r="H8" s="21">
        <v>7</v>
      </c>
      <c r="I8" s="31"/>
      <c r="J8" s="31">
        <f>I8*500000</f>
        <v>0</v>
      </c>
      <c r="L8" s="2" t="s">
        <v>47</v>
      </c>
      <c r="M8" s="2" t="s">
        <v>45</v>
      </c>
      <c r="N8" s="2" t="s">
        <v>46</v>
      </c>
    </row>
    <row r="9" spans="2:15" x14ac:dyDescent="0.2">
      <c r="B9" s="17" t="s">
        <v>20</v>
      </c>
      <c r="C9" s="17">
        <v>3</v>
      </c>
      <c r="D9" s="27">
        <v>0</v>
      </c>
      <c r="E9" s="27">
        <f>((D9/1000)*750000)*2</f>
        <v>0</v>
      </c>
      <c r="G9" s="22" t="s">
        <v>17</v>
      </c>
      <c r="H9" s="23" t="s">
        <v>27</v>
      </c>
      <c r="I9" s="25"/>
      <c r="J9" s="25">
        <f>I9*600000</f>
        <v>0</v>
      </c>
      <c r="L9" s="2" t="s">
        <v>3</v>
      </c>
      <c r="M9" s="12">
        <v>1000</v>
      </c>
      <c r="N9" s="12">
        <f>1.25*M9</f>
        <v>1250</v>
      </c>
      <c r="O9" s="2" t="s">
        <v>3</v>
      </c>
    </row>
    <row r="10" spans="2:15" x14ac:dyDescent="0.2">
      <c r="B10" s="18" t="s">
        <v>10</v>
      </c>
      <c r="C10" s="18">
        <v>4</v>
      </c>
      <c r="D10" s="28">
        <f>1586+1+11+15</f>
        <v>1613</v>
      </c>
      <c r="E10" s="28">
        <f>(D10/1000)*1000000</f>
        <v>1613000</v>
      </c>
      <c r="G10" s="16" t="s">
        <v>2</v>
      </c>
      <c r="H10" s="24" t="s">
        <v>28</v>
      </c>
      <c r="I10" s="26"/>
      <c r="J10" s="26">
        <f>I10*700000</f>
        <v>0</v>
      </c>
      <c r="L10" s="2" t="s">
        <v>4</v>
      </c>
      <c r="M10" s="12">
        <v>1000</v>
      </c>
      <c r="N10" s="12">
        <f t="shared" ref="N10:N13" si="0">1.25*M10</f>
        <v>1250</v>
      </c>
      <c r="O10" s="2" t="s">
        <v>4</v>
      </c>
    </row>
    <row r="11" spans="2:15" x14ac:dyDescent="0.2">
      <c r="B11" s="18" t="s">
        <v>21</v>
      </c>
      <c r="C11" s="18">
        <v>4</v>
      </c>
      <c r="D11" s="28">
        <v>1</v>
      </c>
      <c r="E11" s="28">
        <f>((D11/1000)*1000000)*2</f>
        <v>2000</v>
      </c>
      <c r="L11" s="2" t="s">
        <v>5</v>
      </c>
      <c r="M11" s="12">
        <v>1000</v>
      </c>
      <c r="N11" s="12">
        <f t="shared" si="0"/>
        <v>1250</v>
      </c>
      <c r="O11" s="2" t="s">
        <v>5</v>
      </c>
    </row>
    <row r="12" spans="2:15" x14ac:dyDescent="0.2">
      <c r="B12" s="19" t="s">
        <v>23</v>
      </c>
      <c r="C12" s="19">
        <v>5</v>
      </c>
      <c r="D12" s="29">
        <v>0</v>
      </c>
      <c r="E12" s="29">
        <f>(D12/1000)*1200000</f>
        <v>0</v>
      </c>
      <c r="L12" s="2" t="s">
        <v>6</v>
      </c>
      <c r="M12" s="12">
        <v>1000</v>
      </c>
      <c r="N12" s="12">
        <f t="shared" si="0"/>
        <v>1250</v>
      </c>
      <c r="O12" s="2" t="s">
        <v>6</v>
      </c>
    </row>
    <row r="13" spans="2:15" x14ac:dyDescent="0.2">
      <c r="B13" s="19" t="s">
        <v>24</v>
      </c>
      <c r="C13" s="19">
        <v>5</v>
      </c>
      <c r="D13" s="29">
        <v>0</v>
      </c>
      <c r="E13" s="29">
        <f>((D13/1000)*1200000)*2</f>
        <v>0</v>
      </c>
      <c r="L13" s="2" t="s">
        <v>7</v>
      </c>
      <c r="M13" s="12">
        <v>1000</v>
      </c>
      <c r="N13" s="12">
        <f t="shared" si="0"/>
        <v>1250</v>
      </c>
      <c r="O13" s="2" t="s">
        <v>7</v>
      </c>
    </row>
    <row r="14" spans="2:15" x14ac:dyDescent="0.2">
      <c r="B14" s="19" t="s">
        <v>29</v>
      </c>
      <c r="C14" s="19">
        <v>5</v>
      </c>
      <c r="D14" s="29">
        <v>0</v>
      </c>
      <c r="E14" s="29">
        <f>((D14/1000)*1200000)*2</f>
        <v>0</v>
      </c>
      <c r="L14" s="2" t="s">
        <v>12</v>
      </c>
      <c r="M14" s="12"/>
      <c r="N14" s="12">
        <f>M14*5000000</f>
        <v>0</v>
      </c>
      <c r="O14" s="2" t="s">
        <v>3</v>
      </c>
    </row>
    <row r="15" spans="2:15" x14ac:dyDescent="0.2">
      <c r="B15" s="19" t="s">
        <v>36</v>
      </c>
      <c r="C15" s="19">
        <v>5</v>
      </c>
      <c r="D15" s="29">
        <v>0</v>
      </c>
      <c r="E15" s="29">
        <f>((D15/1000)*1200000)*14</f>
        <v>0</v>
      </c>
      <c r="L15" s="2" t="s">
        <v>8</v>
      </c>
      <c r="M15" s="12"/>
      <c r="N15" s="12">
        <f>M15*2000</f>
        <v>0</v>
      </c>
      <c r="O15" s="2" t="s">
        <v>3</v>
      </c>
    </row>
    <row r="16" spans="2:15" x14ac:dyDescent="0.2">
      <c r="B16" s="19" t="s">
        <v>37</v>
      </c>
      <c r="C16" s="19">
        <v>5</v>
      </c>
      <c r="D16" s="29">
        <v>0</v>
      </c>
      <c r="E16" s="29">
        <f>((D16/1000)*1200000)*28</f>
        <v>0</v>
      </c>
      <c r="L16" s="2" t="s">
        <v>13</v>
      </c>
      <c r="M16" s="12"/>
      <c r="N16" s="12">
        <f>M16*2000</f>
        <v>0</v>
      </c>
      <c r="O16" s="2" t="s">
        <v>3</v>
      </c>
    </row>
    <row r="17" spans="2:10" x14ac:dyDescent="0.2">
      <c r="B17" s="20" t="s">
        <v>25</v>
      </c>
      <c r="C17" s="20">
        <v>6</v>
      </c>
      <c r="D17" s="30">
        <v>0</v>
      </c>
      <c r="E17" s="30">
        <f>((D17/1000)*1500000)*2</f>
        <v>0</v>
      </c>
      <c r="G17" s="4" t="s">
        <v>14</v>
      </c>
      <c r="H17" s="5"/>
      <c r="I17" s="6"/>
      <c r="J17" s="7"/>
    </row>
    <row r="18" spans="2:10" x14ac:dyDescent="0.2">
      <c r="B18" s="20" t="s">
        <v>26</v>
      </c>
      <c r="C18" s="20">
        <v>6</v>
      </c>
      <c r="D18" s="30">
        <v>0</v>
      </c>
      <c r="E18" s="30">
        <f>((D18/1000)*1500000)*2</f>
        <v>0</v>
      </c>
      <c r="G18" s="8" t="s">
        <v>3</v>
      </c>
      <c r="H18" s="1"/>
      <c r="I18" s="125">
        <f>SUM(E4:E32)+SUM(J4:J10)+N9+SUM(N14:N16)</f>
        <v>1616250</v>
      </c>
      <c r="J18" s="126"/>
    </row>
    <row r="19" spans="2:10" x14ac:dyDescent="0.2">
      <c r="B19" s="20" t="s">
        <v>30</v>
      </c>
      <c r="C19" s="20">
        <v>6</v>
      </c>
      <c r="D19" s="30">
        <v>0</v>
      </c>
      <c r="E19" s="30">
        <f>((D19/1000)*1500000)*2</f>
        <v>0</v>
      </c>
      <c r="G19" s="8" t="s">
        <v>4</v>
      </c>
      <c r="H19" s="1"/>
      <c r="I19" s="125">
        <f>N3+N10</f>
        <v>251250</v>
      </c>
      <c r="J19" s="126"/>
    </row>
    <row r="20" spans="2:10" x14ac:dyDescent="0.2">
      <c r="B20" s="20" t="s">
        <v>38</v>
      </c>
      <c r="C20" s="20">
        <v>6</v>
      </c>
      <c r="D20" s="30">
        <v>0</v>
      </c>
      <c r="E20" s="30">
        <f>((D20/1000)*1500000)*9</f>
        <v>0</v>
      </c>
      <c r="G20" s="8" t="s">
        <v>5</v>
      </c>
      <c r="H20" s="1"/>
      <c r="I20" s="125">
        <f>N4+N11</f>
        <v>251250</v>
      </c>
      <c r="J20" s="126"/>
    </row>
    <row r="21" spans="2:10" x14ac:dyDescent="0.2">
      <c r="B21" s="20" t="s">
        <v>39</v>
      </c>
      <c r="C21" s="20">
        <v>6</v>
      </c>
      <c r="D21" s="30">
        <v>0</v>
      </c>
      <c r="E21" s="30">
        <f>((D21/1000)*1500000)*18</f>
        <v>0</v>
      </c>
      <c r="G21" s="8" t="s">
        <v>6</v>
      </c>
      <c r="H21" s="1"/>
      <c r="I21" s="125">
        <f>N5+N12</f>
        <v>251250</v>
      </c>
      <c r="J21" s="126"/>
    </row>
    <row r="22" spans="2:10" x14ac:dyDescent="0.2">
      <c r="B22" s="21" t="s">
        <v>11</v>
      </c>
      <c r="C22" s="21">
        <v>7</v>
      </c>
      <c r="D22" s="31">
        <v>0</v>
      </c>
      <c r="E22" s="31">
        <f>((D22/1000)*1700000)*2</f>
        <v>0</v>
      </c>
      <c r="G22" s="10" t="s">
        <v>7</v>
      </c>
      <c r="H22" s="11"/>
      <c r="I22" s="127">
        <f>N13</f>
        <v>1250</v>
      </c>
      <c r="J22" s="128"/>
    </row>
    <row r="23" spans="2:10" x14ac:dyDescent="0.2">
      <c r="B23" s="21" t="s">
        <v>22</v>
      </c>
      <c r="C23" s="21">
        <v>7</v>
      </c>
      <c r="D23" s="31">
        <v>0</v>
      </c>
      <c r="E23" s="31">
        <f>((D23/1000)*1700000)*2</f>
        <v>0</v>
      </c>
    </row>
    <row r="24" spans="2:10" x14ac:dyDescent="0.2">
      <c r="B24" s="21" t="s">
        <v>31</v>
      </c>
      <c r="C24" s="21">
        <v>7</v>
      </c>
      <c r="D24" s="31">
        <v>0</v>
      </c>
      <c r="E24" s="31">
        <f>((D24/1000)*1700000)*2</f>
        <v>0</v>
      </c>
    </row>
    <row r="25" spans="2:10" x14ac:dyDescent="0.2">
      <c r="B25" s="21" t="s">
        <v>40</v>
      </c>
      <c r="C25" s="21">
        <v>7</v>
      </c>
      <c r="D25" s="31">
        <v>0</v>
      </c>
      <c r="E25" s="31">
        <f>((D25/1000)*1500000)*2.5</f>
        <v>0</v>
      </c>
    </row>
    <row r="26" spans="2:10" x14ac:dyDescent="0.2">
      <c r="B26" s="21" t="s">
        <v>41</v>
      </c>
      <c r="C26" s="21">
        <v>7</v>
      </c>
      <c r="D26" s="31">
        <v>0</v>
      </c>
      <c r="E26" s="31">
        <f>((D26/1000)*1500000)*5</f>
        <v>0</v>
      </c>
    </row>
    <row r="27" spans="2:10" x14ac:dyDescent="0.2">
      <c r="B27" s="22" t="s">
        <v>17</v>
      </c>
      <c r="C27" s="23" t="s">
        <v>27</v>
      </c>
      <c r="D27" s="25">
        <v>0</v>
      </c>
      <c r="E27" s="25">
        <f>((D27/1000)*1900000)*2</f>
        <v>0</v>
      </c>
    </row>
    <row r="28" spans="2:10" x14ac:dyDescent="0.2">
      <c r="B28" s="22" t="s">
        <v>18</v>
      </c>
      <c r="C28" s="23" t="s">
        <v>27</v>
      </c>
      <c r="D28" s="25">
        <v>0</v>
      </c>
      <c r="E28" s="25">
        <f>((D28/1000)*1900000)*2</f>
        <v>0</v>
      </c>
    </row>
    <row r="29" spans="2:10" x14ac:dyDescent="0.2">
      <c r="B29" s="22" t="s">
        <v>32</v>
      </c>
      <c r="C29" s="23" t="s">
        <v>27</v>
      </c>
      <c r="D29" s="25">
        <v>0</v>
      </c>
      <c r="E29" s="25">
        <f>((D29/1000)*1900000)*2</f>
        <v>0</v>
      </c>
    </row>
    <row r="30" spans="2:10" x14ac:dyDescent="0.2">
      <c r="B30" s="16" t="s">
        <v>2</v>
      </c>
      <c r="C30" s="24" t="s">
        <v>28</v>
      </c>
      <c r="D30" s="26">
        <v>0</v>
      </c>
      <c r="E30" s="26">
        <f>((D30/1000)*2100000)*2</f>
        <v>0</v>
      </c>
    </row>
    <row r="31" spans="2:10" x14ac:dyDescent="0.2">
      <c r="B31" s="16" t="s">
        <v>19</v>
      </c>
      <c r="C31" s="24" t="s">
        <v>28</v>
      </c>
      <c r="D31" s="26">
        <v>0</v>
      </c>
      <c r="E31" s="26">
        <f>((D31/1000)*2100000)*2</f>
        <v>0</v>
      </c>
    </row>
    <row r="32" spans="2:10" x14ac:dyDescent="0.2">
      <c r="B32" s="16" t="s">
        <v>33</v>
      </c>
      <c r="C32" s="24" t="s">
        <v>28</v>
      </c>
      <c r="D32" s="26">
        <v>0</v>
      </c>
      <c r="E32" s="26">
        <f>((D32/1000)*2100000)*2</f>
        <v>0</v>
      </c>
    </row>
    <row r="33" spans="4:6" x14ac:dyDescent="0.2">
      <c r="D33" s="3"/>
      <c r="E33" s="3"/>
    </row>
    <row r="45" spans="4:6" x14ac:dyDescent="0.2">
      <c r="D45" s="3"/>
      <c r="E45" s="12"/>
      <c r="F45" s="9"/>
    </row>
  </sheetData>
  <mergeCells count="5">
    <mergeCell ref="I18:J18"/>
    <mergeCell ref="I19:J19"/>
    <mergeCell ref="I20:J20"/>
    <mergeCell ref="I21:J21"/>
    <mergeCell ref="I22:J22"/>
  </mergeCells>
  <pageMargins left="0.7" right="0.7" top="0.75" bottom="0.75" header="0.3" footer="0.3"/>
  <pageSetup paperSize="9" orientation="portrait" r:id="rId1"/>
  <ignoredErrors>
    <ignoredError sqref="E5 E9 E1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New</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2024-05-11T21:48:35Z</dcterms:created>
  <dcterms:modified xsi:type="dcterms:W3CDTF">2024-07-31T19:38:08Z</dcterms:modified>
</cp:coreProperties>
</file>