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1093" documentId="8_{F8A83172-2CC1-4651-96D8-07F28E83A98A}" xr6:coauthVersionLast="47" xr6:coauthVersionMax="47" xr10:uidLastSave="{4FF670C5-E269-474A-8A06-C5E36DB9133A}"/>
  <bookViews>
    <workbookView xWindow="-120" yWindow="-120" windowWidth="29040" windowHeight="15720" xr2:uid="{8D0CB110-EF34-4849-85EA-148BF03D3AEB}"/>
  </bookViews>
  <sheets>
    <sheet name="New" sheetId="26" r:id="rId1"/>
    <sheet name="Old" sheetId="2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6" l="1"/>
  <c r="O6" i="26"/>
  <c r="O5" i="26"/>
  <c r="O4" i="26"/>
  <c r="K28" i="26"/>
  <c r="K16" i="26"/>
  <c r="K17" i="26"/>
  <c r="K18" i="26"/>
  <c r="K19" i="26"/>
  <c r="K23" i="26"/>
  <c r="K24" i="26"/>
  <c r="K25" i="26"/>
  <c r="K15" i="26"/>
  <c r="L5" i="26"/>
  <c r="L6" i="26"/>
  <c r="L4" i="26"/>
  <c r="E20" i="25"/>
  <c r="G94" i="26"/>
  <c r="G93" i="26"/>
  <c r="G92" i="26"/>
  <c r="G91" i="26"/>
  <c r="G82" i="26"/>
  <c r="G81" i="26"/>
  <c r="G80" i="26"/>
  <c r="G79" i="26"/>
  <c r="G70" i="26"/>
  <c r="G69" i="26"/>
  <c r="G68" i="26"/>
  <c r="G67" i="26"/>
  <c r="G57" i="26"/>
  <c r="G56" i="26"/>
  <c r="G55" i="26"/>
  <c r="G54" i="26"/>
  <c r="G40" i="26"/>
  <c r="G41" i="26"/>
  <c r="G42" i="26"/>
  <c r="G43" i="26"/>
  <c r="G44" i="26"/>
  <c r="G33" i="26"/>
  <c r="G34" i="26"/>
  <c r="G35" i="26"/>
  <c r="G36" i="26"/>
  <c r="G37" i="26"/>
  <c r="G38" i="26"/>
  <c r="G39" i="26"/>
  <c r="G32" i="26"/>
  <c r="G29" i="26"/>
  <c r="G30" i="26"/>
  <c r="G31" i="26"/>
  <c r="G28" i="26"/>
  <c r="G20" i="26"/>
  <c r="G21" i="26"/>
  <c r="G22" i="26"/>
  <c r="G19" i="26"/>
  <c r="G90" i="26"/>
  <c r="G89" i="26"/>
  <c r="G88" i="26"/>
  <c r="G87" i="26"/>
  <c r="G86" i="26"/>
  <c r="G85" i="26"/>
  <c r="G84" i="26"/>
  <c r="G83" i="26"/>
  <c r="G72" i="26"/>
  <c r="G73" i="26"/>
  <c r="G74" i="26"/>
  <c r="G75" i="26"/>
  <c r="G76" i="26"/>
  <c r="G77" i="26"/>
  <c r="G78" i="26"/>
  <c r="G71" i="26"/>
  <c r="G59" i="26"/>
  <c r="G60" i="26"/>
  <c r="G61" i="26"/>
  <c r="G62" i="26"/>
  <c r="G63" i="26"/>
  <c r="G64" i="26"/>
  <c r="G65" i="26"/>
  <c r="G66" i="26"/>
  <c r="G58" i="26"/>
  <c r="G53" i="26"/>
  <c r="G52" i="26"/>
  <c r="G48" i="26"/>
  <c r="G47" i="26"/>
  <c r="G46" i="26"/>
  <c r="G51" i="26"/>
  <c r="G50" i="26"/>
  <c r="G49" i="26"/>
  <c r="G45" i="26"/>
  <c r="G27" i="26"/>
  <c r="G26" i="26"/>
  <c r="G25" i="26"/>
  <c r="G24" i="26"/>
  <c r="G23" i="26"/>
  <c r="G18" i="26"/>
  <c r="G17" i="26"/>
  <c r="G16" i="26"/>
  <c r="G15" i="26"/>
  <c r="G14" i="26"/>
  <c r="G10" i="26"/>
  <c r="G11" i="26"/>
  <c r="G12" i="26"/>
  <c r="G13" i="26"/>
  <c r="G5" i="26"/>
  <c r="G6" i="26"/>
  <c r="G7" i="26"/>
  <c r="G8" i="26"/>
  <c r="G9" i="26"/>
  <c r="G4" i="26"/>
  <c r="K10" i="26"/>
  <c r="K11" i="26"/>
  <c r="K9" i="26"/>
  <c r="M135" i="26"/>
  <c r="I4" i="25"/>
  <c r="J4" i="25" s="1"/>
  <c r="E8" i="25"/>
  <c r="E7" i="25"/>
  <c r="E6" i="25"/>
  <c r="M13" i="25"/>
  <c r="N13" i="25" s="1"/>
  <c r="I22" i="25" s="1"/>
  <c r="M12" i="25"/>
  <c r="N12" i="25" s="1"/>
  <c r="M11" i="25"/>
  <c r="N11" i="25" s="1"/>
  <c r="M10" i="25"/>
  <c r="N10" i="25" s="1"/>
  <c r="M9" i="25"/>
  <c r="N9" i="25" s="1"/>
  <c r="E11" i="25"/>
  <c r="E10" i="25"/>
  <c r="E25" i="25"/>
  <c r="E22" i="25"/>
  <c r="J8" i="25"/>
  <c r="N3" i="25"/>
  <c r="J7" i="25"/>
  <c r="J6" i="25"/>
  <c r="E17" i="25"/>
  <c r="N15" i="25"/>
  <c r="E4" i="25"/>
  <c r="E13" i="25"/>
  <c r="N16" i="25"/>
  <c r="N5" i="25"/>
  <c r="N4" i="25"/>
  <c r="J10" i="25"/>
  <c r="J9" i="25"/>
  <c r="J5" i="25"/>
  <c r="E26" i="25"/>
  <c r="E21" i="25"/>
  <c r="E16" i="25"/>
  <c r="E15" i="25"/>
  <c r="E32" i="25"/>
  <c r="E31" i="25"/>
  <c r="E30" i="25"/>
  <c r="E29" i="25"/>
  <c r="E28" i="25"/>
  <c r="E27" i="25"/>
  <c r="E24" i="25"/>
  <c r="E23" i="25"/>
  <c r="E19" i="25"/>
  <c r="E18" i="25"/>
  <c r="E14" i="25"/>
  <c r="E12" i="25"/>
  <c r="N14" i="25"/>
  <c r="E9" i="25"/>
  <c r="E5" i="25"/>
  <c r="O3" i="26" l="1"/>
  <c r="M132" i="26"/>
  <c r="M134" i="26"/>
  <c r="M133" i="26"/>
  <c r="M131" i="26"/>
  <c r="I20" i="25"/>
  <c r="I21" i="25"/>
  <c r="I19" i="25"/>
  <c r="I18" i="25"/>
</calcChain>
</file>

<file path=xl/sharedStrings.xml><?xml version="1.0" encoding="utf-8"?>
<sst xmlns="http://schemas.openxmlformats.org/spreadsheetml/2006/main" count="347" uniqueCount="150">
  <si>
    <t>Number</t>
  </si>
  <si>
    <t>Wall Level</t>
  </si>
  <si>
    <t>Green</t>
  </si>
  <si>
    <t>Silver</t>
  </si>
  <si>
    <t>Lumber</t>
  </si>
  <si>
    <t>Iron</t>
  </si>
  <si>
    <t>Stone</t>
  </si>
  <si>
    <t>Food</t>
  </si>
  <si>
    <t>Gold</t>
  </si>
  <si>
    <t>Blue</t>
  </si>
  <si>
    <t>Purple</t>
  </si>
  <si>
    <t>Yellow</t>
  </si>
  <si>
    <t>Portals</t>
  </si>
  <si>
    <t>Tar</t>
  </si>
  <si>
    <t>TOTALS</t>
  </si>
  <si>
    <t>Level</t>
  </si>
  <si>
    <t>Colour</t>
  </si>
  <si>
    <t>Grey</t>
  </si>
  <si>
    <t>Grey (Mounted)</t>
  </si>
  <si>
    <t>Green (Mounted)</t>
  </si>
  <si>
    <t>Blue (Mounted)</t>
  </si>
  <si>
    <t>Purple (Mounted)</t>
  </si>
  <si>
    <t>Yellow (Mounted)</t>
  </si>
  <si>
    <t>Orange</t>
  </si>
  <si>
    <t>Orange (Mounted)</t>
  </si>
  <si>
    <t>Red</t>
  </si>
  <si>
    <t>Red (Mounted)</t>
  </si>
  <si>
    <t>II.1</t>
  </si>
  <si>
    <t>II.2</t>
  </si>
  <si>
    <t>Orange (Flying)</t>
  </si>
  <si>
    <t>Red (Flying)</t>
  </si>
  <si>
    <t>Yellow (Flying)</t>
  </si>
  <si>
    <t>Grey (Flying)</t>
  </si>
  <si>
    <t>Green (Flying)</t>
  </si>
  <si>
    <t>Troops</t>
  </si>
  <si>
    <t>Comp (Silver)</t>
  </si>
  <si>
    <t>Orange (Merc)</t>
  </si>
  <si>
    <t>Orange (Mounted Merc)</t>
  </si>
  <si>
    <t>Red (Merc)</t>
  </si>
  <si>
    <t>Red (Mounted Merc)</t>
  </si>
  <si>
    <t>Yellow (Merc)</t>
  </si>
  <si>
    <t>Yellow (Mounted Merc)</t>
  </si>
  <si>
    <t>Monsters</t>
  </si>
  <si>
    <t>Walls</t>
  </si>
  <si>
    <t>Resources</t>
  </si>
  <si>
    <t>Stolen</t>
  </si>
  <si>
    <t>Comp</t>
  </si>
  <si>
    <t>Resource</t>
  </si>
  <si>
    <t>SPU</t>
  </si>
  <si>
    <t>Mutliplier</t>
  </si>
  <si>
    <t>Category</t>
  </si>
  <si>
    <t>Type</t>
  </si>
  <si>
    <t>Guardsmen</t>
  </si>
  <si>
    <t>Specialist</t>
  </si>
  <si>
    <t>Engineer corps</t>
  </si>
  <si>
    <t>Archer I, Spearman I</t>
  </si>
  <si>
    <t>Swordsman I</t>
  </si>
  <si>
    <t>Scout I</t>
  </si>
  <si>
    <t>Catapult I</t>
  </si>
  <si>
    <t>Losses</t>
  </si>
  <si>
    <t>Archer II, Spearman II</t>
  </si>
  <si>
    <t>Rider I</t>
  </si>
  <si>
    <t>Rider II</t>
  </si>
  <si>
    <t>Swordsman II</t>
  </si>
  <si>
    <t>Scout II</t>
  </si>
  <si>
    <t>Catapult II</t>
  </si>
  <si>
    <t>Archer III, Spearman III</t>
  </si>
  <si>
    <t>Rider III</t>
  </si>
  <si>
    <t>Swordsman III</t>
  </si>
  <si>
    <t>Scout III</t>
  </si>
  <si>
    <t>Catapult III</t>
  </si>
  <si>
    <t>Archer IV, Spearman IV</t>
  </si>
  <si>
    <t>Rider IV</t>
  </si>
  <si>
    <t>Swordsman IV</t>
  </si>
  <si>
    <t>Scout IV</t>
  </si>
  <si>
    <t>Catapult IV</t>
  </si>
  <si>
    <t>Barrack Troops</t>
  </si>
  <si>
    <t>Archer V, Spearman V</t>
  </si>
  <si>
    <t>Rider V</t>
  </si>
  <si>
    <t>Swordsman V</t>
  </si>
  <si>
    <t>Scout V</t>
  </si>
  <si>
    <t>Catapult V</t>
  </si>
  <si>
    <t>Battle Griffin V</t>
  </si>
  <si>
    <t>Lion Rider V</t>
  </si>
  <si>
    <t>Vulture V</t>
  </si>
  <si>
    <t>Level 1</t>
  </si>
  <si>
    <t>Level 2</t>
  </si>
  <si>
    <t>Level 4</t>
  </si>
  <si>
    <t>Level 3</t>
  </si>
  <si>
    <t>Level 6</t>
  </si>
  <si>
    <t>Level 5</t>
  </si>
  <si>
    <t>Level 8</t>
  </si>
  <si>
    <t>Level 7</t>
  </si>
  <si>
    <t>Level 9</t>
  </si>
  <si>
    <t>Deadshot V</t>
  </si>
  <si>
    <t>Battle Griffin VI</t>
  </si>
  <si>
    <t>Swift Jaeger VI</t>
  </si>
  <si>
    <t>Heavy Arbalester VI, Heavy Halberdier VI</t>
  </si>
  <si>
    <t>Mounted Knight VI</t>
  </si>
  <si>
    <t>Deadshot VI</t>
  </si>
  <si>
    <t>Lion Rider VI</t>
  </si>
  <si>
    <t>Vulture VI</t>
  </si>
  <si>
    <t>Heavy Knight VI</t>
  </si>
  <si>
    <t>Battle Griffin VII</t>
  </si>
  <si>
    <t>Heavy Arbalester VII, Heavy Halberdier VII</t>
  </si>
  <si>
    <t>Mounted Knight VII</t>
  </si>
  <si>
    <t>Deadshot VII</t>
  </si>
  <si>
    <t>Lion Rider VII</t>
  </si>
  <si>
    <t>Vulture VII</t>
  </si>
  <si>
    <t>Heavy Knight VII</t>
  </si>
  <si>
    <t>Swift Jaeger VII</t>
  </si>
  <si>
    <t>Ballistae VI</t>
  </si>
  <si>
    <t>Ballistae VII</t>
  </si>
  <si>
    <t>Purifier I, Punisher I</t>
  </si>
  <si>
    <t>Smiter I</t>
  </si>
  <si>
    <t>Corax I</t>
  </si>
  <si>
    <t>Legitimist I, Duelist I</t>
  </si>
  <si>
    <t>Whitemane I</t>
  </si>
  <si>
    <t>Royal Lion I</t>
  </si>
  <si>
    <t>Panoptic I</t>
  </si>
  <si>
    <t>Josephine I</t>
  </si>
  <si>
    <t>Purifier II, Punisher II</t>
  </si>
  <si>
    <t>Smiter II</t>
  </si>
  <si>
    <t>Corax II</t>
  </si>
  <si>
    <t>Legitimist II, Duelist II</t>
  </si>
  <si>
    <t>Whitemane II</t>
  </si>
  <si>
    <t>Royal Lion II</t>
  </si>
  <si>
    <t>Panoptic II</t>
  </si>
  <si>
    <t>Josephine II</t>
  </si>
  <si>
    <t>Dragon</t>
  </si>
  <si>
    <t>-</t>
  </si>
  <si>
    <t>Elemental</t>
  </si>
  <si>
    <t>Giant</t>
  </si>
  <si>
    <t>Beast</t>
  </si>
  <si>
    <t>Default</t>
  </si>
  <si>
    <t>Mercenaries</t>
  </si>
  <si>
    <t>Level VI</t>
  </si>
  <si>
    <t>Level VII</t>
  </si>
  <si>
    <t>Level V</t>
  </si>
  <si>
    <t>Other</t>
  </si>
  <si>
    <t>Destroyed</t>
  </si>
  <si>
    <t>Compensation</t>
  </si>
  <si>
    <t>Taken</t>
  </si>
  <si>
    <t>Clan Buildings</t>
  </si>
  <si>
    <t># Attacked</t>
  </si>
  <si>
    <t>Player Might</t>
  </si>
  <si>
    <t>Damage Caused?</t>
  </si>
  <si>
    <t>Totals</t>
  </si>
  <si>
    <t>NO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</si>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</sst>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u/>
      <sz val="9"/>
      <color theme="1"/>
      <name val="Aptos Narrow"/>
      <family val="2"/>
      <scheme val="minor"/>
    </font>
    <font>
      <u/>
      <sz val="9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421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4A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3" fontId="1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3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3" fontId="2" fillId="8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2" fillId="7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2" fillId="6" borderId="0" xfId="0" applyNumberFormat="1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0" borderId="0" xfId="0" quotePrefix="1" applyFont="1" applyFill="1"/>
    <xf numFmtId="3" fontId="2" fillId="0" borderId="0" xfId="0" applyNumberFormat="1" applyFont="1" applyAlignment="1">
      <alignment horizontal="right"/>
    </xf>
    <xf numFmtId="0" fontId="2" fillId="13" borderId="0" xfId="0" applyFont="1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center" vertical="center" textRotation="90"/>
    </xf>
    <xf numFmtId="0" fontId="1" fillId="11" borderId="0" xfId="0" applyFont="1" applyFill="1" applyAlignment="1">
      <alignment horizontal="center" vertical="center" textRotation="90"/>
    </xf>
    <xf numFmtId="0" fontId="1" fillId="8" borderId="0" xfId="0" applyFont="1" applyFill="1" applyAlignment="1">
      <alignment horizontal="center" vertical="center" textRotation="90"/>
    </xf>
    <xf numFmtId="0" fontId="1" fillId="12" borderId="0" xfId="0" applyFont="1" applyFill="1" applyAlignment="1">
      <alignment horizontal="center" vertical="center" textRotation="90"/>
    </xf>
    <xf numFmtId="0" fontId="1" fillId="10" borderId="0" xfId="0" applyFont="1" applyFill="1" applyAlignment="1">
      <alignment horizontal="center" vertical="center" textRotation="90"/>
    </xf>
    <xf numFmtId="0" fontId="1" fillId="9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 textRotation="90"/>
    </xf>
    <xf numFmtId="3" fontId="1" fillId="0" borderId="0" xfId="0" applyNumberFormat="1" applyFont="1"/>
    <xf numFmtId="3" fontId="1" fillId="0" borderId="5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/>
    <xf numFmtId="3" fontId="2" fillId="0" borderId="10" xfId="0" applyNumberFormat="1" applyFont="1" applyBorder="1"/>
    <xf numFmtId="0" fontId="2" fillId="0" borderId="11" xfId="0" applyFont="1" applyBorder="1"/>
    <xf numFmtId="3" fontId="2" fillId="0" borderId="12" xfId="0" applyNumberFormat="1" applyFont="1" applyBorder="1"/>
    <xf numFmtId="0" fontId="1" fillId="0" borderId="13" xfId="0" applyFont="1" applyBorder="1"/>
    <xf numFmtId="0" fontId="2" fillId="0" borderId="14" xfId="0" applyFont="1" applyBorder="1"/>
    <xf numFmtId="3" fontId="2" fillId="8" borderId="4" xfId="0" applyNumberFormat="1" applyFont="1" applyFill="1" applyBorder="1" applyAlignment="1">
      <alignment horizontal="right"/>
    </xf>
    <xf numFmtId="3" fontId="2" fillId="12" borderId="4" xfId="0" applyNumberFormat="1" applyFont="1" applyFill="1" applyBorder="1" applyAlignment="1">
      <alignment horizontal="right"/>
    </xf>
    <xf numFmtId="3" fontId="2" fillId="10" borderId="4" xfId="0" applyNumberFormat="1" applyFont="1" applyFill="1" applyBorder="1" applyAlignment="1">
      <alignment horizontal="right"/>
    </xf>
    <xf numFmtId="3" fontId="2" fillId="9" borderId="4" xfId="0" applyNumberFormat="1" applyFont="1" applyFill="1" applyBorder="1" applyAlignment="1">
      <alignment horizontal="right"/>
    </xf>
    <xf numFmtId="3" fontId="2" fillId="5" borderId="4" xfId="0" applyNumberFormat="1" applyFont="1" applyFill="1" applyBorder="1" applyAlignment="1">
      <alignment horizontal="right"/>
    </xf>
    <xf numFmtId="3" fontId="2" fillId="6" borderId="4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right"/>
    </xf>
    <xf numFmtId="3" fontId="2" fillId="8" borderId="4" xfId="0" applyNumberFormat="1" applyFont="1" applyFill="1" applyBorder="1"/>
    <xf numFmtId="3" fontId="2" fillId="12" borderId="4" xfId="0" applyNumberFormat="1" applyFont="1" applyFill="1" applyBorder="1"/>
    <xf numFmtId="3" fontId="2" fillId="10" borderId="4" xfId="0" applyNumberFormat="1" applyFont="1" applyFill="1" applyBorder="1"/>
    <xf numFmtId="3" fontId="2" fillId="9" borderId="4" xfId="0" applyNumberFormat="1" applyFont="1" applyFill="1" applyBorder="1"/>
    <xf numFmtId="3" fontId="2" fillId="5" borderId="4" xfId="0" applyNumberFormat="1" applyFont="1" applyFill="1" applyBorder="1"/>
    <xf numFmtId="3" fontId="2" fillId="6" borderId="4" xfId="0" applyNumberFormat="1" applyFont="1" applyFill="1" applyBorder="1"/>
    <xf numFmtId="3" fontId="2" fillId="11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4A13"/>
      <color rgb="FF9B4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0464-BABB-46A3-BE9D-DC13D510AAB3}">
  <sheetPr codeName="Sheet1"/>
  <dimension ref="B1:O135"/>
  <sheetViews>
    <sheetView tabSelected="1" workbookViewId="0">
      <selection activeCell="O21" sqref="O21"/>
    </sheetView>
  </sheetViews>
  <sheetFormatPr defaultColWidth="9.140625" defaultRowHeight="12" x14ac:dyDescent="0.2"/>
  <cols>
    <col min="1" max="1" width="2" style="2" customWidth="1"/>
    <col min="2" max="2" width="3.140625" style="2" bestFit="1" customWidth="1"/>
    <col min="3" max="3" width="11.5703125" style="2" bestFit="1" customWidth="1"/>
    <col min="4" max="4" width="30.140625" style="2" bestFit="1" customWidth="1"/>
    <col min="5" max="5" width="5.7109375" style="12" bestFit="1" customWidth="1"/>
    <col min="6" max="6" width="5.5703125" style="2" bestFit="1" customWidth="1"/>
    <col min="7" max="7" width="10.42578125" style="2" bestFit="1" customWidth="1"/>
    <col min="8" max="8" width="2.85546875" style="2" customWidth="1"/>
    <col min="9" max="9" width="13.140625" style="2" bestFit="1" customWidth="1"/>
    <col min="10" max="10" width="10.5703125" style="2" customWidth="1"/>
    <col min="11" max="11" width="6.42578125" style="2" bestFit="1" customWidth="1"/>
    <col min="12" max="12" width="10.42578125" style="2" bestFit="1" customWidth="1"/>
    <col min="13" max="13" width="2.85546875" style="2" customWidth="1"/>
    <col min="14" max="14" width="11.140625" style="2" bestFit="1" customWidth="1"/>
    <col min="15" max="15" width="24.42578125" style="2" customWidth="1"/>
    <col min="16" max="16384" width="9.140625" style="2"/>
  </cols>
  <sheetData>
    <row r="1" spans="2:15" ht="10.5" customHeight="1" thickBot="1" x14ac:dyDescent="0.25"/>
    <row r="2" spans="2:15" ht="12.75" thickBot="1" x14ac:dyDescent="0.25">
      <c r="C2" s="1" t="s">
        <v>76</v>
      </c>
      <c r="D2" s="1"/>
      <c r="E2" s="9"/>
      <c r="F2" s="1"/>
      <c r="G2" s="1"/>
      <c r="I2" s="1" t="s">
        <v>135</v>
      </c>
      <c r="J2" s="9"/>
      <c r="K2" s="1"/>
      <c r="L2" s="1"/>
      <c r="N2" s="61" t="s">
        <v>147</v>
      </c>
      <c r="O2" s="62"/>
    </row>
    <row r="3" spans="2:15" x14ac:dyDescent="0.2">
      <c r="C3" s="13" t="s">
        <v>50</v>
      </c>
      <c r="D3" s="13" t="s">
        <v>51</v>
      </c>
      <c r="E3" s="32" t="s">
        <v>48</v>
      </c>
      <c r="F3" s="14" t="s">
        <v>59</v>
      </c>
      <c r="G3" s="14" t="s">
        <v>35</v>
      </c>
      <c r="H3" s="3"/>
      <c r="I3" s="13" t="s">
        <v>50</v>
      </c>
      <c r="J3" s="32" t="s">
        <v>48</v>
      </c>
      <c r="K3" s="14" t="s">
        <v>59</v>
      </c>
      <c r="L3" s="14" t="s">
        <v>35</v>
      </c>
      <c r="N3" s="57" t="s">
        <v>3</v>
      </c>
      <c r="O3" s="58">
        <f>SUM(G4:G94)+SUM(L4:L6)+K15+SUM(K23:K25)+K28</f>
        <v>0</v>
      </c>
    </row>
    <row r="4" spans="2:15" x14ac:dyDescent="0.2">
      <c r="B4" s="46" t="s">
        <v>85</v>
      </c>
      <c r="C4" s="22" t="s">
        <v>52</v>
      </c>
      <c r="D4" s="22" t="s">
        <v>55</v>
      </c>
      <c r="E4" s="70">
        <v>148</v>
      </c>
      <c r="F4" s="63"/>
      <c r="G4" s="63">
        <f t="shared" ref="G4:G18" si="0">E4*F4*$E$96</f>
        <v>0</v>
      </c>
      <c r="I4" s="19" t="s">
        <v>138</v>
      </c>
      <c r="J4" s="33">
        <v>6750</v>
      </c>
      <c r="K4" s="29"/>
      <c r="L4" s="29">
        <f>J4*K4*$E$98</f>
        <v>0</v>
      </c>
      <c r="N4" s="57" t="s">
        <v>4</v>
      </c>
      <c r="O4" s="58">
        <f>K9+K16</f>
        <v>0</v>
      </c>
    </row>
    <row r="5" spans="2:15" x14ac:dyDescent="0.2">
      <c r="B5" s="46"/>
      <c r="C5" s="22" t="s">
        <v>52</v>
      </c>
      <c r="D5" s="22" t="s">
        <v>61</v>
      </c>
      <c r="E5" s="70">
        <v>297</v>
      </c>
      <c r="F5" s="63"/>
      <c r="G5" s="63">
        <f t="shared" si="0"/>
        <v>0</v>
      </c>
      <c r="I5" s="20" t="s">
        <v>136</v>
      </c>
      <c r="J5" s="34">
        <v>13500</v>
      </c>
      <c r="K5" s="30"/>
      <c r="L5" s="30">
        <f>J5*K5*$E$98</f>
        <v>0</v>
      </c>
      <c r="N5" s="57" t="s">
        <v>5</v>
      </c>
      <c r="O5" s="58">
        <f>K10+K17</f>
        <v>0</v>
      </c>
    </row>
    <row r="6" spans="2:15" x14ac:dyDescent="0.2">
      <c r="B6" s="46"/>
      <c r="C6" s="22" t="s">
        <v>53</v>
      </c>
      <c r="D6" s="22" t="s">
        <v>56</v>
      </c>
      <c r="E6" s="70">
        <v>255</v>
      </c>
      <c r="F6" s="63"/>
      <c r="G6" s="63">
        <f t="shared" si="0"/>
        <v>0</v>
      </c>
      <c r="I6" s="41" t="s">
        <v>137</v>
      </c>
      <c r="J6" s="42">
        <v>27000</v>
      </c>
      <c r="K6" s="43"/>
      <c r="L6" s="43">
        <f>J6*K6*$E$98</f>
        <v>0</v>
      </c>
      <c r="N6" s="57" t="s">
        <v>6</v>
      </c>
      <c r="O6" s="58">
        <f>K11+K18</f>
        <v>0</v>
      </c>
    </row>
    <row r="7" spans="2:15" ht="12.75" thickBot="1" x14ac:dyDescent="0.25">
      <c r="B7" s="46"/>
      <c r="C7" s="22" t="s">
        <v>53</v>
      </c>
      <c r="D7" s="22" t="s">
        <v>57</v>
      </c>
      <c r="E7" s="70">
        <v>1270</v>
      </c>
      <c r="F7" s="63"/>
      <c r="G7" s="63">
        <f t="shared" si="0"/>
        <v>0</v>
      </c>
      <c r="N7" s="59" t="s">
        <v>7</v>
      </c>
      <c r="O7" s="60">
        <f>K19</f>
        <v>0</v>
      </c>
    </row>
    <row r="8" spans="2:15" x14ac:dyDescent="0.2">
      <c r="B8" s="46"/>
      <c r="C8" s="22" t="s">
        <v>54</v>
      </c>
      <c r="D8" s="22" t="s">
        <v>58</v>
      </c>
      <c r="E8" s="70">
        <v>2550</v>
      </c>
      <c r="F8" s="63"/>
      <c r="G8" s="63">
        <f t="shared" si="0"/>
        <v>0</v>
      </c>
      <c r="I8" s="1" t="s">
        <v>43</v>
      </c>
      <c r="J8" s="14" t="s">
        <v>140</v>
      </c>
      <c r="K8" s="55" t="s">
        <v>141</v>
      </c>
      <c r="L8" s="55"/>
    </row>
    <row r="9" spans="2:15" x14ac:dyDescent="0.2">
      <c r="B9" s="47" t="s">
        <v>86</v>
      </c>
      <c r="C9" s="38" t="s">
        <v>52</v>
      </c>
      <c r="D9" s="38" t="s">
        <v>60</v>
      </c>
      <c r="E9" s="71">
        <v>247</v>
      </c>
      <c r="F9" s="64"/>
      <c r="G9" s="64">
        <f t="shared" si="0"/>
        <v>0</v>
      </c>
      <c r="I9" s="2" t="s">
        <v>1</v>
      </c>
      <c r="J9" s="3">
        <v>0</v>
      </c>
      <c r="K9" s="12">
        <f>250000*$J$9</f>
        <v>0</v>
      </c>
      <c r="L9" s="2" t="s">
        <v>4</v>
      </c>
    </row>
    <row r="10" spans="2:15" x14ac:dyDescent="0.2">
      <c r="B10" s="47"/>
      <c r="C10" s="38" t="s">
        <v>52</v>
      </c>
      <c r="D10" s="38" t="s">
        <v>62</v>
      </c>
      <c r="E10" s="71">
        <v>495</v>
      </c>
      <c r="F10" s="64"/>
      <c r="G10" s="64">
        <f t="shared" si="0"/>
        <v>0</v>
      </c>
      <c r="J10" s="3"/>
      <c r="K10" s="12">
        <f>250000*$J$9</f>
        <v>0</v>
      </c>
      <c r="L10" s="2" t="s">
        <v>5</v>
      </c>
    </row>
    <row r="11" spans="2:15" x14ac:dyDescent="0.2">
      <c r="B11" s="47"/>
      <c r="C11" s="38" t="s">
        <v>53</v>
      </c>
      <c r="D11" s="38" t="s">
        <v>63</v>
      </c>
      <c r="E11" s="71">
        <v>425</v>
      </c>
      <c r="F11" s="64"/>
      <c r="G11" s="64">
        <f t="shared" si="0"/>
        <v>0</v>
      </c>
      <c r="J11" s="3"/>
      <c r="K11" s="12">
        <f>250000*$J$9</f>
        <v>0</v>
      </c>
      <c r="L11" s="2" t="s">
        <v>6</v>
      </c>
    </row>
    <row r="12" spans="2:15" x14ac:dyDescent="0.2">
      <c r="B12" s="47"/>
      <c r="C12" s="38" t="s">
        <v>53</v>
      </c>
      <c r="D12" s="38" t="s">
        <v>64</v>
      </c>
      <c r="E12" s="71">
        <v>2120</v>
      </c>
      <c r="F12" s="64"/>
      <c r="G12" s="64">
        <f t="shared" si="0"/>
        <v>0</v>
      </c>
      <c r="J12" s="3"/>
    </row>
    <row r="13" spans="2:15" x14ac:dyDescent="0.2">
      <c r="B13" s="47"/>
      <c r="C13" s="38" t="s">
        <v>54</v>
      </c>
      <c r="D13" s="38" t="s">
        <v>65</v>
      </c>
      <c r="E13" s="71">
        <v>4250</v>
      </c>
      <c r="F13" s="64"/>
      <c r="G13" s="64">
        <f t="shared" si="0"/>
        <v>0</v>
      </c>
      <c r="I13" s="1" t="s">
        <v>44</v>
      </c>
      <c r="J13" s="3"/>
    </row>
    <row r="14" spans="2:15" x14ac:dyDescent="0.2">
      <c r="B14" s="48" t="s">
        <v>88</v>
      </c>
      <c r="C14" s="36" t="s">
        <v>52</v>
      </c>
      <c r="D14" s="36" t="s">
        <v>66</v>
      </c>
      <c r="E14" s="72">
        <v>346</v>
      </c>
      <c r="F14" s="65"/>
      <c r="G14" s="65">
        <f t="shared" si="0"/>
        <v>0</v>
      </c>
      <c r="I14" s="13" t="s">
        <v>47</v>
      </c>
      <c r="J14" s="14" t="s">
        <v>142</v>
      </c>
      <c r="K14" s="55" t="s">
        <v>141</v>
      </c>
      <c r="L14" s="55"/>
    </row>
    <row r="15" spans="2:15" x14ac:dyDescent="0.2">
      <c r="B15" s="48"/>
      <c r="C15" s="36" t="s">
        <v>52</v>
      </c>
      <c r="D15" s="36" t="s">
        <v>67</v>
      </c>
      <c r="E15" s="72">
        <v>693</v>
      </c>
      <c r="F15" s="65"/>
      <c r="G15" s="65">
        <f t="shared" si="0"/>
        <v>0</v>
      </c>
      <c r="I15" s="2" t="s">
        <v>3</v>
      </c>
      <c r="J15" s="40"/>
      <c r="K15" s="12">
        <f>1*J15</f>
        <v>0</v>
      </c>
      <c r="L15" s="2" t="s">
        <v>3</v>
      </c>
    </row>
    <row r="16" spans="2:15" x14ac:dyDescent="0.2">
      <c r="B16" s="48"/>
      <c r="C16" s="36" t="s">
        <v>53</v>
      </c>
      <c r="D16" s="36" t="s">
        <v>68</v>
      </c>
      <c r="E16" s="72">
        <v>595</v>
      </c>
      <c r="F16" s="65"/>
      <c r="G16" s="65">
        <f t="shared" si="0"/>
        <v>0</v>
      </c>
      <c r="I16" s="2" t="s">
        <v>4</v>
      </c>
      <c r="J16" s="40"/>
      <c r="K16" s="12">
        <f t="shared" ref="K16:K19" si="1">1*J16</f>
        <v>0</v>
      </c>
      <c r="L16" s="2" t="s">
        <v>4</v>
      </c>
    </row>
    <row r="17" spans="2:12" x14ac:dyDescent="0.2">
      <c r="B17" s="48"/>
      <c r="C17" s="36" t="s">
        <v>53</v>
      </c>
      <c r="D17" s="36" t="s">
        <v>69</v>
      </c>
      <c r="E17" s="72">
        <v>2970</v>
      </c>
      <c r="F17" s="65"/>
      <c r="G17" s="65">
        <f t="shared" si="0"/>
        <v>0</v>
      </c>
      <c r="I17" s="2" t="s">
        <v>5</v>
      </c>
      <c r="J17" s="40"/>
      <c r="K17" s="12">
        <f t="shared" si="1"/>
        <v>0</v>
      </c>
      <c r="L17" s="2" t="s">
        <v>5</v>
      </c>
    </row>
    <row r="18" spans="2:12" x14ac:dyDescent="0.2">
      <c r="B18" s="48"/>
      <c r="C18" s="36" t="s">
        <v>54</v>
      </c>
      <c r="D18" s="36" t="s">
        <v>70</v>
      </c>
      <c r="E18" s="72">
        <v>5950</v>
      </c>
      <c r="F18" s="65"/>
      <c r="G18" s="65">
        <f t="shared" si="0"/>
        <v>0</v>
      </c>
      <c r="I18" s="2" t="s">
        <v>6</v>
      </c>
      <c r="J18" s="40"/>
      <c r="K18" s="12">
        <f t="shared" si="1"/>
        <v>0</v>
      </c>
      <c r="L18" s="2" t="s">
        <v>6</v>
      </c>
    </row>
    <row r="19" spans="2:12" x14ac:dyDescent="0.2">
      <c r="B19" s="48"/>
      <c r="C19" s="36" t="s">
        <v>129</v>
      </c>
      <c r="D19" s="39" t="s">
        <v>130</v>
      </c>
      <c r="E19" s="72">
        <v>17800</v>
      </c>
      <c r="F19" s="65"/>
      <c r="G19" s="65">
        <f>E19*F19*$E$97</f>
        <v>0</v>
      </c>
      <c r="I19" s="2" t="s">
        <v>7</v>
      </c>
      <c r="J19" s="40"/>
      <c r="K19" s="12">
        <f t="shared" si="1"/>
        <v>0</v>
      </c>
      <c r="L19" s="2" t="s">
        <v>7</v>
      </c>
    </row>
    <row r="20" spans="2:12" x14ac:dyDescent="0.2">
      <c r="B20" s="48"/>
      <c r="C20" s="36" t="s">
        <v>131</v>
      </c>
      <c r="D20" s="39" t="s">
        <v>130</v>
      </c>
      <c r="E20" s="72">
        <v>7640</v>
      </c>
      <c r="F20" s="65"/>
      <c r="G20" s="65">
        <f>E20*F20*$E$97</f>
        <v>0</v>
      </c>
      <c r="J20" s="3"/>
    </row>
    <row r="21" spans="2:12" x14ac:dyDescent="0.2">
      <c r="B21" s="48"/>
      <c r="C21" s="36" t="s">
        <v>132</v>
      </c>
      <c r="D21" s="39" t="s">
        <v>130</v>
      </c>
      <c r="E21" s="72">
        <v>20300</v>
      </c>
      <c r="F21" s="65"/>
      <c r="G21" s="65">
        <f>E21*F21*$E$97</f>
        <v>0</v>
      </c>
      <c r="I21" s="1" t="s">
        <v>139</v>
      </c>
    </row>
    <row r="22" spans="2:12" x14ac:dyDescent="0.2">
      <c r="B22" s="48"/>
      <c r="C22" s="36" t="s">
        <v>133</v>
      </c>
      <c r="D22" s="39" t="s">
        <v>130</v>
      </c>
      <c r="E22" s="72">
        <v>15200</v>
      </c>
      <c r="F22" s="65"/>
      <c r="G22" s="65">
        <f>E22*F22*$E$97</f>
        <v>0</v>
      </c>
      <c r="I22" s="13" t="s">
        <v>149</v>
      </c>
      <c r="J22" s="14" t="s">
        <v>142</v>
      </c>
      <c r="K22" s="55" t="s">
        <v>141</v>
      </c>
      <c r="L22" s="55"/>
    </row>
    <row r="23" spans="2:12" x14ac:dyDescent="0.2">
      <c r="B23" s="49" t="s">
        <v>87</v>
      </c>
      <c r="C23" s="35" t="s">
        <v>52</v>
      </c>
      <c r="D23" s="35" t="s">
        <v>71</v>
      </c>
      <c r="E23" s="73">
        <v>445</v>
      </c>
      <c r="F23" s="66"/>
      <c r="G23" s="66">
        <f>E23*F23*$E$96</f>
        <v>0</v>
      </c>
      <c r="I23" s="2" t="s">
        <v>12</v>
      </c>
      <c r="J23" s="40"/>
      <c r="K23" s="12">
        <f>J23*5000000</f>
        <v>0</v>
      </c>
      <c r="L23" s="2" t="s">
        <v>3</v>
      </c>
    </row>
    <row r="24" spans="2:12" x14ac:dyDescent="0.2">
      <c r="B24" s="49"/>
      <c r="C24" s="35" t="s">
        <v>52</v>
      </c>
      <c r="D24" s="35" t="s">
        <v>72</v>
      </c>
      <c r="E24" s="73">
        <v>891</v>
      </c>
      <c r="F24" s="66"/>
      <c r="G24" s="66">
        <f>E24*F24*$E$96</f>
        <v>0</v>
      </c>
      <c r="I24" s="2" t="s">
        <v>8</v>
      </c>
      <c r="J24" s="40"/>
      <c r="K24" s="12">
        <f>J24*2000</f>
        <v>0</v>
      </c>
      <c r="L24" s="2" t="s">
        <v>3</v>
      </c>
    </row>
    <row r="25" spans="2:12" x14ac:dyDescent="0.2">
      <c r="B25" s="49"/>
      <c r="C25" s="35" t="s">
        <v>53</v>
      </c>
      <c r="D25" s="35" t="s">
        <v>73</v>
      </c>
      <c r="E25" s="73">
        <v>765</v>
      </c>
      <c r="F25" s="66"/>
      <c r="G25" s="66">
        <f>E25*F25*$E$96</f>
        <v>0</v>
      </c>
      <c r="I25" s="2" t="s">
        <v>13</v>
      </c>
      <c r="J25" s="40"/>
      <c r="K25" s="12">
        <f>J25*2000</f>
        <v>0</v>
      </c>
      <c r="L25" s="2" t="s">
        <v>3</v>
      </c>
    </row>
    <row r="26" spans="2:12" x14ac:dyDescent="0.2">
      <c r="B26" s="49"/>
      <c r="C26" s="35" t="s">
        <v>53</v>
      </c>
      <c r="D26" s="35" t="s">
        <v>74</v>
      </c>
      <c r="E26" s="73">
        <v>3820</v>
      </c>
      <c r="F26" s="66"/>
      <c r="G26" s="66">
        <f>E26*F26*$E$96</f>
        <v>0</v>
      </c>
    </row>
    <row r="27" spans="2:12" x14ac:dyDescent="0.2">
      <c r="B27" s="49"/>
      <c r="C27" s="35" t="s">
        <v>54</v>
      </c>
      <c r="D27" s="35" t="s">
        <v>75</v>
      </c>
      <c r="E27" s="73">
        <v>7650</v>
      </c>
      <c r="F27" s="66"/>
      <c r="G27" s="66">
        <f>E27*F27*$E$96</f>
        <v>0</v>
      </c>
      <c r="I27" s="1" t="s">
        <v>143</v>
      </c>
      <c r="K27" s="55" t="s">
        <v>141</v>
      </c>
      <c r="L27" s="55"/>
    </row>
    <row r="28" spans="2:12" x14ac:dyDescent="0.2">
      <c r="B28" s="49"/>
      <c r="C28" s="35" t="s">
        <v>129</v>
      </c>
      <c r="D28" s="35" t="s">
        <v>130</v>
      </c>
      <c r="E28" s="73">
        <v>42500</v>
      </c>
      <c r="F28" s="66"/>
      <c r="G28" s="66">
        <f>E28*F28*$E$97</f>
        <v>0</v>
      </c>
      <c r="I28" s="2" t="s">
        <v>144</v>
      </c>
      <c r="K28" s="56">
        <f>IF(J30="NO",0,J28*(J29*1.5))</f>
        <v>0</v>
      </c>
      <c r="L28" s="56"/>
    </row>
    <row r="29" spans="2:12" x14ac:dyDescent="0.2">
      <c r="B29" s="49"/>
      <c r="C29" s="35" t="s">
        <v>131</v>
      </c>
      <c r="D29" s="35" t="s">
        <v>130</v>
      </c>
      <c r="E29" s="73">
        <v>49100</v>
      </c>
      <c r="F29" s="66"/>
      <c r="G29" s="66">
        <f>E29*F29*$E$97</f>
        <v>0</v>
      </c>
      <c r="I29" s="2" t="s">
        <v>145</v>
      </c>
      <c r="J29" s="12"/>
      <c r="K29" s="56" t="s">
        <v>3</v>
      </c>
      <c r="L29" s="56"/>
    </row>
    <row r="30" spans="2:12" x14ac:dyDescent="0.2">
      <c r="B30" s="49"/>
      <c r="C30" s="35" t="s">
        <v>132</v>
      </c>
      <c r="D30" s="35" t="s">
        <v>130</v>
      </c>
      <c r="E30" s="73">
        <v>36000</v>
      </c>
      <c r="F30" s="66"/>
      <c r="G30" s="66">
        <f>E30*F30*$E$97</f>
        <v>0</v>
      </c>
      <c r="I30" s="2" t="s">
        <v>146</v>
      </c>
      <c r="J30" s="3" t="s">
        <v>148</v>
      </c>
    </row>
    <row r="31" spans="2:12" x14ac:dyDescent="0.2">
      <c r="B31" s="49"/>
      <c r="C31" s="35" t="s">
        <v>133</v>
      </c>
      <c r="D31" s="35" t="s">
        <v>130</v>
      </c>
      <c r="E31" s="73">
        <v>32700</v>
      </c>
      <c r="F31" s="66"/>
      <c r="G31" s="66">
        <f>E31*F31*$E$97</f>
        <v>0</v>
      </c>
    </row>
    <row r="32" spans="2:12" x14ac:dyDescent="0.2">
      <c r="B32" s="50" t="s">
        <v>90</v>
      </c>
      <c r="C32" s="19" t="s">
        <v>52</v>
      </c>
      <c r="D32" s="19" t="s">
        <v>77</v>
      </c>
      <c r="E32" s="74">
        <v>544</v>
      </c>
      <c r="F32" s="67"/>
      <c r="G32" s="67">
        <f t="shared" ref="G32:G40" si="2">E32*F32*$E$96</f>
        <v>0</v>
      </c>
    </row>
    <row r="33" spans="2:7" x14ac:dyDescent="0.2">
      <c r="B33" s="50"/>
      <c r="C33" s="19" t="s">
        <v>52</v>
      </c>
      <c r="D33" s="19" t="s">
        <v>78</v>
      </c>
      <c r="E33" s="74">
        <v>1080</v>
      </c>
      <c r="F33" s="67"/>
      <c r="G33" s="67">
        <f t="shared" si="2"/>
        <v>0</v>
      </c>
    </row>
    <row r="34" spans="2:7" x14ac:dyDescent="0.2">
      <c r="B34" s="50"/>
      <c r="C34" s="19" t="s">
        <v>52</v>
      </c>
      <c r="D34" s="19" t="s">
        <v>82</v>
      </c>
      <c r="E34" s="74">
        <v>10800</v>
      </c>
      <c r="F34" s="67"/>
      <c r="G34" s="67">
        <f t="shared" si="2"/>
        <v>0</v>
      </c>
    </row>
    <row r="35" spans="2:7" x14ac:dyDescent="0.2">
      <c r="B35" s="50"/>
      <c r="C35" s="19" t="s">
        <v>53</v>
      </c>
      <c r="D35" s="19" t="s">
        <v>79</v>
      </c>
      <c r="E35" s="74">
        <v>935</v>
      </c>
      <c r="F35" s="67"/>
      <c r="G35" s="67">
        <f t="shared" si="2"/>
        <v>0</v>
      </c>
    </row>
    <row r="36" spans="2:7" x14ac:dyDescent="0.2">
      <c r="B36" s="50"/>
      <c r="C36" s="19" t="s">
        <v>53</v>
      </c>
      <c r="D36" s="19" t="s">
        <v>80</v>
      </c>
      <c r="E36" s="74">
        <v>4670</v>
      </c>
      <c r="F36" s="67"/>
      <c r="G36" s="67">
        <f t="shared" si="2"/>
        <v>0</v>
      </c>
    </row>
    <row r="37" spans="2:7" x14ac:dyDescent="0.2">
      <c r="B37" s="50"/>
      <c r="C37" s="19" t="s">
        <v>53</v>
      </c>
      <c r="D37" s="19" t="s">
        <v>94</v>
      </c>
      <c r="E37" s="74"/>
      <c r="F37" s="67"/>
      <c r="G37" s="67">
        <f t="shared" si="2"/>
        <v>0</v>
      </c>
    </row>
    <row r="38" spans="2:7" x14ac:dyDescent="0.2">
      <c r="B38" s="50"/>
      <c r="C38" s="19" t="s">
        <v>53</v>
      </c>
      <c r="D38" s="19" t="s">
        <v>83</v>
      </c>
      <c r="E38" s="74"/>
      <c r="F38" s="67"/>
      <c r="G38" s="67">
        <f t="shared" si="2"/>
        <v>0</v>
      </c>
    </row>
    <row r="39" spans="2:7" x14ac:dyDescent="0.2">
      <c r="B39" s="50"/>
      <c r="C39" s="19" t="s">
        <v>53</v>
      </c>
      <c r="D39" s="19" t="s">
        <v>84</v>
      </c>
      <c r="E39" s="74"/>
      <c r="F39" s="67"/>
      <c r="G39" s="67">
        <f t="shared" si="2"/>
        <v>0</v>
      </c>
    </row>
    <row r="40" spans="2:7" x14ac:dyDescent="0.2">
      <c r="B40" s="50"/>
      <c r="C40" s="19" t="s">
        <v>54</v>
      </c>
      <c r="D40" s="19" t="s">
        <v>81</v>
      </c>
      <c r="E40" s="74">
        <v>9350</v>
      </c>
      <c r="F40" s="67"/>
      <c r="G40" s="67">
        <f t="shared" si="2"/>
        <v>0</v>
      </c>
    </row>
    <row r="41" spans="2:7" x14ac:dyDescent="0.2">
      <c r="B41" s="50"/>
      <c r="C41" s="19" t="s">
        <v>129</v>
      </c>
      <c r="D41" s="19" t="s">
        <v>130</v>
      </c>
      <c r="E41" s="74"/>
      <c r="F41" s="67"/>
      <c r="G41" s="67">
        <f>E41*F41*$E$97</f>
        <v>0</v>
      </c>
    </row>
    <row r="42" spans="2:7" x14ac:dyDescent="0.2">
      <c r="B42" s="50"/>
      <c r="C42" s="19" t="s">
        <v>131</v>
      </c>
      <c r="D42" s="19" t="s">
        <v>130</v>
      </c>
      <c r="E42" s="74"/>
      <c r="F42" s="67"/>
      <c r="G42" s="67">
        <f>E42*F42*$E$97</f>
        <v>0</v>
      </c>
    </row>
    <row r="43" spans="2:7" x14ac:dyDescent="0.2">
      <c r="B43" s="50"/>
      <c r="C43" s="19" t="s">
        <v>132</v>
      </c>
      <c r="D43" s="19" t="s">
        <v>130</v>
      </c>
      <c r="E43" s="74"/>
      <c r="F43" s="67"/>
      <c r="G43" s="67">
        <f>E43*F43*$E$97</f>
        <v>0</v>
      </c>
    </row>
    <row r="44" spans="2:7" x14ac:dyDescent="0.2">
      <c r="B44" s="50"/>
      <c r="C44" s="19" t="s">
        <v>133</v>
      </c>
      <c r="D44" s="19" t="s">
        <v>130</v>
      </c>
      <c r="E44" s="74"/>
      <c r="F44" s="67"/>
      <c r="G44" s="67">
        <f>E44*F44*$E$97</f>
        <v>0</v>
      </c>
    </row>
    <row r="45" spans="2:7" x14ac:dyDescent="0.2">
      <c r="B45" s="44" t="s">
        <v>89</v>
      </c>
      <c r="C45" s="20" t="s">
        <v>52</v>
      </c>
      <c r="D45" s="20" t="s">
        <v>95</v>
      </c>
      <c r="E45" s="75"/>
      <c r="F45" s="68"/>
      <c r="G45" s="68">
        <f t="shared" ref="G45:G53" si="3">E45*F45*$E$96</f>
        <v>0</v>
      </c>
    </row>
    <row r="46" spans="2:7" x14ac:dyDescent="0.2">
      <c r="B46" s="44"/>
      <c r="C46" s="20" t="s">
        <v>52</v>
      </c>
      <c r="D46" s="20" t="s">
        <v>97</v>
      </c>
      <c r="E46" s="75"/>
      <c r="F46" s="68"/>
      <c r="G46" s="68">
        <f t="shared" si="3"/>
        <v>0</v>
      </c>
    </row>
    <row r="47" spans="2:7" x14ac:dyDescent="0.2">
      <c r="B47" s="44"/>
      <c r="C47" s="20" t="s">
        <v>52</v>
      </c>
      <c r="D47" s="20" t="s">
        <v>98</v>
      </c>
      <c r="E47" s="75"/>
      <c r="F47" s="68"/>
      <c r="G47" s="68">
        <f t="shared" si="3"/>
        <v>0</v>
      </c>
    </row>
    <row r="48" spans="2:7" x14ac:dyDescent="0.2">
      <c r="B48" s="44"/>
      <c r="C48" s="20" t="s">
        <v>53</v>
      </c>
      <c r="D48" s="20" t="s">
        <v>99</v>
      </c>
      <c r="E48" s="75"/>
      <c r="F48" s="68"/>
      <c r="G48" s="68">
        <f t="shared" si="3"/>
        <v>0</v>
      </c>
    </row>
    <row r="49" spans="2:7" x14ac:dyDescent="0.2">
      <c r="B49" s="44"/>
      <c r="C49" s="20" t="s">
        <v>53</v>
      </c>
      <c r="D49" s="20" t="s">
        <v>100</v>
      </c>
      <c r="E49" s="75"/>
      <c r="F49" s="68"/>
      <c r="G49" s="68">
        <f t="shared" si="3"/>
        <v>0</v>
      </c>
    </row>
    <row r="50" spans="2:7" x14ac:dyDescent="0.2">
      <c r="B50" s="44"/>
      <c r="C50" s="20" t="s">
        <v>53</v>
      </c>
      <c r="D50" s="20" t="s">
        <v>101</v>
      </c>
      <c r="E50" s="75"/>
      <c r="F50" s="68"/>
      <c r="G50" s="68">
        <f t="shared" si="3"/>
        <v>0</v>
      </c>
    </row>
    <row r="51" spans="2:7" x14ac:dyDescent="0.2">
      <c r="B51" s="44"/>
      <c r="C51" s="20" t="s">
        <v>53</v>
      </c>
      <c r="D51" s="20" t="s">
        <v>102</v>
      </c>
      <c r="E51" s="75"/>
      <c r="F51" s="68"/>
      <c r="G51" s="68">
        <f t="shared" si="3"/>
        <v>0</v>
      </c>
    </row>
    <row r="52" spans="2:7" x14ac:dyDescent="0.2">
      <c r="B52" s="44"/>
      <c r="C52" s="20" t="s">
        <v>53</v>
      </c>
      <c r="D52" s="20" t="s">
        <v>96</v>
      </c>
      <c r="E52" s="75"/>
      <c r="F52" s="68"/>
      <c r="G52" s="68">
        <f t="shared" si="3"/>
        <v>0</v>
      </c>
    </row>
    <row r="53" spans="2:7" x14ac:dyDescent="0.2">
      <c r="B53" s="44"/>
      <c r="C53" s="20" t="s">
        <v>54</v>
      </c>
      <c r="D53" s="20" t="s">
        <v>111</v>
      </c>
      <c r="E53" s="75"/>
      <c r="F53" s="68"/>
      <c r="G53" s="68">
        <f t="shared" si="3"/>
        <v>0</v>
      </c>
    </row>
    <row r="54" spans="2:7" x14ac:dyDescent="0.2">
      <c r="B54" s="44"/>
      <c r="C54" s="20" t="s">
        <v>129</v>
      </c>
      <c r="D54" s="20" t="s">
        <v>130</v>
      </c>
      <c r="E54" s="75"/>
      <c r="F54" s="68"/>
      <c r="G54" s="68">
        <f>E54*F54*$E$97</f>
        <v>0</v>
      </c>
    </row>
    <row r="55" spans="2:7" x14ac:dyDescent="0.2">
      <c r="B55" s="44"/>
      <c r="C55" s="20" t="s">
        <v>131</v>
      </c>
      <c r="D55" s="20" t="s">
        <v>130</v>
      </c>
      <c r="E55" s="75"/>
      <c r="F55" s="68"/>
      <c r="G55" s="68">
        <f>E55*F55*$E$97</f>
        <v>0</v>
      </c>
    </row>
    <row r="56" spans="2:7" x14ac:dyDescent="0.2">
      <c r="B56" s="44"/>
      <c r="C56" s="20" t="s">
        <v>132</v>
      </c>
      <c r="D56" s="20" t="s">
        <v>130</v>
      </c>
      <c r="E56" s="75"/>
      <c r="F56" s="68"/>
      <c r="G56" s="68">
        <f>E56*F56*$E$97</f>
        <v>0</v>
      </c>
    </row>
    <row r="57" spans="2:7" x14ac:dyDescent="0.2">
      <c r="B57" s="44"/>
      <c r="C57" s="20" t="s">
        <v>133</v>
      </c>
      <c r="D57" s="20" t="s">
        <v>130</v>
      </c>
      <c r="E57" s="75"/>
      <c r="F57" s="68"/>
      <c r="G57" s="68">
        <f>E57*F57*$E$97</f>
        <v>0</v>
      </c>
    </row>
    <row r="58" spans="2:7" x14ac:dyDescent="0.2">
      <c r="B58" s="45" t="s">
        <v>92</v>
      </c>
      <c r="C58" s="37" t="s">
        <v>52</v>
      </c>
      <c r="D58" s="37" t="s">
        <v>103</v>
      </c>
      <c r="E58" s="76"/>
      <c r="F58" s="69"/>
      <c r="G58" s="69">
        <f t="shared" ref="G58:G66" si="4">E58*F58*$E$96</f>
        <v>0</v>
      </c>
    </row>
    <row r="59" spans="2:7" x14ac:dyDescent="0.2">
      <c r="B59" s="45"/>
      <c r="C59" s="37" t="s">
        <v>52</v>
      </c>
      <c r="D59" s="37" t="s">
        <v>104</v>
      </c>
      <c r="E59" s="76"/>
      <c r="F59" s="69"/>
      <c r="G59" s="69">
        <f t="shared" si="4"/>
        <v>0</v>
      </c>
    </row>
    <row r="60" spans="2:7" x14ac:dyDescent="0.2">
      <c r="B60" s="45"/>
      <c r="C60" s="37" t="s">
        <v>52</v>
      </c>
      <c r="D60" s="37" t="s">
        <v>105</v>
      </c>
      <c r="E60" s="76"/>
      <c r="F60" s="69"/>
      <c r="G60" s="69">
        <f t="shared" si="4"/>
        <v>0</v>
      </c>
    </row>
    <row r="61" spans="2:7" x14ac:dyDescent="0.2">
      <c r="B61" s="45"/>
      <c r="C61" s="37" t="s">
        <v>53</v>
      </c>
      <c r="D61" s="37" t="s">
        <v>106</v>
      </c>
      <c r="E61" s="76"/>
      <c r="F61" s="69"/>
      <c r="G61" s="69">
        <f t="shared" si="4"/>
        <v>0</v>
      </c>
    </row>
    <row r="62" spans="2:7" x14ac:dyDescent="0.2">
      <c r="B62" s="45"/>
      <c r="C62" s="37" t="s">
        <v>53</v>
      </c>
      <c r="D62" s="37" t="s">
        <v>107</v>
      </c>
      <c r="E62" s="76"/>
      <c r="F62" s="69"/>
      <c r="G62" s="69">
        <f t="shared" si="4"/>
        <v>0</v>
      </c>
    </row>
    <row r="63" spans="2:7" x14ac:dyDescent="0.2">
      <c r="B63" s="45"/>
      <c r="C63" s="37" t="s">
        <v>53</v>
      </c>
      <c r="D63" s="37" t="s">
        <v>108</v>
      </c>
      <c r="E63" s="76"/>
      <c r="F63" s="69"/>
      <c r="G63" s="69">
        <f t="shared" si="4"/>
        <v>0</v>
      </c>
    </row>
    <row r="64" spans="2:7" x14ac:dyDescent="0.2">
      <c r="B64" s="45"/>
      <c r="C64" s="37" t="s">
        <v>53</v>
      </c>
      <c r="D64" s="37" t="s">
        <v>109</v>
      </c>
      <c r="E64" s="76"/>
      <c r="F64" s="69"/>
      <c r="G64" s="69">
        <f t="shared" si="4"/>
        <v>0</v>
      </c>
    </row>
    <row r="65" spans="2:7" x14ac:dyDescent="0.2">
      <c r="B65" s="45"/>
      <c r="C65" s="37" t="s">
        <v>53</v>
      </c>
      <c r="D65" s="37" t="s">
        <v>110</v>
      </c>
      <c r="E65" s="76"/>
      <c r="F65" s="69"/>
      <c r="G65" s="69">
        <f t="shared" si="4"/>
        <v>0</v>
      </c>
    </row>
    <row r="66" spans="2:7" x14ac:dyDescent="0.2">
      <c r="B66" s="45"/>
      <c r="C66" s="37" t="s">
        <v>54</v>
      </c>
      <c r="D66" s="37" t="s">
        <v>112</v>
      </c>
      <c r="E66" s="76"/>
      <c r="F66" s="69"/>
      <c r="G66" s="69">
        <f t="shared" si="4"/>
        <v>0</v>
      </c>
    </row>
    <row r="67" spans="2:7" x14ac:dyDescent="0.2">
      <c r="B67" s="45"/>
      <c r="C67" s="37" t="s">
        <v>129</v>
      </c>
      <c r="D67" s="37" t="s">
        <v>130</v>
      </c>
      <c r="E67" s="76"/>
      <c r="F67" s="69"/>
      <c r="G67" s="69">
        <f>E67*F67*$E$97</f>
        <v>0</v>
      </c>
    </row>
    <row r="68" spans="2:7" x14ac:dyDescent="0.2">
      <c r="B68" s="45"/>
      <c r="C68" s="37" t="s">
        <v>131</v>
      </c>
      <c r="D68" s="37" t="s">
        <v>130</v>
      </c>
      <c r="E68" s="76"/>
      <c r="F68" s="69"/>
      <c r="G68" s="69">
        <f>E68*F68*$E$97</f>
        <v>0</v>
      </c>
    </row>
    <row r="69" spans="2:7" x14ac:dyDescent="0.2">
      <c r="B69" s="45"/>
      <c r="C69" s="37" t="s">
        <v>132</v>
      </c>
      <c r="D69" s="37" t="s">
        <v>130</v>
      </c>
      <c r="E69" s="76"/>
      <c r="F69" s="69"/>
      <c r="G69" s="69">
        <f>E69*F69*$E$97</f>
        <v>0</v>
      </c>
    </row>
    <row r="70" spans="2:7" x14ac:dyDescent="0.2">
      <c r="B70" s="45"/>
      <c r="C70" s="37" t="s">
        <v>133</v>
      </c>
      <c r="D70" s="37" t="s">
        <v>130</v>
      </c>
      <c r="E70" s="76"/>
      <c r="F70" s="69"/>
      <c r="G70" s="69">
        <f>E70*F70*$E$97</f>
        <v>0</v>
      </c>
    </row>
    <row r="71" spans="2:7" x14ac:dyDescent="0.2">
      <c r="B71" s="46" t="s">
        <v>91</v>
      </c>
      <c r="C71" s="22" t="s">
        <v>52</v>
      </c>
      <c r="D71" s="22" t="s">
        <v>113</v>
      </c>
      <c r="E71" s="70"/>
      <c r="F71" s="70"/>
      <c r="G71" s="70">
        <f t="shared" ref="G71:G78" si="5">E71*F71*$E$96</f>
        <v>0</v>
      </c>
    </row>
    <row r="72" spans="2:7" x14ac:dyDescent="0.2">
      <c r="B72" s="46"/>
      <c r="C72" s="22" t="s">
        <v>52</v>
      </c>
      <c r="D72" s="22" t="s">
        <v>114</v>
      </c>
      <c r="E72" s="70"/>
      <c r="F72" s="70"/>
      <c r="G72" s="70">
        <f t="shared" si="5"/>
        <v>0</v>
      </c>
    </row>
    <row r="73" spans="2:7" x14ac:dyDescent="0.2">
      <c r="B73" s="46"/>
      <c r="C73" s="22" t="s">
        <v>52</v>
      </c>
      <c r="D73" s="22" t="s">
        <v>115</v>
      </c>
      <c r="E73" s="70"/>
      <c r="F73" s="70"/>
      <c r="G73" s="70">
        <f t="shared" si="5"/>
        <v>0</v>
      </c>
    </row>
    <row r="74" spans="2:7" x14ac:dyDescent="0.2">
      <c r="B74" s="46"/>
      <c r="C74" s="22" t="s">
        <v>53</v>
      </c>
      <c r="D74" s="22" t="s">
        <v>116</v>
      </c>
      <c r="E74" s="70"/>
      <c r="F74" s="70"/>
      <c r="G74" s="70">
        <f t="shared" si="5"/>
        <v>0</v>
      </c>
    </row>
    <row r="75" spans="2:7" x14ac:dyDescent="0.2">
      <c r="B75" s="46"/>
      <c r="C75" s="22" t="s">
        <v>53</v>
      </c>
      <c r="D75" s="22" t="s">
        <v>117</v>
      </c>
      <c r="E75" s="70"/>
      <c r="F75" s="70"/>
      <c r="G75" s="70">
        <f t="shared" si="5"/>
        <v>0</v>
      </c>
    </row>
    <row r="76" spans="2:7" x14ac:dyDescent="0.2">
      <c r="B76" s="46"/>
      <c r="C76" s="22" t="s">
        <v>53</v>
      </c>
      <c r="D76" s="22" t="s">
        <v>118</v>
      </c>
      <c r="E76" s="70"/>
      <c r="F76" s="70"/>
      <c r="G76" s="70">
        <f t="shared" si="5"/>
        <v>0</v>
      </c>
    </row>
    <row r="77" spans="2:7" x14ac:dyDescent="0.2">
      <c r="B77" s="46"/>
      <c r="C77" s="22" t="s">
        <v>53</v>
      </c>
      <c r="D77" s="22" t="s">
        <v>119</v>
      </c>
      <c r="E77" s="70"/>
      <c r="F77" s="70"/>
      <c r="G77" s="70">
        <f t="shared" si="5"/>
        <v>0</v>
      </c>
    </row>
    <row r="78" spans="2:7" x14ac:dyDescent="0.2">
      <c r="B78" s="46"/>
      <c r="C78" s="22" t="s">
        <v>54</v>
      </c>
      <c r="D78" s="22" t="s">
        <v>120</v>
      </c>
      <c r="E78" s="70"/>
      <c r="F78" s="70"/>
      <c r="G78" s="70">
        <f t="shared" si="5"/>
        <v>0</v>
      </c>
    </row>
    <row r="79" spans="2:7" x14ac:dyDescent="0.2">
      <c r="B79" s="46"/>
      <c r="C79" s="22" t="s">
        <v>129</v>
      </c>
      <c r="D79" s="22" t="s">
        <v>130</v>
      </c>
      <c r="E79" s="70"/>
      <c r="F79" s="70"/>
      <c r="G79" s="70">
        <f>E79*F79*$E$97</f>
        <v>0</v>
      </c>
    </row>
    <row r="80" spans="2:7" x14ac:dyDescent="0.2">
      <c r="B80" s="46"/>
      <c r="C80" s="22" t="s">
        <v>131</v>
      </c>
      <c r="D80" s="22" t="s">
        <v>130</v>
      </c>
      <c r="E80" s="70"/>
      <c r="F80" s="70"/>
      <c r="G80" s="70">
        <f>E80*F80*$E$97</f>
        <v>0</v>
      </c>
    </row>
    <row r="81" spans="2:7" x14ac:dyDescent="0.2">
      <c r="B81" s="46"/>
      <c r="C81" s="22" t="s">
        <v>132</v>
      </c>
      <c r="D81" s="22" t="s">
        <v>130</v>
      </c>
      <c r="E81" s="70"/>
      <c r="F81" s="70"/>
      <c r="G81" s="70">
        <f>E81*F81*$E$97</f>
        <v>0</v>
      </c>
    </row>
    <row r="82" spans="2:7" x14ac:dyDescent="0.2">
      <c r="B82" s="46"/>
      <c r="C82" s="22" t="s">
        <v>133</v>
      </c>
      <c r="D82" s="22" t="s">
        <v>130</v>
      </c>
      <c r="E82" s="70"/>
      <c r="F82" s="70"/>
      <c r="G82" s="70">
        <f>E82*F82*$E$97</f>
        <v>0</v>
      </c>
    </row>
    <row r="83" spans="2:7" x14ac:dyDescent="0.2">
      <c r="B83" s="47" t="s">
        <v>93</v>
      </c>
      <c r="C83" s="38" t="s">
        <v>52</v>
      </c>
      <c r="D83" s="38" t="s">
        <v>121</v>
      </c>
      <c r="E83" s="71"/>
      <c r="F83" s="71"/>
      <c r="G83" s="71">
        <f t="shared" ref="G83:G90" si="6">E83*F83*$E$96</f>
        <v>0</v>
      </c>
    </row>
    <row r="84" spans="2:7" x14ac:dyDescent="0.2">
      <c r="B84" s="47"/>
      <c r="C84" s="38" t="s">
        <v>52</v>
      </c>
      <c r="D84" s="38" t="s">
        <v>122</v>
      </c>
      <c r="E84" s="71"/>
      <c r="F84" s="71"/>
      <c r="G84" s="71">
        <f t="shared" si="6"/>
        <v>0</v>
      </c>
    </row>
    <row r="85" spans="2:7" x14ac:dyDescent="0.2">
      <c r="B85" s="47"/>
      <c r="C85" s="38" t="s">
        <v>52</v>
      </c>
      <c r="D85" s="38" t="s">
        <v>123</v>
      </c>
      <c r="E85" s="71"/>
      <c r="F85" s="71"/>
      <c r="G85" s="71">
        <f t="shared" si="6"/>
        <v>0</v>
      </c>
    </row>
    <row r="86" spans="2:7" x14ac:dyDescent="0.2">
      <c r="B86" s="47"/>
      <c r="C86" s="38" t="s">
        <v>53</v>
      </c>
      <c r="D86" s="38" t="s">
        <v>124</v>
      </c>
      <c r="E86" s="71"/>
      <c r="F86" s="71"/>
      <c r="G86" s="71">
        <f t="shared" si="6"/>
        <v>0</v>
      </c>
    </row>
    <row r="87" spans="2:7" x14ac:dyDescent="0.2">
      <c r="B87" s="47"/>
      <c r="C87" s="38" t="s">
        <v>53</v>
      </c>
      <c r="D87" s="38" t="s">
        <v>125</v>
      </c>
      <c r="E87" s="71"/>
      <c r="F87" s="71"/>
      <c r="G87" s="71">
        <f t="shared" si="6"/>
        <v>0</v>
      </c>
    </row>
    <row r="88" spans="2:7" x14ac:dyDescent="0.2">
      <c r="B88" s="47"/>
      <c r="C88" s="38" t="s">
        <v>53</v>
      </c>
      <c r="D88" s="38" t="s">
        <v>126</v>
      </c>
      <c r="E88" s="71"/>
      <c r="F88" s="71"/>
      <c r="G88" s="71">
        <f t="shared" si="6"/>
        <v>0</v>
      </c>
    </row>
    <row r="89" spans="2:7" x14ac:dyDescent="0.2">
      <c r="B89" s="47"/>
      <c r="C89" s="38" t="s">
        <v>53</v>
      </c>
      <c r="D89" s="38" t="s">
        <v>127</v>
      </c>
      <c r="E89" s="71"/>
      <c r="F89" s="71"/>
      <c r="G89" s="71">
        <f t="shared" si="6"/>
        <v>0</v>
      </c>
    </row>
    <row r="90" spans="2:7" x14ac:dyDescent="0.2">
      <c r="B90" s="47"/>
      <c r="C90" s="38" t="s">
        <v>54</v>
      </c>
      <c r="D90" s="38" t="s">
        <v>128</v>
      </c>
      <c r="E90" s="71"/>
      <c r="F90" s="71"/>
      <c r="G90" s="71">
        <f t="shared" si="6"/>
        <v>0</v>
      </c>
    </row>
    <row r="91" spans="2:7" x14ac:dyDescent="0.2">
      <c r="B91" s="47"/>
      <c r="C91" s="38" t="s">
        <v>129</v>
      </c>
      <c r="D91" s="38" t="s">
        <v>130</v>
      </c>
      <c r="E91" s="71"/>
      <c r="F91" s="71"/>
      <c r="G91" s="71">
        <f>E91*F91*$E$97</f>
        <v>0</v>
      </c>
    </row>
    <row r="92" spans="2:7" x14ac:dyDescent="0.2">
      <c r="B92" s="47"/>
      <c r="C92" s="38" t="s">
        <v>131</v>
      </c>
      <c r="D92" s="38" t="s">
        <v>130</v>
      </c>
      <c r="E92" s="71"/>
      <c r="F92" s="71"/>
      <c r="G92" s="71">
        <f>E92*F92*$E$97</f>
        <v>0</v>
      </c>
    </row>
    <row r="93" spans="2:7" x14ac:dyDescent="0.2">
      <c r="B93" s="47"/>
      <c r="C93" s="38" t="s">
        <v>132</v>
      </c>
      <c r="D93" s="38" t="s">
        <v>130</v>
      </c>
      <c r="E93" s="71"/>
      <c r="F93" s="71"/>
      <c r="G93" s="71">
        <f>E93*F93*$E$97</f>
        <v>0</v>
      </c>
    </row>
    <row r="94" spans="2:7" x14ac:dyDescent="0.2">
      <c r="B94" s="47"/>
      <c r="C94" s="38" t="s">
        <v>133</v>
      </c>
      <c r="D94" s="38" t="s">
        <v>130</v>
      </c>
      <c r="E94" s="71"/>
      <c r="F94" s="71"/>
      <c r="G94" s="71">
        <f>E94*F94*$E$97</f>
        <v>0</v>
      </c>
    </row>
    <row r="96" spans="2:7" x14ac:dyDescent="0.2">
      <c r="C96" s="12" t="s">
        <v>134</v>
      </c>
      <c r="D96" s="2" t="s">
        <v>49</v>
      </c>
      <c r="E96" s="2">
        <v>1.2</v>
      </c>
    </row>
    <row r="97" spans="3:10" x14ac:dyDescent="0.2">
      <c r="C97" s="12" t="s">
        <v>42</v>
      </c>
      <c r="D97" s="2" t="s">
        <v>49</v>
      </c>
      <c r="E97" s="2">
        <v>1.3</v>
      </c>
      <c r="H97" s="9"/>
    </row>
    <row r="98" spans="3:10" x14ac:dyDescent="0.2">
      <c r="C98" s="2" t="s">
        <v>135</v>
      </c>
      <c r="D98" s="2" t="s">
        <v>49</v>
      </c>
      <c r="E98" s="2">
        <v>1.4</v>
      </c>
      <c r="I98" s="14"/>
      <c r="J98" s="14"/>
    </row>
    <row r="99" spans="3:10" x14ac:dyDescent="0.2">
      <c r="E99" s="2"/>
      <c r="J99" s="40"/>
    </row>
    <row r="100" spans="3:10" x14ac:dyDescent="0.2">
      <c r="J100" s="40"/>
    </row>
    <row r="101" spans="3:10" x14ac:dyDescent="0.2">
      <c r="J101" s="40"/>
    </row>
    <row r="102" spans="3:10" x14ac:dyDescent="0.2">
      <c r="F102" s="3"/>
      <c r="G102" s="12"/>
      <c r="J102" s="40"/>
    </row>
    <row r="103" spans="3:10" x14ac:dyDescent="0.2">
      <c r="G103" s="12"/>
      <c r="J103" s="40"/>
    </row>
    <row r="104" spans="3:10" x14ac:dyDescent="0.2">
      <c r="I104" s="3"/>
      <c r="J104" s="40"/>
    </row>
    <row r="105" spans="3:10" x14ac:dyDescent="0.2">
      <c r="I105" s="3"/>
      <c r="J105" s="40"/>
    </row>
    <row r="130" spans="11:14" x14ac:dyDescent="0.2">
      <c r="K130" s="4" t="s">
        <v>14</v>
      </c>
      <c r="L130" s="5"/>
      <c r="M130" s="6"/>
      <c r="N130" s="7"/>
    </row>
    <row r="131" spans="11:14" x14ac:dyDescent="0.2">
      <c r="K131" s="8" t="s">
        <v>3</v>
      </c>
      <c r="L131" s="1"/>
      <c r="M131" s="51">
        <f>SUM(G4:G94)+SUM(J99:J105)+K15+SUM(K23:K25)</f>
        <v>0</v>
      </c>
      <c r="N131" s="52"/>
    </row>
    <row r="132" spans="11:14" x14ac:dyDescent="0.2">
      <c r="K132" s="8" t="s">
        <v>4</v>
      </c>
      <c r="L132" s="1"/>
      <c r="M132" s="51">
        <f>K9+K16</f>
        <v>0</v>
      </c>
      <c r="N132" s="52"/>
    </row>
    <row r="133" spans="11:14" x14ac:dyDescent="0.2">
      <c r="K133" s="8" t="s">
        <v>5</v>
      </c>
      <c r="L133" s="1"/>
      <c r="M133" s="51">
        <f>K10+K17</f>
        <v>0</v>
      </c>
      <c r="N133" s="52"/>
    </row>
    <row r="134" spans="11:14" x14ac:dyDescent="0.2">
      <c r="K134" s="8" t="s">
        <v>6</v>
      </c>
      <c r="L134" s="1"/>
      <c r="M134" s="51">
        <f>K11+K18</f>
        <v>0</v>
      </c>
      <c r="N134" s="52"/>
    </row>
    <row r="135" spans="11:14" x14ac:dyDescent="0.2">
      <c r="K135" s="10" t="s">
        <v>7</v>
      </c>
      <c r="L135" s="11"/>
      <c r="M135" s="53">
        <f>K19</f>
        <v>0</v>
      </c>
      <c r="N135" s="54"/>
    </row>
  </sheetData>
  <mergeCells count="20">
    <mergeCell ref="K28:L28"/>
    <mergeCell ref="K29:L29"/>
    <mergeCell ref="K14:L14"/>
    <mergeCell ref="K8:L8"/>
    <mergeCell ref="K22:L22"/>
    <mergeCell ref="K27:L27"/>
    <mergeCell ref="M131:N131"/>
    <mergeCell ref="M132:N132"/>
    <mergeCell ref="M133:N133"/>
    <mergeCell ref="M134:N134"/>
    <mergeCell ref="M135:N135"/>
    <mergeCell ref="B45:B57"/>
    <mergeCell ref="B58:B70"/>
    <mergeCell ref="B71:B82"/>
    <mergeCell ref="B83:B94"/>
    <mergeCell ref="B4:B8"/>
    <mergeCell ref="B9:B13"/>
    <mergeCell ref="B14:B22"/>
    <mergeCell ref="B23:B31"/>
    <mergeCell ref="B32:B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8ABB-2E38-4434-90E3-783664546495}">
  <sheetPr codeName="Sheet2"/>
  <dimension ref="B2:O45"/>
  <sheetViews>
    <sheetView workbookViewId="0">
      <selection activeCell="I10" sqref="I10"/>
    </sheetView>
  </sheetViews>
  <sheetFormatPr defaultColWidth="9.140625" defaultRowHeight="12" x14ac:dyDescent="0.2"/>
  <cols>
    <col min="1" max="1" width="3.28515625" style="2" customWidth="1"/>
    <col min="2" max="2" width="17.7109375" style="2" bestFit="1" customWidth="1"/>
    <col min="3" max="3" width="4.5703125" style="2" bestFit="1" customWidth="1"/>
    <col min="4" max="4" width="7.5703125" style="2" customWidth="1"/>
    <col min="5" max="5" width="10.28515625" style="2" bestFit="1" customWidth="1"/>
    <col min="6" max="6" width="2.7109375" style="2" customWidth="1"/>
    <col min="7" max="7" width="7.7109375" style="2" bestFit="1" customWidth="1"/>
    <col min="8" max="8" width="4.5703125" style="2" bestFit="1" customWidth="1"/>
    <col min="9" max="9" width="6.5703125" style="2" bestFit="1" customWidth="1"/>
    <col min="10" max="10" width="10.28515625" style="2" bestFit="1" customWidth="1"/>
    <col min="11" max="11" width="7" style="2" bestFit="1" customWidth="1"/>
    <col min="12" max="12" width="11.5703125" style="2" bestFit="1" customWidth="1"/>
    <col min="13" max="14" width="11.140625" style="2" bestFit="1" customWidth="1"/>
    <col min="15" max="15" width="6.140625" style="2" bestFit="1" customWidth="1"/>
    <col min="16" max="16384" width="9.140625" style="2"/>
  </cols>
  <sheetData>
    <row r="2" spans="2:15" x14ac:dyDescent="0.2">
      <c r="B2" s="1" t="s">
        <v>34</v>
      </c>
      <c r="C2" s="1"/>
      <c r="D2" s="1"/>
      <c r="E2" s="1"/>
      <c r="G2" s="1" t="s">
        <v>42</v>
      </c>
      <c r="L2" s="1" t="s">
        <v>43</v>
      </c>
      <c r="N2" s="2" t="s">
        <v>46</v>
      </c>
    </row>
    <row r="3" spans="2:15" x14ac:dyDescent="0.2">
      <c r="B3" s="13" t="s">
        <v>16</v>
      </c>
      <c r="C3" s="14" t="s">
        <v>15</v>
      </c>
      <c r="D3" s="14" t="s">
        <v>0</v>
      </c>
      <c r="E3" s="14" t="s">
        <v>35</v>
      </c>
      <c r="F3" s="3"/>
      <c r="G3" s="15" t="s">
        <v>16</v>
      </c>
      <c r="H3" s="14" t="s">
        <v>15</v>
      </c>
      <c r="I3" s="14" t="s">
        <v>0</v>
      </c>
      <c r="J3" s="14" t="s">
        <v>35</v>
      </c>
      <c r="L3" s="2" t="s">
        <v>1</v>
      </c>
      <c r="M3" s="2">
        <v>0</v>
      </c>
      <c r="N3" s="12">
        <f>250000*$M$3</f>
        <v>0</v>
      </c>
      <c r="O3" s="2" t="s">
        <v>4</v>
      </c>
    </row>
    <row r="4" spans="2:15" x14ac:dyDescent="0.2">
      <c r="B4" s="22" t="s">
        <v>17</v>
      </c>
      <c r="C4" s="22">
        <v>1</v>
      </c>
      <c r="D4" s="25">
        <v>1000</v>
      </c>
      <c r="E4" s="25">
        <f>(D4/1000)*400000</f>
        <v>400000</v>
      </c>
      <c r="G4" s="17" t="s">
        <v>9</v>
      </c>
      <c r="H4" s="17">
        <v>3</v>
      </c>
      <c r="I4" s="27">
        <f>37+44+27+33+27+20</f>
        <v>188</v>
      </c>
      <c r="J4" s="27">
        <f>I4*50000</f>
        <v>9400000</v>
      </c>
      <c r="N4" s="12">
        <f>250000*$M$3</f>
        <v>0</v>
      </c>
      <c r="O4" s="2" t="s">
        <v>5</v>
      </c>
    </row>
    <row r="5" spans="2:15" x14ac:dyDescent="0.2">
      <c r="B5" s="22" t="s">
        <v>18</v>
      </c>
      <c r="C5" s="22">
        <v>1</v>
      </c>
      <c r="D5" s="25">
        <v>1000</v>
      </c>
      <c r="E5" s="25">
        <f>((D5/1000)*400000)*2</f>
        <v>800000</v>
      </c>
      <c r="G5" s="18" t="s">
        <v>10</v>
      </c>
      <c r="H5" s="18">
        <v>4</v>
      </c>
      <c r="I5" s="28"/>
      <c r="J5" s="28">
        <f>I5*100000</f>
        <v>0</v>
      </c>
      <c r="N5" s="12">
        <f>250000*$M$3</f>
        <v>0</v>
      </c>
      <c r="O5" s="2" t="s">
        <v>6</v>
      </c>
    </row>
    <row r="6" spans="2:15" x14ac:dyDescent="0.2">
      <c r="B6" s="16" t="s">
        <v>2</v>
      </c>
      <c r="C6" s="16">
        <v>2</v>
      </c>
      <c r="D6" s="26">
        <v>1000</v>
      </c>
      <c r="E6" s="26">
        <f>(D6/1000)*500000</f>
        <v>500000</v>
      </c>
      <c r="G6" s="19" t="s">
        <v>23</v>
      </c>
      <c r="H6" s="19">
        <v>5</v>
      </c>
      <c r="I6" s="29"/>
      <c r="J6" s="29">
        <f>I6*200000</f>
        <v>0</v>
      </c>
    </row>
    <row r="7" spans="2:15" x14ac:dyDescent="0.2">
      <c r="B7" s="16" t="s">
        <v>19</v>
      </c>
      <c r="C7" s="16">
        <v>2</v>
      </c>
      <c r="D7" s="26">
        <v>1000</v>
      </c>
      <c r="E7" s="26">
        <f>((D7/1000)*500000)*2</f>
        <v>1000000</v>
      </c>
      <c r="G7" s="20" t="s">
        <v>25</v>
      </c>
      <c r="H7" s="20">
        <v>6</v>
      </c>
      <c r="I7" s="30"/>
      <c r="J7" s="30">
        <f>I7*400000</f>
        <v>0</v>
      </c>
      <c r="L7" s="1" t="s">
        <v>44</v>
      </c>
    </row>
    <row r="8" spans="2:15" x14ac:dyDescent="0.2">
      <c r="B8" s="17" t="s">
        <v>9</v>
      </c>
      <c r="C8" s="17">
        <v>3</v>
      </c>
      <c r="D8" s="27">
        <v>1000</v>
      </c>
      <c r="E8" s="27">
        <f>(D8/1000)*750000</f>
        <v>750000</v>
      </c>
      <c r="G8" s="21" t="s">
        <v>11</v>
      </c>
      <c r="H8" s="21">
        <v>7</v>
      </c>
      <c r="I8" s="31"/>
      <c r="J8" s="31">
        <f>I8*500000</f>
        <v>0</v>
      </c>
      <c r="L8" s="2" t="s">
        <v>47</v>
      </c>
      <c r="M8" s="2" t="s">
        <v>45</v>
      </c>
      <c r="N8" s="2" t="s">
        <v>46</v>
      </c>
    </row>
    <row r="9" spans="2:15" x14ac:dyDescent="0.2">
      <c r="B9" s="17" t="s">
        <v>20</v>
      </c>
      <c r="C9" s="17">
        <v>3</v>
      </c>
      <c r="D9" s="27">
        <v>1000</v>
      </c>
      <c r="E9" s="27">
        <f>((D9/1000)*750000)*2</f>
        <v>1500000</v>
      </c>
      <c r="G9" s="22" t="s">
        <v>17</v>
      </c>
      <c r="H9" s="23" t="s">
        <v>27</v>
      </c>
      <c r="I9" s="25"/>
      <c r="J9" s="25">
        <f>I9*600000</f>
        <v>0</v>
      </c>
      <c r="L9" s="2" t="s">
        <v>3</v>
      </c>
      <c r="M9" s="12">
        <f>22500000+11000000+17500000+13800000</f>
        <v>64800000</v>
      </c>
      <c r="N9" s="12">
        <f>1.25*M9</f>
        <v>81000000</v>
      </c>
      <c r="O9" s="2" t="s">
        <v>3</v>
      </c>
    </row>
    <row r="10" spans="2:15" x14ac:dyDescent="0.2">
      <c r="B10" s="18" t="s">
        <v>10</v>
      </c>
      <c r="C10" s="18">
        <v>4</v>
      </c>
      <c r="D10" s="28">
        <v>1000</v>
      </c>
      <c r="E10" s="28">
        <f>(D10/1000)*1000000</f>
        <v>1000000</v>
      </c>
      <c r="G10" s="16" t="s">
        <v>2</v>
      </c>
      <c r="H10" s="24" t="s">
        <v>28</v>
      </c>
      <c r="I10" s="26"/>
      <c r="J10" s="26">
        <f>I10*700000</f>
        <v>0</v>
      </c>
      <c r="L10" s="2" t="s">
        <v>4</v>
      </c>
      <c r="M10" s="12">
        <f>2070000+11000000+6440000+14500000</f>
        <v>34010000</v>
      </c>
      <c r="N10" s="12">
        <f t="shared" ref="N10:N13" si="0">1.25*M10</f>
        <v>42512500</v>
      </c>
      <c r="O10" s="2" t="s">
        <v>4</v>
      </c>
    </row>
    <row r="11" spans="2:15" x14ac:dyDescent="0.2">
      <c r="B11" s="18" t="s">
        <v>21</v>
      </c>
      <c r="C11" s="18">
        <v>4</v>
      </c>
      <c r="D11" s="28">
        <v>1000</v>
      </c>
      <c r="E11" s="28">
        <f>((D11/1000)*1000000)*2</f>
        <v>2000000</v>
      </c>
      <c r="L11" s="2" t="s">
        <v>5</v>
      </c>
      <c r="M11" s="12">
        <f>11000000+2830000+12000000+3000000</f>
        <v>28830000</v>
      </c>
      <c r="N11" s="12">
        <f t="shared" si="0"/>
        <v>36037500</v>
      </c>
      <c r="O11" s="2" t="s">
        <v>5</v>
      </c>
    </row>
    <row r="12" spans="2:15" x14ac:dyDescent="0.2">
      <c r="B12" s="19" t="s">
        <v>23</v>
      </c>
      <c r="C12" s="19">
        <v>5</v>
      </c>
      <c r="D12" s="29">
        <v>1000</v>
      </c>
      <c r="E12" s="29">
        <f>(D12/1000)*1200000</f>
        <v>1200000</v>
      </c>
      <c r="L12" s="2" t="s">
        <v>6</v>
      </c>
      <c r="M12" s="12">
        <f>8640000+11000000+11200000+7540000+11000000</f>
        <v>49380000</v>
      </c>
      <c r="N12" s="12">
        <f t="shared" si="0"/>
        <v>61725000</v>
      </c>
      <c r="O12" s="2" t="s">
        <v>6</v>
      </c>
    </row>
    <row r="13" spans="2:15" x14ac:dyDescent="0.2">
      <c r="B13" s="19" t="s">
        <v>24</v>
      </c>
      <c r="C13" s="19">
        <v>5</v>
      </c>
      <c r="D13" s="29">
        <v>1000</v>
      </c>
      <c r="E13" s="29">
        <f>((D13/1000)*1200000)*2</f>
        <v>2400000</v>
      </c>
      <c r="L13" s="2" t="s">
        <v>7</v>
      </c>
      <c r="M13" s="12">
        <f>22500000+11000000+17500000+22800000+27200000+56200000+20900000</f>
        <v>178100000</v>
      </c>
      <c r="N13" s="12">
        <f t="shared" si="0"/>
        <v>222625000</v>
      </c>
      <c r="O13" s="2" t="s">
        <v>7</v>
      </c>
    </row>
    <row r="14" spans="2:15" x14ac:dyDescent="0.2">
      <c r="B14" s="19" t="s">
        <v>29</v>
      </c>
      <c r="C14" s="19">
        <v>5</v>
      </c>
      <c r="D14" s="29">
        <v>1000</v>
      </c>
      <c r="E14" s="29">
        <f>((D14/1000)*1200000)*2</f>
        <v>2400000</v>
      </c>
      <c r="L14" s="2" t="s">
        <v>12</v>
      </c>
      <c r="M14" s="12"/>
      <c r="N14" s="12">
        <f>M14*5000000</f>
        <v>0</v>
      </c>
      <c r="O14" s="2" t="s">
        <v>3</v>
      </c>
    </row>
    <row r="15" spans="2:15" x14ac:dyDescent="0.2">
      <c r="B15" s="19" t="s">
        <v>36</v>
      </c>
      <c r="C15" s="19">
        <v>5</v>
      </c>
      <c r="D15" s="29">
        <v>1000</v>
      </c>
      <c r="E15" s="29">
        <f>((D15/1000)*1200000)*14</f>
        <v>16800000</v>
      </c>
      <c r="L15" s="2" t="s">
        <v>8</v>
      </c>
      <c r="M15" s="12"/>
      <c r="N15" s="12">
        <f>M15*2000</f>
        <v>0</v>
      </c>
      <c r="O15" s="2" t="s">
        <v>3</v>
      </c>
    </row>
    <row r="16" spans="2:15" x14ac:dyDescent="0.2">
      <c r="B16" s="19" t="s">
        <v>37</v>
      </c>
      <c r="C16" s="19">
        <v>5</v>
      </c>
      <c r="D16" s="29">
        <v>1000</v>
      </c>
      <c r="E16" s="29">
        <f>((D16/1000)*1200000)*28</f>
        <v>33600000</v>
      </c>
      <c r="L16" s="2" t="s">
        <v>13</v>
      </c>
      <c r="M16" s="12"/>
      <c r="N16" s="12">
        <f>M16*2000</f>
        <v>0</v>
      </c>
      <c r="O16" s="2" t="s">
        <v>3</v>
      </c>
    </row>
    <row r="17" spans="2:10" x14ac:dyDescent="0.2">
      <c r="B17" s="20" t="s">
        <v>25</v>
      </c>
      <c r="C17" s="20">
        <v>6</v>
      </c>
      <c r="D17" s="30">
        <v>1000</v>
      </c>
      <c r="E17" s="30">
        <f>((D17/1000)*1500000)*2</f>
        <v>3000000</v>
      </c>
      <c r="G17" s="4" t="s">
        <v>14</v>
      </c>
      <c r="H17" s="5"/>
      <c r="I17" s="6"/>
      <c r="J17" s="7"/>
    </row>
    <row r="18" spans="2:10" x14ac:dyDescent="0.2">
      <c r="B18" s="20" t="s">
        <v>26</v>
      </c>
      <c r="C18" s="20">
        <v>6</v>
      </c>
      <c r="D18" s="30">
        <v>1000</v>
      </c>
      <c r="E18" s="30">
        <f>((D18/1000)*1500000)*2</f>
        <v>3000000</v>
      </c>
      <c r="G18" s="8" t="s">
        <v>3</v>
      </c>
      <c r="H18" s="1"/>
      <c r="I18" s="51">
        <f>SUM(E4:E32)+SUM(J4:J10)+N9+SUM(N14:N16)</f>
        <v>249700000</v>
      </c>
      <c r="J18" s="52"/>
    </row>
    <row r="19" spans="2:10" x14ac:dyDescent="0.2">
      <c r="B19" s="20" t="s">
        <v>30</v>
      </c>
      <c r="C19" s="20">
        <v>6</v>
      </c>
      <c r="D19" s="30">
        <v>1000</v>
      </c>
      <c r="E19" s="30">
        <f>((D19/1000)*1500000)*2</f>
        <v>3000000</v>
      </c>
      <c r="G19" s="8" t="s">
        <v>4</v>
      </c>
      <c r="H19" s="1"/>
      <c r="I19" s="51">
        <f>N3+N10</f>
        <v>42512500</v>
      </c>
      <c r="J19" s="52"/>
    </row>
    <row r="20" spans="2:10" x14ac:dyDescent="0.2">
      <c r="B20" s="20" t="s">
        <v>38</v>
      </c>
      <c r="C20" s="20">
        <v>6</v>
      </c>
      <c r="D20" s="30">
        <v>1000</v>
      </c>
      <c r="E20" s="30">
        <f>((D20/1000)*1500000)*9</f>
        <v>13500000</v>
      </c>
      <c r="G20" s="8" t="s">
        <v>5</v>
      </c>
      <c r="H20" s="1"/>
      <c r="I20" s="51">
        <f>N4+N11</f>
        <v>36037500</v>
      </c>
      <c r="J20" s="52"/>
    </row>
    <row r="21" spans="2:10" x14ac:dyDescent="0.2">
      <c r="B21" s="20" t="s">
        <v>39</v>
      </c>
      <c r="C21" s="20">
        <v>6</v>
      </c>
      <c r="D21" s="30">
        <v>1000</v>
      </c>
      <c r="E21" s="30">
        <f>((D21/1000)*1500000)*18</f>
        <v>27000000</v>
      </c>
      <c r="G21" s="8" t="s">
        <v>6</v>
      </c>
      <c r="H21" s="1"/>
      <c r="I21" s="51">
        <f>N5+N12</f>
        <v>61725000</v>
      </c>
      <c r="J21" s="52"/>
    </row>
    <row r="22" spans="2:10" x14ac:dyDescent="0.2">
      <c r="B22" s="21" t="s">
        <v>11</v>
      </c>
      <c r="C22" s="21">
        <v>7</v>
      </c>
      <c r="D22" s="31">
        <v>1000</v>
      </c>
      <c r="E22" s="31">
        <f>((D22/1000)*1700000)*2</f>
        <v>3400000</v>
      </c>
      <c r="G22" s="10" t="s">
        <v>7</v>
      </c>
      <c r="H22" s="11"/>
      <c r="I22" s="53">
        <f>N13</f>
        <v>222625000</v>
      </c>
      <c r="J22" s="54"/>
    </row>
    <row r="23" spans="2:10" x14ac:dyDescent="0.2">
      <c r="B23" s="21" t="s">
        <v>22</v>
      </c>
      <c r="C23" s="21">
        <v>7</v>
      </c>
      <c r="D23" s="31">
        <v>1000</v>
      </c>
      <c r="E23" s="31">
        <f>((D23/1000)*1700000)*2</f>
        <v>3400000</v>
      </c>
    </row>
    <row r="24" spans="2:10" x14ac:dyDescent="0.2">
      <c r="B24" s="21" t="s">
        <v>31</v>
      </c>
      <c r="C24" s="21">
        <v>7</v>
      </c>
      <c r="D24" s="31">
        <v>1000</v>
      </c>
      <c r="E24" s="31">
        <f>((D24/1000)*1700000)*2</f>
        <v>3400000</v>
      </c>
    </row>
    <row r="25" spans="2:10" x14ac:dyDescent="0.2">
      <c r="B25" s="21" t="s">
        <v>40</v>
      </c>
      <c r="C25" s="21">
        <v>7</v>
      </c>
      <c r="D25" s="31">
        <v>1000</v>
      </c>
      <c r="E25" s="31">
        <f>((D25/1000)*1500000)*2.5</f>
        <v>3750000</v>
      </c>
    </row>
    <row r="26" spans="2:10" x14ac:dyDescent="0.2">
      <c r="B26" s="21" t="s">
        <v>41</v>
      </c>
      <c r="C26" s="21">
        <v>7</v>
      </c>
      <c r="D26" s="31">
        <v>1000</v>
      </c>
      <c r="E26" s="31">
        <f>((D26/1000)*1500000)*5</f>
        <v>7500000</v>
      </c>
    </row>
    <row r="27" spans="2:10" x14ac:dyDescent="0.2">
      <c r="B27" s="22" t="s">
        <v>17</v>
      </c>
      <c r="C27" s="23" t="s">
        <v>27</v>
      </c>
      <c r="D27" s="25">
        <v>1000</v>
      </c>
      <c r="E27" s="25">
        <f>((D27/1000)*1900000)*2</f>
        <v>3800000</v>
      </c>
    </row>
    <row r="28" spans="2:10" x14ac:dyDescent="0.2">
      <c r="B28" s="22" t="s">
        <v>18</v>
      </c>
      <c r="C28" s="23" t="s">
        <v>27</v>
      </c>
      <c r="D28" s="25">
        <v>1000</v>
      </c>
      <c r="E28" s="25">
        <f>((D28/1000)*1900000)*2</f>
        <v>3800000</v>
      </c>
    </row>
    <row r="29" spans="2:10" x14ac:dyDescent="0.2">
      <c r="B29" s="22" t="s">
        <v>32</v>
      </c>
      <c r="C29" s="23" t="s">
        <v>27</v>
      </c>
      <c r="D29" s="25">
        <v>1000</v>
      </c>
      <c r="E29" s="25">
        <f>((D29/1000)*1900000)*2</f>
        <v>3800000</v>
      </c>
    </row>
    <row r="30" spans="2:10" x14ac:dyDescent="0.2">
      <c r="B30" s="16" t="s">
        <v>2</v>
      </c>
      <c r="C30" s="24" t="s">
        <v>28</v>
      </c>
      <c r="D30" s="26">
        <v>1000</v>
      </c>
      <c r="E30" s="26">
        <f>((D30/1000)*2100000)*2</f>
        <v>4200000</v>
      </c>
    </row>
    <row r="31" spans="2:10" x14ac:dyDescent="0.2">
      <c r="B31" s="16" t="s">
        <v>19</v>
      </c>
      <c r="C31" s="24" t="s">
        <v>28</v>
      </c>
      <c r="D31" s="26">
        <v>1000</v>
      </c>
      <c r="E31" s="26">
        <f>((D31/1000)*2100000)*2</f>
        <v>4200000</v>
      </c>
    </row>
    <row r="32" spans="2:10" x14ac:dyDescent="0.2">
      <c r="B32" s="16" t="s">
        <v>33</v>
      </c>
      <c r="C32" s="24" t="s">
        <v>28</v>
      </c>
      <c r="D32" s="26">
        <v>1000</v>
      </c>
      <c r="E32" s="26">
        <f>((D32/1000)*2100000)*2</f>
        <v>4200000</v>
      </c>
    </row>
    <row r="33" spans="4:6" x14ac:dyDescent="0.2">
      <c r="D33" s="3"/>
      <c r="E33" s="3"/>
    </row>
    <row r="45" spans="4:6" x14ac:dyDescent="0.2">
      <c r="D45" s="3"/>
      <c r="E45" s="12"/>
      <c r="F45" s="9"/>
    </row>
  </sheetData>
  <mergeCells count="5">
    <mergeCell ref="I18:J18"/>
    <mergeCell ref="I19:J19"/>
    <mergeCell ref="I20:J20"/>
    <mergeCell ref="I21:J21"/>
    <mergeCell ref="I22:J22"/>
  </mergeCells>
  <pageMargins left="0.7" right="0.7" top="0.75" bottom="0.75" header="0.3" footer="0.3"/>
  <pageSetup paperSize="9" orientation="portrait" r:id="rId1"/>
  <ignoredErrors>
    <ignoredError sqref="E5 E9 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2024-05-11T21:48:35Z</dcterms:created>
  <dcterms:modified xsi:type="dcterms:W3CDTF">2024-07-24T19:02:03Z</dcterms:modified>
</cp:coreProperties>
</file>