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Studies\Journal\"/>
    </mc:Choice>
  </mc:AlternateContent>
  <xr:revisionPtr revIDLastSave="0" documentId="13_ncr:1_{D2C084C8-44E0-496C-906B-1D70928902A5}" xr6:coauthVersionLast="47" xr6:coauthVersionMax="47" xr10:uidLastSave="{00000000-0000-0000-0000-000000000000}"/>
  <bookViews>
    <workbookView xWindow="-120" yWindow="-120" windowWidth="38640" windowHeight="21120" xr2:uid="{8D058013-140F-4C91-A54D-6752AA9468B8}"/>
  </bookViews>
  <sheets>
    <sheet name="Trading Journal" sheetId="3" r:id="rId1"/>
    <sheet name="Order Entrie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L7" i="5" l="1" a="1"/>
  <c r="L7" i="5" s="1"/>
  <c r="K15" i="3" s="1"/>
  <c r="L8" i="5" a="1"/>
  <c r="L8" i="5" s="1"/>
  <c r="K16" i="3" s="1"/>
  <c r="L9" i="5" a="1"/>
  <c r="L9" i="5" s="1"/>
  <c r="K17" i="3" s="1"/>
  <c r="L10" i="5" a="1"/>
  <c r="L10" i="5" s="1"/>
  <c r="K18" i="3" s="1"/>
  <c r="L11" i="5" a="1"/>
  <c r="L11" i="5" s="1"/>
  <c r="K19" i="3" s="1"/>
  <c r="L12" i="5" a="1"/>
  <c r="L12" i="5" s="1"/>
  <c r="K20" i="3" s="1"/>
  <c r="L13" i="5" a="1"/>
  <c r="L13" i="5" s="1"/>
  <c r="L14" i="5" a="1"/>
  <c r="L14" i="5" s="1"/>
  <c r="L15" i="5" a="1"/>
  <c r="L15" i="5" s="1"/>
  <c r="L16" i="5" a="1"/>
  <c r="L16" i="5" s="1"/>
  <c r="L17" i="5" a="1"/>
  <c r="L17" i="5" s="1"/>
  <c r="L18" i="5" a="1"/>
  <c r="L18" i="5" s="1"/>
  <c r="L19" i="5" a="1"/>
  <c r="L19" i="5" s="1"/>
  <c r="K21" i="3" s="1"/>
  <c r="L20" i="5" a="1"/>
  <c r="L20" i="5" s="1"/>
  <c r="L21" i="5" a="1"/>
  <c r="L21" i="5" s="1"/>
  <c r="L22" i="5" a="1"/>
  <c r="L22" i="5" s="1"/>
  <c r="K22" i="3" s="1"/>
  <c r="L23" i="5" a="1"/>
  <c r="L23" i="5" s="1"/>
  <c r="L24" i="5" a="1"/>
  <c r="L24" i="5" s="1"/>
  <c r="L25" i="5" a="1"/>
  <c r="L25" i="5" s="1"/>
  <c r="L26" i="5" a="1"/>
  <c r="L26" i="5" s="1"/>
  <c r="K23" i="3" s="1"/>
  <c r="L27" i="5" a="1"/>
  <c r="L27" i="5" s="1"/>
  <c r="L28" i="5" a="1"/>
  <c r="L28" i="5" s="1"/>
  <c r="L29" i="5" a="1"/>
  <c r="L29" i="5" s="1"/>
  <c r="K24" i="3" s="1"/>
  <c r="L30" i="5" a="1"/>
  <c r="L30" i="5" s="1"/>
  <c r="L31" i="5" a="1"/>
  <c r="L31" i="5" s="1"/>
  <c r="L32" i="5" a="1"/>
  <c r="L32" i="5" s="1"/>
  <c r="L33" i="5" a="1"/>
  <c r="L33" i="5" s="1"/>
  <c r="L34" i="5" a="1"/>
  <c r="L34" i="5" s="1"/>
  <c r="L35" i="5" a="1"/>
  <c r="L35" i="5" s="1"/>
  <c r="L36" i="5" a="1"/>
  <c r="L36" i="5" s="1"/>
  <c r="K25" i="3" s="1"/>
  <c r="L37" i="5" a="1"/>
  <c r="L37" i="5" s="1"/>
  <c r="L38" i="5" a="1"/>
  <c r="L38" i="5" s="1"/>
  <c r="L39" i="5" a="1"/>
  <c r="L39" i="5" s="1"/>
  <c r="L40" i="5" a="1"/>
  <c r="L40" i="5" s="1"/>
  <c r="L41" i="5" a="1"/>
  <c r="L41" i="5" s="1"/>
  <c r="K26" i="3" s="1"/>
  <c r="L42" i="5" a="1"/>
  <c r="L42" i="5" s="1"/>
  <c r="K27" i="3" s="1"/>
  <c r="L43" i="5" a="1"/>
  <c r="L43" i="5" s="1"/>
  <c r="K28" i="3" s="1"/>
  <c r="L44" i="5" a="1"/>
  <c r="L44" i="5" s="1"/>
  <c r="K29" i="3" s="1"/>
  <c r="L45" i="5" a="1"/>
  <c r="L45" i="5" s="1"/>
  <c r="L46" i="5" a="1"/>
  <c r="L46" i="5" s="1"/>
  <c r="L47" i="5" a="1"/>
  <c r="L47" i="5" s="1"/>
  <c r="L48" i="5" a="1"/>
  <c r="L48" i="5" s="1"/>
  <c r="K30" i="3" s="1"/>
  <c r="L49" i="5" a="1"/>
  <c r="L49" i="5" s="1"/>
  <c r="K31" i="3" s="1"/>
  <c r="L50" i="5" a="1"/>
  <c r="L50" i="5" s="1"/>
  <c r="K32" i="3" s="1"/>
  <c r="L51" i="5" a="1"/>
  <c r="L51" i="5" s="1"/>
  <c r="L52" i="5" a="1"/>
  <c r="L52" i="5" s="1"/>
  <c r="K33" i="3" s="1"/>
  <c r="L53" i="5" a="1"/>
  <c r="L53" i="5" s="1"/>
  <c r="L54" i="5" a="1"/>
  <c r="L54" i="5" s="1"/>
  <c r="L55" i="5" a="1"/>
  <c r="L55" i="5" s="1"/>
  <c r="L56" i="5" a="1"/>
  <c r="L56" i="5" s="1"/>
  <c r="L57" i="5" a="1"/>
  <c r="L57" i="5" s="1"/>
  <c r="L58" i="5" a="1"/>
  <c r="L58" i="5" s="1"/>
  <c r="K34" i="3" s="1"/>
  <c r="L59" i="5" a="1"/>
  <c r="L59" i="5" s="1"/>
  <c r="K35" i="3" s="1"/>
  <c r="L60" i="5" a="1"/>
  <c r="L60" i="5" s="1"/>
  <c r="K36" i="3" s="1"/>
  <c r="L61" i="5" a="1"/>
  <c r="L61" i="5" s="1"/>
  <c r="K37" i="3" s="1"/>
  <c r="L62" i="5" a="1"/>
  <c r="L62" i="5" s="1"/>
  <c r="K38" i="3" s="1"/>
  <c r="L63" i="5" a="1"/>
  <c r="L63" i="5" s="1"/>
  <c r="K39" i="3" s="1"/>
  <c r="L64" i="5" a="1"/>
  <c r="L64" i="5" s="1"/>
  <c r="L65" i="5" a="1"/>
  <c r="L65" i="5" s="1"/>
  <c r="L66" i="5" a="1"/>
  <c r="L66" i="5" s="1"/>
  <c r="L67" i="5" a="1"/>
  <c r="L67" i="5" s="1"/>
  <c r="L68" i="5" a="1"/>
  <c r="L68" i="5" s="1"/>
  <c r="L69" i="5" a="1"/>
  <c r="L69" i="5" s="1"/>
  <c r="L70" i="5" a="1"/>
  <c r="L70" i="5" s="1"/>
  <c r="L71" i="5" a="1"/>
  <c r="L71" i="5" s="1"/>
  <c r="L72" i="5" a="1"/>
  <c r="L72" i="5" s="1"/>
  <c r="L73" i="5" a="1"/>
  <c r="L73" i="5" s="1"/>
  <c r="L74" i="5" a="1"/>
  <c r="L74" i="5" s="1"/>
  <c r="L75" i="5" a="1"/>
  <c r="L75" i="5" s="1"/>
  <c r="L76" i="5" a="1"/>
  <c r="L76" i="5" s="1"/>
  <c r="L77" i="5" a="1"/>
  <c r="L77" i="5" s="1"/>
  <c r="L78" i="5" a="1"/>
  <c r="L78" i="5" s="1"/>
  <c r="L79" i="5" a="1"/>
  <c r="L79" i="5" s="1"/>
  <c r="L80" i="5" a="1"/>
  <c r="L80" i="5" s="1"/>
  <c r="L81" i="5" a="1"/>
  <c r="L81" i="5" s="1"/>
  <c r="L82" i="5" a="1"/>
  <c r="L82" i="5" s="1"/>
  <c r="L83" i="5" a="1"/>
  <c r="L83" i="5" s="1"/>
  <c r="L84" i="5" a="1"/>
  <c r="L84" i="5" s="1"/>
  <c r="L85" i="5" a="1"/>
  <c r="L85" i="5" s="1"/>
  <c r="L86" i="5" a="1"/>
  <c r="L86" i="5" s="1"/>
  <c r="K40" i="3" s="1"/>
  <c r="L87" i="5" a="1"/>
  <c r="L87" i="5" s="1"/>
  <c r="L88" i="5" a="1"/>
  <c r="L88" i="5" s="1"/>
  <c r="L89" i="5" a="1"/>
  <c r="L89" i="5" s="1"/>
  <c r="L90" i="5" a="1"/>
  <c r="L90" i="5" s="1"/>
  <c r="L91" i="5" a="1"/>
  <c r="L91" i="5" s="1"/>
  <c r="K41" i="3" s="1"/>
  <c r="L92" i="5" a="1"/>
  <c r="L92" i="5" s="1"/>
  <c r="L93" i="5" a="1"/>
  <c r="L93" i="5" s="1"/>
  <c r="L94" i="5" a="1"/>
  <c r="L94" i="5" s="1"/>
  <c r="L95" i="5" a="1"/>
  <c r="L95" i="5" s="1"/>
  <c r="L96" i="5" a="1"/>
  <c r="L96" i="5" s="1"/>
  <c r="L97" i="5" a="1"/>
  <c r="L97" i="5" s="1"/>
  <c r="L98" i="5" a="1"/>
  <c r="L98" i="5" s="1"/>
  <c r="L99" i="5" a="1"/>
  <c r="L99" i="5" s="1"/>
  <c r="L100" i="5" a="1"/>
  <c r="L100" i="5" s="1"/>
  <c r="L101" i="5" a="1"/>
  <c r="L101" i="5" s="1"/>
  <c r="L102" i="5" a="1"/>
  <c r="L102" i="5" s="1"/>
  <c r="L103" i="5" a="1"/>
  <c r="L103" i="5" s="1"/>
  <c r="L104" i="5" a="1"/>
  <c r="L104" i="5" s="1"/>
  <c r="L105" i="5" a="1"/>
  <c r="L105" i="5" s="1"/>
  <c r="L106" i="5" a="1"/>
  <c r="L106" i="5" s="1"/>
  <c r="L107" i="5" a="1"/>
  <c r="L107" i="5" s="1"/>
  <c r="L108" i="5" a="1"/>
  <c r="L108" i="5" s="1"/>
  <c r="L109" i="5" a="1"/>
  <c r="L109" i="5" s="1"/>
  <c r="L110" i="5" a="1"/>
  <c r="L110" i="5" s="1"/>
  <c r="L111" i="5" a="1"/>
  <c r="L111" i="5" s="1"/>
  <c r="L112" i="5" a="1"/>
  <c r="L112" i="5" s="1"/>
  <c r="L113" i="5" a="1"/>
  <c r="L113" i="5" s="1"/>
  <c r="L114" i="5" a="1"/>
  <c r="L114" i="5" s="1"/>
  <c r="L115" i="5" a="1"/>
  <c r="L115" i="5" s="1"/>
  <c r="L116" i="5" a="1"/>
  <c r="L116" i="5" s="1"/>
  <c r="L117" i="5" a="1"/>
  <c r="L117" i="5" s="1"/>
  <c r="L118" i="5" a="1"/>
  <c r="L118" i="5" s="1"/>
  <c r="L119" i="5" a="1"/>
  <c r="L119" i="5" s="1"/>
  <c r="L120" i="5" a="1"/>
  <c r="L120" i="5" s="1"/>
  <c r="K42" i="3" s="1"/>
  <c r="L121" i="5" a="1"/>
  <c r="L121" i="5" s="1"/>
  <c r="L122" i="5" a="1"/>
  <c r="L122" i="5" s="1"/>
  <c r="L123" i="5" a="1"/>
  <c r="L123" i="5" s="1"/>
  <c r="L124" i="5" a="1"/>
  <c r="L124" i="5" s="1"/>
  <c r="L125" i="5" a="1"/>
  <c r="L125" i="5" s="1"/>
  <c r="L126" i="5" a="1"/>
  <c r="L126" i="5" s="1"/>
  <c r="L127" i="5" a="1"/>
  <c r="L127" i="5" s="1"/>
  <c r="L128" i="5" a="1"/>
  <c r="L128" i="5" s="1"/>
  <c r="L129" i="5" a="1"/>
  <c r="L129" i="5" s="1"/>
  <c r="L130" i="5" a="1"/>
  <c r="L130" i="5" s="1"/>
  <c r="L131" i="5" a="1"/>
  <c r="L131" i="5" s="1"/>
  <c r="L132" i="5" a="1"/>
  <c r="L132" i="5" s="1"/>
  <c r="L133" i="5" a="1"/>
  <c r="L133" i="5" s="1"/>
  <c r="L134" i="5" a="1"/>
  <c r="L134" i="5" s="1"/>
  <c r="L135" i="5" a="1"/>
  <c r="L135" i="5" s="1"/>
  <c r="L136" i="5" a="1"/>
  <c r="L136" i="5" s="1"/>
  <c r="L137" i="5" a="1"/>
  <c r="L137" i="5" s="1"/>
  <c r="L138" i="5" a="1"/>
  <c r="L138" i="5" s="1"/>
  <c r="K43" i="3" s="1"/>
  <c r="L139" i="5" a="1"/>
  <c r="L139" i="5" s="1"/>
  <c r="L140" i="5" a="1"/>
  <c r="L140" i="5" s="1"/>
  <c r="L141" i="5" a="1"/>
  <c r="L141" i="5" s="1"/>
  <c r="L142" i="5" a="1"/>
  <c r="L142" i="5" s="1"/>
  <c r="L143" i="5" a="1"/>
  <c r="L143" i="5" s="1"/>
  <c r="L144" i="5" a="1"/>
  <c r="L144" i="5" s="1"/>
  <c r="L145" i="5" a="1"/>
  <c r="L145" i="5" s="1"/>
  <c r="L146" i="5" a="1"/>
  <c r="L146" i="5" s="1"/>
  <c r="L147" i="5" a="1"/>
  <c r="L147" i="5" s="1"/>
  <c r="L148" i="5" a="1"/>
  <c r="L148" i="5" s="1"/>
  <c r="L149" i="5" a="1"/>
  <c r="L149" i="5" s="1"/>
  <c r="L150" i="5" a="1"/>
  <c r="L150" i="5" s="1"/>
  <c r="L151" i="5" a="1"/>
  <c r="L151" i="5" s="1"/>
  <c r="L152" i="5" a="1"/>
  <c r="L152" i="5" s="1"/>
  <c r="L153" i="5" a="1"/>
  <c r="L153" i="5" s="1"/>
  <c r="L154" i="5" a="1"/>
  <c r="L154" i="5" s="1"/>
  <c r="L155" i="5" a="1"/>
  <c r="L155" i="5" s="1"/>
  <c r="L156" i="5" a="1"/>
  <c r="L156" i="5" s="1"/>
  <c r="L157" i="5" a="1"/>
  <c r="L157" i="5" s="1"/>
  <c r="L158" i="5" a="1"/>
  <c r="L158" i="5" s="1"/>
  <c r="L159" i="5" a="1"/>
  <c r="L159" i="5" s="1"/>
  <c r="L160" i="5" a="1"/>
  <c r="L160" i="5" s="1"/>
  <c r="L161" i="5" a="1"/>
  <c r="L161" i="5" s="1"/>
  <c r="L162" i="5" a="1"/>
  <c r="L162" i="5" s="1"/>
  <c r="L163" i="5" a="1"/>
  <c r="L163" i="5" s="1"/>
  <c r="L164" i="5" a="1"/>
  <c r="L164" i="5" s="1"/>
  <c r="L165" i="5" a="1"/>
  <c r="L165" i="5" s="1"/>
  <c r="K44" i="3" s="1"/>
  <c r="L166" i="5" a="1"/>
  <c r="L166" i="5" s="1"/>
  <c r="L167" i="5" a="1"/>
  <c r="L167" i="5" s="1"/>
  <c r="L168" i="5" a="1"/>
  <c r="L168" i="5" s="1"/>
  <c r="L169" i="5" a="1"/>
  <c r="L169" i="5" s="1"/>
  <c r="L170" i="5" a="1"/>
  <c r="L170" i="5" s="1"/>
  <c r="L171" i="5" a="1"/>
  <c r="L171" i="5" s="1"/>
  <c r="L172" i="5" a="1"/>
  <c r="L172" i="5" s="1"/>
  <c r="L173" i="5" a="1"/>
  <c r="L173" i="5" s="1"/>
  <c r="L174" i="5" a="1"/>
  <c r="L174" i="5" s="1"/>
  <c r="L175" i="5" a="1"/>
  <c r="L175" i="5" s="1"/>
  <c r="L176" i="5" a="1"/>
  <c r="L176" i="5" s="1"/>
  <c r="L177" i="5" a="1"/>
  <c r="L177" i="5" s="1"/>
  <c r="L178" i="5" a="1"/>
  <c r="L178" i="5" s="1"/>
  <c r="L179" i="5" a="1"/>
  <c r="L179" i="5" s="1"/>
  <c r="L180" i="5" a="1"/>
  <c r="L180" i="5" s="1"/>
  <c r="L181" i="5" a="1"/>
  <c r="L181" i="5" s="1"/>
  <c r="L182" i="5" a="1"/>
  <c r="L182" i="5" s="1"/>
  <c r="L183" i="5" a="1"/>
  <c r="L183" i="5" s="1"/>
  <c r="L184" i="5" a="1"/>
  <c r="L184" i="5" s="1"/>
  <c r="L185" i="5" a="1"/>
  <c r="L185" i="5" s="1"/>
  <c r="L186" i="5" a="1"/>
  <c r="L186" i="5" s="1"/>
  <c r="L187" i="5" a="1"/>
  <c r="L187" i="5" s="1"/>
  <c r="L188" i="5" a="1"/>
  <c r="L188" i="5" s="1"/>
  <c r="L189" i="5" a="1"/>
  <c r="L189" i="5" s="1"/>
  <c r="L190" i="5" a="1"/>
  <c r="L190" i="5" s="1"/>
  <c r="L191" i="5" a="1"/>
  <c r="L191" i="5" s="1"/>
  <c r="L192" i="5" a="1"/>
  <c r="L192" i="5" s="1"/>
  <c r="L193" i="5" a="1"/>
  <c r="L193" i="5" s="1"/>
  <c r="K45" i="3" s="1"/>
  <c r="L194" i="5" a="1"/>
  <c r="L194" i="5" s="1"/>
  <c r="K46" i="3" s="1"/>
  <c r="L195" i="5" a="1"/>
  <c r="L195" i="5" s="1"/>
  <c r="K47" i="3" s="1"/>
  <c r="L196" i="5" a="1"/>
  <c r="L196" i="5" s="1"/>
  <c r="K48" i="3" s="1"/>
  <c r="L197" i="5" a="1"/>
  <c r="L197" i="5" s="1"/>
  <c r="K49" i="3" s="1"/>
  <c r="L198" i="5" a="1"/>
  <c r="L198" i="5" s="1"/>
  <c r="L199" i="5" a="1"/>
  <c r="L199" i="5" s="1"/>
  <c r="L200" i="5" a="1"/>
  <c r="L200" i="5" s="1"/>
  <c r="L201" i="5" a="1"/>
  <c r="L201" i="5" s="1"/>
  <c r="L202" i="5" a="1"/>
  <c r="L202" i="5" s="1"/>
  <c r="L203" i="5" a="1"/>
  <c r="L203" i="5" s="1"/>
  <c r="L204" i="5" a="1"/>
  <c r="L204" i="5" s="1"/>
  <c r="L205" i="5" a="1"/>
  <c r="L205" i="5" s="1"/>
  <c r="L206" i="5" a="1"/>
  <c r="L206" i="5" s="1"/>
  <c r="L207" i="5" a="1"/>
  <c r="L207" i="5" s="1"/>
  <c r="L208" i="5" a="1"/>
  <c r="L208" i="5" s="1"/>
  <c r="L209" i="5" a="1"/>
  <c r="L209" i="5" s="1"/>
  <c r="L210" i="5" a="1"/>
  <c r="L210" i="5" s="1"/>
  <c r="L211" i="5" a="1"/>
  <c r="L211" i="5" s="1"/>
  <c r="L212" i="5" a="1"/>
  <c r="L212" i="5" s="1"/>
  <c r="L213" i="5" a="1"/>
  <c r="L213" i="5" s="1"/>
  <c r="L214" i="5" a="1"/>
  <c r="L214" i="5" s="1"/>
  <c r="L215" i="5" a="1"/>
  <c r="L215" i="5" s="1"/>
  <c r="L216" i="5" a="1"/>
  <c r="L216" i="5" s="1"/>
  <c r="L217" i="5" a="1"/>
  <c r="L217" i="5" s="1"/>
  <c r="L218" i="5" a="1"/>
  <c r="L218" i="5" s="1"/>
  <c r="L219" i="5" a="1"/>
  <c r="L219" i="5" s="1"/>
  <c r="L220" i="5" a="1"/>
  <c r="L220" i="5" s="1"/>
  <c r="L221" i="5" a="1"/>
  <c r="L221" i="5" s="1"/>
  <c r="L222" i="5" a="1"/>
  <c r="L222" i="5" s="1"/>
  <c r="L223" i="5" a="1"/>
  <c r="L223" i="5" s="1"/>
  <c r="K50" i="3" s="1"/>
  <c r="L224" i="5" a="1"/>
  <c r="L224" i="5" s="1"/>
  <c r="L225" i="5" a="1"/>
  <c r="L225" i="5" s="1"/>
  <c r="L226" i="5" a="1"/>
  <c r="L226" i="5" s="1"/>
  <c r="L227" i="5" a="1"/>
  <c r="L227" i="5" s="1"/>
  <c r="L228" i="5" a="1"/>
  <c r="L228" i="5" s="1"/>
  <c r="L229" i="5" a="1"/>
  <c r="L229" i="5" s="1"/>
  <c r="L230" i="5" a="1"/>
  <c r="L230" i="5" s="1"/>
  <c r="L231" i="5" a="1"/>
  <c r="L231" i="5" s="1"/>
  <c r="L232" i="5" a="1"/>
  <c r="L232" i="5" s="1"/>
  <c r="L233" i="5" a="1"/>
  <c r="L233" i="5" s="1"/>
  <c r="L234" i="5" a="1"/>
  <c r="L234" i="5" s="1"/>
  <c r="L235" i="5" a="1"/>
  <c r="L235" i="5" s="1"/>
  <c r="L236" i="5" a="1"/>
  <c r="L236" i="5" s="1"/>
  <c r="L237" i="5" a="1"/>
  <c r="L237" i="5" s="1"/>
  <c r="L238" i="5" a="1"/>
  <c r="L238" i="5" s="1"/>
  <c r="L239" i="5" a="1"/>
  <c r="L239" i="5" s="1"/>
  <c r="L240" i="5" a="1"/>
  <c r="L240" i="5" s="1"/>
  <c r="L241" i="5" a="1"/>
  <c r="L241" i="5" s="1"/>
  <c r="L242" i="5" a="1"/>
  <c r="L242" i="5" s="1"/>
  <c r="K51" i="3" s="1"/>
  <c r="L243" i="5" a="1"/>
  <c r="L243" i="5" s="1"/>
  <c r="L244" i="5" a="1"/>
  <c r="L244" i="5" s="1"/>
  <c r="L6" i="5" a="1"/>
  <c r="L6" i="5" s="1"/>
  <c r="K14" i="3" s="1"/>
  <c r="K7" i="5" a="1"/>
  <c r="K7" i="5" s="1"/>
  <c r="J15" i="3" s="1"/>
  <c r="K8" i="5" a="1"/>
  <c r="K8" i="5" s="1"/>
  <c r="J16" i="3" s="1"/>
  <c r="K9" i="5" a="1"/>
  <c r="K9" i="5" s="1"/>
  <c r="J17" i="3" s="1"/>
  <c r="K10" i="5" a="1"/>
  <c r="K10" i="5" s="1"/>
  <c r="J18" i="3" s="1"/>
  <c r="K11" i="5" a="1"/>
  <c r="K11" i="5" s="1"/>
  <c r="J19" i="3" s="1"/>
  <c r="K12" i="5" a="1"/>
  <c r="K12" i="5" s="1"/>
  <c r="J20" i="3" s="1"/>
  <c r="K13" i="5" a="1"/>
  <c r="K13" i="5" s="1"/>
  <c r="K14" i="5" a="1"/>
  <c r="K14" i="5" s="1"/>
  <c r="K15" i="5" a="1"/>
  <c r="K15" i="5" s="1"/>
  <c r="K16" i="5" a="1"/>
  <c r="K16" i="5" s="1"/>
  <c r="K17" i="5" a="1"/>
  <c r="K17" i="5" s="1"/>
  <c r="K18" i="5" a="1"/>
  <c r="K18" i="5"/>
  <c r="K19" i="5" a="1"/>
  <c r="K19" i="5" s="1"/>
  <c r="J21" i="3" s="1"/>
  <c r="K20" i="5" a="1"/>
  <c r="K20" i="5" s="1"/>
  <c r="K21" i="5" a="1"/>
  <c r="K21" i="5" s="1"/>
  <c r="K22" i="5" a="1"/>
  <c r="K22" i="5" s="1"/>
  <c r="J22" i="3" s="1"/>
  <c r="K23" i="5" a="1"/>
  <c r="K23" i="5" s="1"/>
  <c r="K24" i="5" a="1"/>
  <c r="K24" i="5" s="1"/>
  <c r="K25" i="5" a="1"/>
  <c r="K25" i="5" s="1"/>
  <c r="K26" i="5" a="1"/>
  <c r="K26" i="5" s="1"/>
  <c r="J23" i="3" s="1"/>
  <c r="K27" i="5" a="1"/>
  <c r="K27" i="5" s="1"/>
  <c r="K28" i="5" a="1"/>
  <c r="K28" i="5" s="1"/>
  <c r="K29" i="5" a="1"/>
  <c r="K29" i="5" s="1"/>
  <c r="J24" i="3" s="1"/>
  <c r="K30" i="5" a="1"/>
  <c r="K30" i="5"/>
  <c r="K31" i="5" a="1"/>
  <c r="K31" i="5" s="1"/>
  <c r="K32" i="5" a="1"/>
  <c r="K32" i="5" s="1"/>
  <c r="K33" i="5" a="1"/>
  <c r="K33" i="5" s="1"/>
  <c r="K34" i="5" a="1"/>
  <c r="K34" i="5" s="1"/>
  <c r="K35" i="5" a="1"/>
  <c r="K35" i="5" s="1"/>
  <c r="K36" i="5" a="1"/>
  <c r="K36" i="5" s="1"/>
  <c r="J25" i="3" s="1"/>
  <c r="K37" i="5" a="1"/>
  <c r="K37" i="5" s="1"/>
  <c r="K38" i="5" a="1"/>
  <c r="K38" i="5" s="1"/>
  <c r="K39" i="5" a="1"/>
  <c r="K39" i="5" s="1"/>
  <c r="K40" i="5" a="1"/>
  <c r="K40" i="5" s="1"/>
  <c r="K41" i="5" a="1"/>
  <c r="K41" i="5" s="1"/>
  <c r="J26" i="3" s="1"/>
  <c r="K42" i="5" a="1"/>
  <c r="K42" i="5"/>
  <c r="J27" i="3" s="1"/>
  <c r="K43" i="5" a="1"/>
  <c r="K43" i="5" s="1"/>
  <c r="J28" i="3" s="1"/>
  <c r="K44" i="5" a="1"/>
  <c r="K44" i="5" s="1"/>
  <c r="J29" i="3" s="1"/>
  <c r="K45" i="5" a="1"/>
  <c r="K45" i="5" s="1"/>
  <c r="K46" i="5" a="1"/>
  <c r="K46" i="5" s="1"/>
  <c r="K47" i="5" a="1"/>
  <c r="K47" i="5" s="1"/>
  <c r="K48" i="5" a="1"/>
  <c r="K48" i="5" s="1"/>
  <c r="J30" i="3" s="1"/>
  <c r="K49" i="5" a="1"/>
  <c r="K49" i="5" s="1"/>
  <c r="J31" i="3" s="1"/>
  <c r="K50" i="5" a="1"/>
  <c r="K50" i="5" s="1"/>
  <c r="J32" i="3" s="1"/>
  <c r="K51" i="5" a="1"/>
  <c r="K51" i="5" s="1"/>
  <c r="K52" i="5" a="1"/>
  <c r="K52" i="5" s="1"/>
  <c r="J33" i="3" s="1"/>
  <c r="K53" i="5" a="1"/>
  <c r="K53" i="5" s="1"/>
  <c r="K54" i="5" a="1"/>
  <c r="K54" i="5"/>
  <c r="K55" i="5" a="1"/>
  <c r="K55" i="5" s="1"/>
  <c r="K56" i="5" a="1"/>
  <c r="K56" i="5" s="1"/>
  <c r="K57" i="5" a="1"/>
  <c r="K57" i="5" s="1"/>
  <c r="K58" i="5" a="1"/>
  <c r="K58" i="5" s="1"/>
  <c r="J34" i="3" s="1"/>
  <c r="K59" i="5" a="1"/>
  <c r="K59" i="5" s="1"/>
  <c r="J35" i="3" s="1"/>
  <c r="K60" i="5" a="1"/>
  <c r="K60" i="5" s="1"/>
  <c r="J36" i="3" s="1"/>
  <c r="K61" i="5" a="1"/>
  <c r="K61" i="5" s="1"/>
  <c r="J37" i="3" s="1"/>
  <c r="K62" i="5" a="1"/>
  <c r="K62" i="5" s="1"/>
  <c r="J38" i="3" s="1"/>
  <c r="K63" i="5" a="1"/>
  <c r="K63" i="5" s="1"/>
  <c r="J39" i="3" s="1"/>
  <c r="K64" i="5" a="1"/>
  <c r="K64" i="5" s="1"/>
  <c r="K65" i="5" a="1"/>
  <c r="K65" i="5" s="1"/>
  <c r="K66" i="5" a="1"/>
  <c r="K66" i="5"/>
  <c r="K67" i="5" a="1"/>
  <c r="K67" i="5" s="1"/>
  <c r="K68" i="5" a="1"/>
  <c r="K68" i="5" s="1"/>
  <c r="K69" i="5" a="1"/>
  <c r="K69" i="5" s="1"/>
  <c r="K70" i="5" a="1"/>
  <c r="K70" i="5" s="1"/>
  <c r="K71" i="5" a="1"/>
  <c r="K71" i="5" s="1"/>
  <c r="K72" i="5" a="1"/>
  <c r="K72" i="5" s="1"/>
  <c r="K73" i="5" a="1"/>
  <c r="K73" i="5" s="1"/>
  <c r="K74" i="5" a="1"/>
  <c r="K74" i="5" s="1"/>
  <c r="K75" i="5" a="1"/>
  <c r="K75" i="5" s="1"/>
  <c r="K76" i="5" a="1"/>
  <c r="K76" i="5" s="1"/>
  <c r="K77" i="5" a="1"/>
  <c r="K77" i="5" s="1"/>
  <c r="K78" i="5" a="1"/>
  <c r="K78" i="5"/>
  <c r="K79" i="5" a="1"/>
  <c r="K79" i="5" s="1"/>
  <c r="K80" i="5" a="1"/>
  <c r="K80" i="5" s="1"/>
  <c r="K81" i="5" a="1"/>
  <c r="K81" i="5" s="1"/>
  <c r="K82" i="5" a="1"/>
  <c r="K82" i="5" s="1"/>
  <c r="K83" i="5" a="1"/>
  <c r="K83" i="5" s="1"/>
  <c r="K84" i="5" a="1"/>
  <c r="K84" i="5" s="1"/>
  <c r="K85" i="5" a="1"/>
  <c r="K85" i="5" s="1"/>
  <c r="K86" i="5" a="1"/>
  <c r="K86" i="5" s="1"/>
  <c r="J40" i="3" s="1"/>
  <c r="K87" i="5" a="1"/>
  <c r="K87" i="5" s="1"/>
  <c r="K88" i="5" a="1"/>
  <c r="K88" i="5" s="1"/>
  <c r="K89" i="5" a="1"/>
  <c r="K89" i="5" s="1"/>
  <c r="K90" i="5" a="1"/>
  <c r="K90" i="5"/>
  <c r="K91" i="5" a="1"/>
  <c r="K91" i="5" s="1"/>
  <c r="J41" i="3" s="1"/>
  <c r="K92" i="5" a="1"/>
  <c r="K92" i="5" s="1"/>
  <c r="K93" i="5" a="1"/>
  <c r="K93" i="5" s="1"/>
  <c r="K94" i="5" a="1"/>
  <c r="K94" i="5" s="1"/>
  <c r="K95" i="5" a="1"/>
  <c r="K95" i="5" s="1"/>
  <c r="K96" i="5" a="1"/>
  <c r="K96" i="5" s="1"/>
  <c r="K97" i="5" a="1"/>
  <c r="K97" i="5" s="1"/>
  <c r="K98" i="5" a="1"/>
  <c r="K98" i="5" s="1"/>
  <c r="K99" i="5" a="1"/>
  <c r="K99" i="5" s="1"/>
  <c r="K100" i="5" a="1"/>
  <c r="K100" i="5" s="1"/>
  <c r="K101" i="5" a="1"/>
  <c r="K101" i="5" s="1"/>
  <c r="K102" i="5" a="1"/>
  <c r="K102" i="5"/>
  <c r="K103" i="5" a="1"/>
  <c r="K103" i="5" s="1"/>
  <c r="K104" i="5" a="1"/>
  <c r="K104" i="5" s="1"/>
  <c r="K105" i="5" a="1"/>
  <c r="K105" i="5" s="1"/>
  <c r="K106" i="5" a="1"/>
  <c r="K106" i="5" s="1"/>
  <c r="K107" i="5" a="1"/>
  <c r="K107" i="5" s="1"/>
  <c r="K108" i="5" a="1"/>
  <c r="K108" i="5" s="1"/>
  <c r="K109" i="5" a="1"/>
  <c r="K109" i="5" s="1"/>
  <c r="K110" i="5" a="1"/>
  <c r="K110" i="5" s="1"/>
  <c r="K111" i="5" a="1"/>
  <c r="K111" i="5" s="1"/>
  <c r="K112" i="5" a="1"/>
  <c r="K112" i="5" s="1"/>
  <c r="K113" i="5" a="1"/>
  <c r="K113" i="5" s="1"/>
  <c r="K114" i="5" a="1"/>
  <c r="K114" i="5"/>
  <c r="K115" i="5" a="1"/>
  <c r="K115" i="5" s="1"/>
  <c r="K116" i="5" a="1"/>
  <c r="K116" i="5" s="1"/>
  <c r="K117" i="5" a="1"/>
  <c r="K117" i="5" s="1"/>
  <c r="K118" i="5" a="1"/>
  <c r="K118" i="5" s="1"/>
  <c r="K119" i="5" a="1"/>
  <c r="K119" i="5" s="1"/>
  <c r="K120" i="5" a="1"/>
  <c r="K120" i="5" s="1"/>
  <c r="J42" i="3" s="1"/>
  <c r="K121" i="5" a="1"/>
  <c r="K121" i="5" s="1"/>
  <c r="K122" i="5" a="1"/>
  <c r="K122" i="5" s="1"/>
  <c r="K123" i="5" a="1"/>
  <c r="K123" i="5" s="1"/>
  <c r="K124" i="5" a="1"/>
  <c r="K124" i="5" s="1"/>
  <c r="K125" i="5" a="1"/>
  <c r="K125" i="5" s="1"/>
  <c r="K126" i="5" a="1"/>
  <c r="K126" i="5"/>
  <c r="K127" i="5" a="1"/>
  <c r="K127" i="5" s="1"/>
  <c r="K128" i="5" a="1"/>
  <c r="K128" i="5" s="1"/>
  <c r="K129" i="5" a="1"/>
  <c r="K129" i="5" s="1"/>
  <c r="K130" i="5" a="1"/>
  <c r="K130" i="5" s="1"/>
  <c r="K131" i="5" a="1"/>
  <c r="K131" i="5" s="1"/>
  <c r="K132" i="5" a="1"/>
  <c r="K132" i="5" s="1"/>
  <c r="K133" i="5" a="1"/>
  <c r="K133" i="5" s="1"/>
  <c r="K134" i="5" a="1"/>
  <c r="K134" i="5" s="1"/>
  <c r="K135" i="5" a="1"/>
  <c r="K135" i="5" s="1"/>
  <c r="K136" i="5" a="1"/>
  <c r="K136" i="5" s="1"/>
  <c r="K137" i="5" a="1"/>
  <c r="K137" i="5" s="1"/>
  <c r="K138" i="5" a="1"/>
  <c r="K138" i="5" s="1"/>
  <c r="J43" i="3" s="1"/>
  <c r="K139" i="5" a="1"/>
  <c r="K139" i="5" s="1"/>
  <c r="K140" i="5" a="1"/>
  <c r="K140" i="5" s="1"/>
  <c r="K141" i="5" a="1"/>
  <c r="K141" i="5" s="1"/>
  <c r="K142" i="5" a="1"/>
  <c r="K142" i="5" s="1"/>
  <c r="K143" i="5" a="1"/>
  <c r="K143" i="5" s="1"/>
  <c r="K144" i="5" a="1"/>
  <c r="K144" i="5" s="1"/>
  <c r="K145" i="5" a="1"/>
  <c r="K145" i="5" s="1"/>
  <c r="K146" i="5" a="1"/>
  <c r="K146" i="5" s="1"/>
  <c r="K147" i="5" a="1"/>
  <c r="K147" i="5" s="1"/>
  <c r="K148" i="5" a="1"/>
  <c r="K148" i="5" s="1"/>
  <c r="K149" i="5" a="1"/>
  <c r="K149" i="5" s="1"/>
  <c r="K150" i="5" a="1"/>
  <c r="K150" i="5" s="1"/>
  <c r="K151" i="5" a="1"/>
  <c r="K151" i="5" s="1"/>
  <c r="K152" i="5" a="1"/>
  <c r="K152" i="5" s="1"/>
  <c r="K153" i="5" a="1"/>
  <c r="K153" i="5" s="1"/>
  <c r="K154" i="5" a="1"/>
  <c r="K154" i="5" s="1"/>
  <c r="K155" i="5" a="1"/>
  <c r="K155" i="5" s="1"/>
  <c r="K156" i="5" a="1"/>
  <c r="K156" i="5" s="1"/>
  <c r="K157" i="5" a="1"/>
  <c r="K157" i="5" s="1"/>
  <c r="K158" i="5" a="1"/>
  <c r="K158" i="5" s="1"/>
  <c r="K159" i="5" a="1"/>
  <c r="K159" i="5" s="1"/>
  <c r="K160" i="5" a="1"/>
  <c r="K160" i="5" s="1"/>
  <c r="K161" i="5" a="1"/>
  <c r="K161" i="5" s="1"/>
  <c r="K162" i="5" a="1"/>
  <c r="K162" i="5" s="1"/>
  <c r="K163" i="5" a="1"/>
  <c r="K163" i="5" s="1"/>
  <c r="K164" i="5" a="1"/>
  <c r="K164" i="5" s="1"/>
  <c r="K165" i="5" a="1"/>
  <c r="K165" i="5" s="1"/>
  <c r="J44" i="3" s="1"/>
  <c r="K166" i="5" a="1"/>
  <c r="K166" i="5" s="1"/>
  <c r="K167" i="5" a="1"/>
  <c r="K167" i="5" s="1"/>
  <c r="K168" i="5" a="1"/>
  <c r="K168" i="5" s="1"/>
  <c r="K169" i="5" a="1"/>
  <c r="K169" i="5" s="1"/>
  <c r="K170" i="5" a="1"/>
  <c r="K170" i="5" s="1"/>
  <c r="K171" i="5" a="1"/>
  <c r="K171" i="5" s="1"/>
  <c r="K172" i="5" a="1"/>
  <c r="K172" i="5" s="1"/>
  <c r="K173" i="5" a="1"/>
  <c r="K173" i="5" s="1"/>
  <c r="K174" i="5" a="1"/>
  <c r="K174" i="5" s="1"/>
  <c r="K175" i="5" a="1"/>
  <c r="K175" i="5" s="1"/>
  <c r="K176" i="5" a="1"/>
  <c r="K176" i="5" s="1"/>
  <c r="K177" i="5" a="1"/>
  <c r="K177" i="5" s="1"/>
  <c r="K178" i="5" a="1"/>
  <c r="K178" i="5" s="1"/>
  <c r="K179" i="5" a="1"/>
  <c r="K179" i="5" s="1"/>
  <c r="K180" i="5" a="1"/>
  <c r="K180" i="5" s="1"/>
  <c r="K181" i="5" a="1"/>
  <c r="K181" i="5" s="1"/>
  <c r="K182" i="5" a="1"/>
  <c r="K182" i="5" s="1"/>
  <c r="K183" i="5" a="1"/>
  <c r="K183" i="5" s="1"/>
  <c r="K184" i="5" a="1"/>
  <c r="K184" i="5" s="1"/>
  <c r="K185" i="5" a="1"/>
  <c r="K185" i="5" s="1"/>
  <c r="K186" i="5" a="1"/>
  <c r="K186" i="5" s="1"/>
  <c r="K187" i="5" a="1"/>
  <c r="K187" i="5" s="1"/>
  <c r="K188" i="5" a="1"/>
  <c r="K188" i="5" s="1"/>
  <c r="K189" i="5" a="1"/>
  <c r="K189" i="5" s="1"/>
  <c r="K190" i="5" a="1"/>
  <c r="K190" i="5" s="1"/>
  <c r="K191" i="5" a="1"/>
  <c r="K191" i="5" s="1"/>
  <c r="K192" i="5" a="1"/>
  <c r="K192" i="5" s="1"/>
  <c r="K193" i="5" a="1"/>
  <c r="K193" i="5" s="1"/>
  <c r="J45" i="3" s="1"/>
  <c r="K194" i="5" a="1"/>
  <c r="K194" i="5" s="1"/>
  <c r="J46" i="3" s="1"/>
  <c r="K195" i="5" a="1"/>
  <c r="K195" i="5" s="1"/>
  <c r="J47" i="3" s="1"/>
  <c r="K196" i="5" a="1"/>
  <c r="K196" i="5" s="1"/>
  <c r="J48" i="3" s="1"/>
  <c r="K197" i="5" a="1"/>
  <c r="K197" i="5" s="1"/>
  <c r="J49" i="3" s="1"/>
  <c r="K198" i="5" a="1"/>
  <c r="K198" i="5" s="1"/>
  <c r="K199" i="5" a="1"/>
  <c r="K199" i="5" s="1"/>
  <c r="K200" i="5" a="1"/>
  <c r="K200" i="5" s="1"/>
  <c r="K201" i="5" a="1"/>
  <c r="K201" i="5" s="1"/>
  <c r="K202" i="5" a="1"/>
  <c r="K202" i="5" s="1"/>
  <c r="K203" i="5" a="1"/>
  <c r="K203" i="5" s="1"/>
  <c r="K204" i="5" a="1"/>
  <c r="K204" i="5" s="1"/>
  <c r="K205" i="5" a="1"/>
  <c r="K205" i="5" s="1"/>
  <c r="K206" i="5" a="1"/>
  <c r="K206" i="5" s="1"/>
  <c r="K207" i="5" a="1"/>
  <c r="K207" i="5" s="1"/>
  <c r="K208" i="5" a="1"/>
  <c r="K208" i="5" s="1"/>
  <c r="K209" i="5" a="1"/>
  <c r="K209" i="5" s="1"/>
  <c r="K210" i="5" a="1"/>
  <c r="K210" i="5" s="1"/>
  <c r="K211" i="5" a="1"/>
  <c r="K211" i="5" s="1"/>
  <c r="K212" i="5" a="1"/>
  <c r="K212" i="5" s="1"/>
  <c r="K213" i="5" a="1"/>
  <c r="K213" i="5" s="1"/>
  <c r="K214" i="5" a="1"/>
  <c r="K214" i="5" s="1"/>
  <c r="K215" i="5" a="1"/>
  <c r="K215" i="5" s="1"/>
  <c r="K216" i="5" a="1"/>
  <c r="K216" i="5" s="1"/>
  <c r="K217" i="5" a="1"/>
  <c r="K217" i="5" s="1"/>
  <c r="K218" i="5" a="1"/>
  <c r="K218" i="5" s="1"/>
  <c r="K219" i="5" a="1"/>
  <c r="K219" i="5" s="1"/>
  <c r="K220" i="5" a="1"/>
  <c r="K220" i="5" s="1"/>
  <c r="K221" i="5" a="1"/>
  <c r="K221" i="5" s="1"/>
  <c r="K222" i="5" a="1"/>
  <c r="K222" i="5" s="1"/>
  <c r="K223" i="5" a="1"/>
  <c r="K223" i="5" s="1"/>
  <c r="J50" i="3" s="1"/>
  <c r="K224" i="5" a="1"/>
  <c r="K224" i="5" s="1"/>
  <c r="K225" i="5" a="1"/>
  <c r="K225" i="5" s="1"/>
  <c r="K226" i="5" a="1"/>
  <c r="K226" i="5" s="1"/>
  <c r="K227" i="5" a="1"/>
  <c r="K227" i="5" s="1"/>
  <c r="K228" i="5" a="1"/>
  <c r="K228" i="5" s="1"/>
  <c r="K229" i="5" a="1"/>
  <c r="K229" i="5" s="1"/>
  <c r="K230" i="5" a="1"/>
  <c r="K230" i="5" s="1"/>
  <c r="K231" i="5" a="1"/>
  <c r="K231" i="5" s="1"/>
  <c r="K232" i="5" a="1"/>
  <c r="K232" i="5" s="1"/>
  <c r="K233" i="5" a="1"/>
  <c r="K233" i="5" s="1"/>
  <c r="K234" i="5" a="1"/>
  <c r="K234" i="5" s="1"/>
  <c r="K235" i="5" a="1"/>
  <c r="K235" i="5" s="1"/>
  <c r="K236" i="5" a="1"/>
  <c r="K236" i="5" s="1"/>
  <c r="K237" i="5" a="1"/>
  <c r="K237" i="5" s="1"/>
  <c r="K238" i="5" a="1"/>
  <c r="K238" i="5" s="1"/>
  <c r="K239" i="5" a="1"/>
  <c r="K239" i="5" s="1"/>
  <c r="K240" i="5" a="1"/>
  <c r="K240" i="5" s="1"/>
  <c r="K241" i="5" a="1"/>
  <c r="K241" i="5" s="1"/>
  <c r="K242" i="5" a="1"/>
  <c r="K242" i="5" s="1"/>
  <c r="J51" i="3" s="1"/>
  <c r="K243" i="5" a="1"/>
  <c r="K243" i="5" s="1"/>
  <c r="K244" i="5" a="1"/>
  <c r="K244" i="5" s="1"/>
  <c r="K6" i="5" a="1"/>
  <c r="K6" i="5" s="1"/>
  <c r="J14" i="3" s="1"/>
  <c r="F51" i="3"/>
  <c r="G51" i="3"/>
  <c r="G243" i="5"/>
  <c r="G244" i="5"/>
  <c r="G242" i="5"/>
  <c r="H242" i="5" s="1"/>
  <c r="H51" i="3" s="1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23" i="5"/>
  <c r="H223" i="5" s="1"/>
  <c r="H50" i="3" s="1"/>
  <c r="G222" i="5"/>
  <c r="G221" i="5"/>
  <c r="G220" i="5"/>
  <c r="G219" i="5"/>
  <c r="G218" i="5"/>
  <c r="G21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197" i="5"/>
  <c r="I49" i="3" s="1"/>
  <c r="G196" i="5"/>
  <c r="H196" i="5" s="1"/>
  <c r="H48" i="3" s="1"/>
  <c r="G195" i="5"/>
  <c r="H195" i="5" s="1"/>
  <c r="H47" i="3" s="1"/>
  <c r="G194" i="5"/>
  <c r="H194" i="5" s="1"/>
  <c r="H46" i="3" s="1"/>
  <c r="G193" i="5"/>
  <c r="H193" i="5" s="1"/>
  <c r="H45" i="3" s="1"/>
  <c r="G192" i="5"/>
  <c r="G191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65" i="5"/>
  <c r="H165" i="5" s="1"/>
  <c r="H44" i="3" s="1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38" i="5"/>
  <c r="H138" i="5" s="1"/>
  <c r="H43" i="3" s="1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20" i="5"/>
  <c r="H120" i="5" s="1"/>
  <c r="H42" i="3" s="1"/>
  <c r="G119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91" i="5"/>
  <c r="H91" i="5" s="1"/>
  <c r="H41" i="3" s="1"/>
  <c r="G86" i="5"/>
  <c r="H86" i="5" s="1"/>
  <c r="H40" i="3" s="1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63" i="5"/>
  <c r="H63" i="5" s="1"/>
  <c r="H39" i="3" s="1"/>
  <c r="G62" i="5"/>
  <c r="H62" i="5" s="1"/>
  <c r="H38" i="3" s="1"/>
  <c r="G61" i="5"/>
  <c r="H61" i="5" s="1"/>
  <c r="H37" i="3" s="1"/>
  <c r="G60" i="5"/>
  <c r="H60" i="5" s="1"/>
  <c r="H36" i="3" s="1"/>
  <c r="G59" i="5"/>
  <c r="H59" i="5" s="1"/>
  <c r="H35" i="3" s="1"/>
  <c r="G58" i="5"/>
  <c r="H58" i="5" s="1"/>
  <c r="H34" i="3" s="1"/>
  <c r="G53" i="5"/>
  <c r="G54" i="5"/>
  <c r="G55" i="5"/>
  <c r="G56" i="5"/>
  <c r="G57" i="5"/>
  <c r="G52" i="5"/>
  <c r="H52" i="5" s="1"/>
  <c r="H33" i="3" s="1"/>
  <c r="G51" i="5"/>
  <c r="G50" i="5"/>
  <c r="H50" i="5" s="1"/>
  <c r="H32" i="3" s="1"/>
  <c r="G49" i="5"/>
  <c r="H49" i="5" s="1"/>
  <c r="H31" i="3" s="1"/>
  <c r="G48" i="5"/>
  <c r="H48" i="5" s="1"/>
  <c r="H30" i="3" s="1"/>
  <c r="G45" i="5"/>
  <c r="G46" i="5"/>
  <c r="G47" i="5"/>
  <c r="G44" i="5"/>
  <c r="I29" i="3" s="1"/>
  <c r="G43" i="5"/>
  <c r="H43" i="5" s="1"/>
  <c r="H28" i="3" s="1"/>
  <c r="G42" i="5"/>
  <c r="H42" i="5" s="1"/>
  <c r="H27" i="3" s="1"/>
  <c r="G41" i="5"/>
  <c r="H41" i="5" s="1"/>
  <c r="H26" i="3" s="1"/>
  <c r="G37" i="5"/>
  <c r="G38" i="5"/>
  <c r="G39" i="5"/>
  <c r="G40" i="5"/>
  <c r="G36" i="5"/>
  <c r="H36" i="5" s="1"/>
  <c r="H25" i="3" s="1"/>
  <c r="G29" i="5"/>
  <c r="H29" i="5" s="1"/>
  <c r="H24" i="3" s="1"/>
  <c r="G30" i="5"/>
  <c r="G31" i="5"/>
  <c r="G32" i="5"/>
  <c r="G33" i="5"/>
  <c r="G34" i="5"/>
  <c r="G35" i="5"/>
  <c r="G28" i="5"/>
  <c r="G27" i="5"/>
  <c r="G26" i="5"/>
  <c r="H26" i="5" s="1"/>
  <c r="H23" i="3" s="1"/>
  <c r="G25" i="5"/>
  <c r="G24" i="5"/>
  <c r="G23" i="5"/>
  <c r="G22" i="5"/>
  <c r="H22" i="5" s="1"/>
  <c r="H22" i="3" s="1"/>
  <c r="G21" i="5"/>
  <c r="G20" i="5"/>
  <c r="G19" i="5"/>
  <c r="H19" i="5" s="1"/>
  <c r="H21" i="3" s="1"/>
  <c r="G12" i="5"/>
  <c r="I20" i="3" s="1"/>
  <c r="G6" i="5"/>
  <c r="H6" i="5" s="1"/>
  <c r="H14" i="3" s="1"/>
  <c r="G7" i="5"/>
  <c r="H7" i="5" s="1"/>
  <c r="H15" i="3" s="1"/>
  <c r="G8" i="5"/>
  <c r="H8" i="5" s="1"/>
  <c r="H16" i="3" s="1"/>
  <c r="G9" i="5"/>
  <c r="H9" i="5" s="1"/>
  <c r="H17" i="3" s="1"/>
  <c r="G10" i="5"/>
  <c r="H10" i="5" s="1"/>
  <c r="H18" i="3" s="1"/>
  <c r="G11" i="5"/>
  <c r="H11" i="5" s="1"/>
  <c r="H19" i="3" s="1"/>
  <c r="G13" i="5"/>
  <c r="G14" i="5"/>
  <c r="G15" i="5"/>
  <c r="G16" i="5"/>
  <c r="G17" i="5"/>
  <c r="G18" i="5"/>
  <c r="AH14" i="3"/>
  <c r="AK14" i="3" s="1"/>
  <c r="AM14" i="3" s="1"/>
  <c r="L4" i="3" s="1"/>
  <c r="I51" i="3" l="1"/>
  <c r="M51" i="3" s="1"/>
  <c r="I24" i="3"/>
  <c r="M24" i="3" s="1"/>
  <c r="I32" i="3"/>
  <c r="M32" i="3" s="1"/>
  <c r="I16" i="3"/>
  <c r="M16" i="3" s="1"/>
  <c r="N16" i="3" s="1"/>
  <c r="X16" i="3" s="1"/>
  <c r="I48" i="3"/>
  <c r="M48" i="3" s="1"/>
  <c r="I47" i="3"/>
  <c r="M47" i="3" s="1"/>
  <c r="N47" i="3" s="1"/>
  <c r="X47" i="3" s="1"/>
  <c r="I39" i="3"/>
  <c r="M39" i="3" s="1"/>
  <c r="O39" i="3" s="1"/>
  <c r="I31" i="3"/>
  <c r="M31" i="3" s="1"/>
  <c r="O31" i="3" s="1"/>
  <c r="I23" i="3"/>
  <c r="M23" i="3" s="1"/>
  <c r="O23" i="3" s="1"/>
  <c r="I15" i="3"/>
  <c r="M15" i="3" s="1"/>
  <c r="O15" i="3" s="1"/>
  <c r="I46" i="3"/>
  <c r="M46" i="3" s="1"/>
  <c r="P46" i="3" s="1"/>
  <c r="I38" i="3"/>
  <c r="M38" i="3" s="1"/>
  <c r="O38" i="3" s="1"/>
  <c r="I30" i="3"/>
  <c r="M30" i="3" s="1"/>
  <c r="P30" i="3" s="1"/>
  <c r="Q30" i="3" s="1"/>
  <c r="I22" i="3"/>
  <c r="M22" i="3" s="1"/>
  <c r="N22" i="3" s="1"/>
  <c r="X22" i="3" s="1"/>
  <c r="I14" i="3"/>
  <c r="M14" i="3" s="1"/>
  <c r="P14" i="3" s="1"/>
  <c r="I45" i="3"/>
  <c r="M45" i="3" s="1"/>
  <c r="I37" i="3"/>
  <c r="M37" i="3" s="1"/>
  <c r="I21" i="3"/>
  <c r="M21" i="3" s="1"/>
  <c r="N21" i="3" s="1"/>
  <c r="X21" i="3" s="1"/>
  <c r="I40" i="3"/>
  <c r="M40" i="3" s="1"/>
  <c r="N40" i="3" s="1"/>
  <c r="X40" i="3" s="1"/>
  <c r="I44" i="3"/>
  <c r="M44" i="3" s="1"/>
  <c r="I36" i="3"/>
  <c r="M36" i="3" s="1"/>
  <c r="N36" i="3" s="1"/>
  <c r="X36" i="3" s="1"/>
  <c r="I28" i="3"/>
  <c r="M28" i="3" s="1"/>
  <c r="I43" i="3"/>
  <c r="M43" i="3" s="1"/>
  <c r="I35" i="3"/>
  <c r="M35" i="3" s="1"/>
  <c r="N35" i="3" s="1"/>
  <c r="X35" i="3" s="1"/>
  <c r="I27" i="3"/>
  <c r="I19" i="3"/>
  <c r="M19" i="3" s="1"/>
  <c r="N19" i="3" s="1"/>
  <c r="X19" i="3" s="1"/>
  <c r="I50" i="3"/>
  <c r="M50" i="3" s="1"/>
  <c r="I42" i="3"/>
  <c r="M42" i="3" s="1"/>
  <c r="N42" i="3" s="1"/>
  <c r="X42" i="3" s="1"/>
  <c r="I34" i="3"/>
  <c r="M34" i="3" s="1"/>
  <c r="I26" i="3"/>
  <c r="M26" i="3" s="1"/>
  <c r="P26" i="3" s="1"/>
  <c r="I18" i="3"/>
  <c r="M18" i="3" s="1"/>
  <c r="P18" i="3" s="1"/>
  <c r="I41" i="3"/>
  <c r="M41" i="3" s="1"/>
  <c r="N41" i="3" s="1"/>
  <c r="X41" i="3" s="1"/>
  <c r="I33" i="3"/>
  <c r="M33" i="3" s="1"/>
  <c r="I25" i="3"/>
  <c r="M25" i="3" s="1"/>
  <c r="I17" i="3"/>
  <c r="M17" i="3" s="1"/>
  <c r="M49" i="3"/>
  <c r="N49" i="3" s="1"/>
  <c r="X49" i="3" s="1"/>
  <c r="M29" i="3"/>
  <c r="N29" i="3" s="1"/>
  <c r="X29" i="3" s="1"/>
  <c r="H197" i="5"/>
  <c r="H49" i="3" s="1"/>
  <c r="H44" i="5"/>
  <c r="H29" i="3" s="1"/>
  <c r="H12" i="5"/>
  <c r="H20" i="3" s="1"/>
  <c r="AL14" i="3"/>
  <c r="P51" i="3" l="1"/>
  <c r="Q51" i="3" s="1"/>
  <c r="O51" i="3"/>
  <c r="N51" i="3"/>
  <c r="X51" i="3" s="1"/>
  <c r="N15" i="3"/>
  <c r="X15" i="3" s="1"/>
  <c r="S14" i="3"/>
  <c r="N31" i="3"/>
  <c r="X31" i="3" s="1"/>
  <c r="N14" i="3"/>
  <c r="X14" i="3" s="1"/>
  <c r="O14" i="3"/>
  <c r="N30" i="3"/>
  <c r="X30" i="3" s="1"/>
  <c r="O29" i="3"/>
  <c r="O30" i="3"/>
  <c r="R30" i="3" s="1"/>
  <c r="N24" i="3"/>
  <c r="X24" i="3" s="1"/>
  <c r="O24" i="3"/>
  <c r="O47" i="3"/>
  <c r="O22" i="3"/>
  <c r="N32" i="3"/>
  <c r="X32" i="3" s="1"/>
  <c r="O32" i="3"/>
  <c r="P32" i="3"/>
  <c r="Q32" i="3" s="1"/>
  <c r="M27" i="3"/>
  <c r="N27" i="3" s="1"/>
  <c r="X27" i="3" s="1"/>
  <c r="O18" i="3"/>
  <c r="R18" i="3" s="1"/>
  <c r="N18" i="3"/>
  <c r="X18" i="3" s="1"/>
  <c r="O41" i="3"/>
  <c r="O46" i="3"/>
  <c r="R46" i="3" s="1"/>
  <c r="N48" i="3"/>
  <c r="X48" i="3" s="1"/>
  <c r="O48" i="3"/>
  <c r="P48" i="3"/>
  <c r="Q48" i="3" s="1"/>
  <c r="N43" i="3"/>
  <c r="X43" i="3" s="1"/>
  <c r="O43" i="3"/>
  <c r="O40" i="3"/>
  <c r="N38" i="3"/>
  <c r="X38" i="3" s="1"/>
  <c r="P15" i="3"/>
  <c r="S15" i="3" s="1"/>
  <c r="P24" i="3"/>
  <c r="Q24" i="3" s="1"/>
  <c r="P41" i="3"/>
  <c r="Q41" i="3" s="1"/>
  <c r="O35" i="3"/>
  <c r="N17" i="3"/>
  <c r="X17" i="3" s="1"/>
  <c r="P17" i="3"/>
  <c r="Q17" i="3" s="1"/>
  <c r="O50" i="3"/>
  <c r="P50" i="3"/>
  <c r="Q50" i="3" s="1"/>
  <c r="P25" i="3"/>
  <c r="Q25" i="3" s="1"/>
  <c r="O25" i="3"/>
  <c r="N25" i="3"/>
  <c r="X25" i="3" s="1"/>
  <c r="O33" i="3"/>
  <c r="P33" i="3"/>
  <c r="Q33" i="3" s="1"/>
  <c r="N37" i="3"/>
  <c r="X37" i="3" s="1"/>
  <c r="P37" i="3"/>
  <c r="Q37" i="3" s="1"/>
  <c r="O37" i="3"/>
  <c r="N45" i="3"/>
  <c r="X45" i="3" s="1"/>
  <c r="P45" i="3"/>
  <c r="N34" i="3"/>
  <c r="X34" i="3" s="1"/>
  <c r="P34" i="3"/>
  <c r="Q34" i="3" s="1"/>
  <c r="O34" i="3"/>
  <c r="N44" i="3"/>
  <c r="X44" i="3" s="1"/>
  <c r="O44" i="3"/>
  <c r="P44" i="3"/>
  <c r="Q44" i="3" s="1"/>
  <c r="N28" i="3"/>
  <c r="X28" i="3" s="1"/>
  <c r="P28" i="3"/>
  <c r="Q28" i="3" s="1"/>
  <c r="P40" i="3"/>
  <c r="Q40" i="3" s="1"/>
  <c r="P36" i="3"/>
  <c r="Q36" i="3" s="1"/>
  <c r="N46" i="3"/>
  <c r="X46" i="3" s="1"/>
  <c r="N39" i="3"/>
  <c r="X39" i="3" s="1"/>
  <c r="P39" i="3"/>
  <c r="Q39" i="3" s="1"/>
  <c r="P49" i="3"/>
  <c r="Q49" i="3" s="1"/>
  <c r="P47" i="3"/>
  <c r="Q47" i="3" s="1"/>
  <c r="P19" i="3"/>
  <c r="Q19" i="3" s="1"/>
  <c r="P22" i="3"/>
  <c r="Q22" i="3" s="1"/>
  <c r="P38" i="3"/>
  <c r="Q38" i="3" s="1"/>
  <c r="P21" i="3"/>
  <c r="Q21" i="3" s="1"/>
  <c r="P31" i="3"/>
  <c r="Q31" i="3" s="1"/>
  <c r="P35" i="3"/>
  <c r="Q35" i="3" s="1"/>
  <c r="P29" i="3"/>
  <c r="Q29" i="3" s="1"/>
  <c r="N23" i="3"/>
  <c r="X23" i="3" s="1"/>
  <c r="P23" i="3"/>
  <c r="Q23" i="3" s="1"/>
  <c r="O19" i="3"/>
  <c r="P43" i="3"/>
  <c r="P16" i="3"/>
  <c r="P42" i="3"/>
  <c r="N50" i="3"/>
  <c r="X50" i="3" s="1"/>
  <c r="O42" i="3"/>
  <c r="N33" i="3"/>
  <c r="X33" i="3" s="1"/>
  <c r="O21" i="3"/>
  <c r="O17" i="3"/>
  <c r="O49" i="3"/>
  <c r="O45" i="3"/>
  <c r="O28" i="3"/>
  <c r="O36" i="3"/>
  <c r="Q46" i="3"/>
  <c r="O26" i="3"/>
  <c r="N26" i="3"/>
  <c r="X26" i="3" s="1"/>
  <c r="O16" i="3"/>
  <c r="P27" i="3" l="1"/>
  <c r="Q27" i="3" s="1"/>
  <c r="R51" i="3"/>
  <c r="R25" i="3"/>
  <c r="R19" i="3"/>
  <c r="R32" i="3"/>
  <c r="R47" i="3"/>
  <c r="R39" i="3"/>
  <c r="R41" i="3"/>
  <c r="Q15" i="3"/>
  <c r="O27" i="3"/>
  <c r="R27" i="3" s="1"/>
  <c r="R35" i="3"/>
  <c r="R17" i="3"/>
  <c r="R24" i="3"/>
  <c r="R23" i="3"/>
  <c r="R48" i="3"/>
  <c r="R43" i="3"/>
  <c r="R29" i="3"/>
  <c r="R45" i="3"/>
  <c r="R37" i="3"/>
  <c r="Q43" i="3"/>
  <c r="R31" i="3"/>
  <c r="R33" i="3"/>
  <c r="R40" i="3"/>
  <c r="R15" i="3"/>
  <c r="R38" i="3"/>
  <c r="R22" i="3"/>
  <c r="R44" i="3"/>
  <c r="R34" i="3"/>
  <c r="R42" i="3"/>
  <c r="Q42" i="3"/>
  <c r="R28" i="3"/>
  <c r="R50" i="3"/>
  <c r="Q45" i="3"/>
  <c r="R49" i="3"/>
  <c r="R21" i="3"/>
  <c r="R36" i="3"/>
  <c r="S17" i="3"/>
  <c r="Q26" i="3"/>
  <c r="R26" i="3"/>
  <c r="Q16" i="3"/>
  <c r="S18" i="3"/>
  <c r="S16" i="3"/>
  <c r="R16" i="3"/>
  <c r="S19" i="3"/>
  <c r="R14" i="3"/>
  <c r="Q18" i="3"/>
  <c r="Q14" i="3"/>
  <c r="T17" i="3" l="1"/>
  <c r="U17" i="3" s="1"/>
  <c r="T18" i="3"/>
  <c r="U18" i="3" s="1"/>
  <c r="T16" i="3"/>
  <c r="U16" i="3" s="1"/>
  <c r="T19" i="3"/>
  <c r="U19" i="3" s="1"/>
  <c r="T14" i="3"/>
  <c r="T15" i="3"/>
  <c r="U15" i="3" s="1"/>
  <c r="U14" i="3" l="1"/>
  <c r="M20" i="3"/>
  <c r="P20" i="3" s="1"/>
  <c r="S50" i="3" l="1"/>
  <c r="S51" i="3"/>
  <c r="L5" i="3"/>
  <c r="F7" i="3"/>
  <c r="F4" i="3"/>
  <c r="O20" i="3"/>
  <c r="S41" i="3"/>
  <c r="N20" i="3"/>
  <c r="X20" i="3" s="1"/>
  <c r="L6" i="3" s="1"/>
  <c r="T51" i="3" l="1"/>
  <c r="U51" i="3" s="1"/>
  <c r="S36" i="3"/>
  <c r="S37" i="3"/>
  <c r="S33" i="3"/>
  <c r="S20" i="3"/>
  <c r="T20" i="3" s="1"/>
  <c r="U20" i="3" s="1"/>
  <c r="S42" i="3"/>
  <c r="T42" i="3" s="1"/>
  <c r="U42" i="3" s="1"/>
  <c r="S27" i="3"/>
  <c r="S21" i="3"/>
  <c r="R20" i="3"/>
  <c r="F5" i="3" s="1"/>
  <c r="S25" i="3"/>
  <c r="S24" i="3"/>
  <c r="S30" i="3"/>
  <c r="S48" i="3"/>
  <c r="S35" i="3"/>
  <c r="S43" i="3"/>
  <c r="S47" i="3"/>
  <c r="L7" i="3"/>
  <c r="F6" i="3" s="1"/>
  <c r="S22" i="3"/>
  <c r="S40" i="3"/>
  <c r="T41" i="3" s="1"/>
  <c r="U41" i="3" s="1"/>
  <c r="S29" i="3"/>
  <c r="Q20" i="3"/>
  <c r="S38" i="3"/>
  <c r="S45" i="3"/>
  <c r="S28" i="3"/>
  <c r="S34" i="3"/>
  <c r="S32" i="3"/>
  <c r="S26" i="3"/>
  <c r="S46" i="3"/>
  <c r="S39" i="3"/>
  <c r="S49" i="3"/>
  <c r="S23" i="3"/>
  <c r="S44" i="3"/>
  <c r="S31" i="3"/>
  <c r="T43" i="3" l="1"/>
  <c r="U43" i="3" s="1"/>
  <c r="T38" i="3"/>
  <c r="U38" i="3" s="1"/>
  <c r="T36" i="3"/>
  <c r="U36" i="3" s="1"/>
  <c r="T37" i="3"/>
  <c r="U37" i="3" s="1"/>
  <c r="T50" i="3"/>
  <c r="U50" i="3" s="1"/>
  <c r="T21" i="3"/>
  <c r="U21" i="3" s="1"/>
  <c r="T33" i="3"/>
  <c r="U33" i="3" s="1"/>
  <c r="T26" i="3"/>
  <c r="U26" i="3" s="1"/>
  <c r="T22" i="3"/>
  <c r="U22" i="3" s="1"/>
  <c r="T30" i="3"/>
  <c r="U30" i="3" s="1"/>
  <c r="T28" i="3"/>
  <c r="U28" i="3" s="1"/>
  <c r="T27" i="3"/>
  <c r="U27" i="3" s="1"/>
  <c r="T25" i="3"/>
  <c r="U25" i="3" s="1"/>
  <c r="T47" i="3"/>
  <c r="U47" i="3" s="1"/>
  <c r="T24" i="3"/>
  <c r="U24" i="3" s="1"/>
  <c r="T46" i="3"/>
  <c r="U46" i="3" s="1"/>
  <c r="T31" i="3"/>
  <c r="U31" i="3" s="1"/>
  <c r="T35" i="3"/>
  <c r="U35" i="3" s="1"/>
  <c r="T44" i="3"/>
  <c r="U44" i="3" s="1"/>
  <c r="T29" i="3"/>
  <c r="U29" i="3" s="1"/>
  <c r="T48" i="3"/>
  <c r="U48" i="3" s="1"/>
  <c r="C6" i="3"/>
  <c r="C7" i="3" s="1"/>
  <c r="T34" i="3"/>
  <c r="U34" i="3" s="1"/>
  <c r="T39" i="3"/>
  <c r="U39" i="3" s="1"/>
  <c r="T45" i="3"/>
  <c r="U45" i="3" s="1"/>
  <c r="T40" i="3"/>
  <c r="U40" i="3" s="1"/>
  <c r="T23" i="3"/>
  <c r="U23" i="3" s="1"/>
  <c r="L9" i="3"/>
  <c r="T49" i="3"/>
  <c r="U49" i="3" s="1"/>
  <c r="T32" i="3"/>
  <c r="U32" i="3" s="1"/>
  <c r="F3" i="3" l="1"/>
  <c r="C8" i="3"/>
  <c r="C9" i="3"/>
  <c r="L8" i="3"/>
  <c r="F8" i="3" s="1"/>
  <c r="F9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<sst xmlns="http://schemas.openxmlformats.org/spreadsheetml/2006/main" count="233" uniqueCount="75">
  <si>
    <t>Trade ID</t>
  </si>
  <si>
    <t>Start Date</t>
  </si>
  <si>
    <t xml:space="preserve">End Date </t>
  </si>
  <si>
    <t>Asset</t>
  </si>
  <si>
    <t xml:space="preserve">Start Date </t>
  </si>
  <si>
    <t xml:space="preserve">Position </t>
  </si>
  <si>
    <t>Leverage</t>
  </si>
  <si>
    <t xml:space="preserve">Entry </t>
  </si>
  <si>
    <t>Exit</t>
  </si>
  <si>
    <t>Amount</t>
  </si>
  <si>
    <t>Notes</t>
  </si>
  <si>
    <t>Value</t>
  </si>
  <si>
    <t>Initial Investment</t>
  </si>
  <si>
    <t>Peak Margin</t>
  </si>
  <si>
    <t>PNL $</t>
  </si>
  <si>
    <t>PNL % From Start</t>
  </si>
  <si>
    <t>Trades PNL</t>
  </si>
  <si>
    <t>Hedges PNL</t>
  </si>
  <si>
    <t>Starting Date</t>
  </si>
  <si>
    <t>End Date</t>
  </si>
  <si>
    <t>Entry</t>
  </si>
  <si>
    <t>PNL</t>
  </si>
  <si>
    <t>Margin</t>
  </si>
  <si>
    <t>Trading Journal</t>
  </si>
  <si>
    <t>PNL % Peak Margin</t>
  </si>
  <si>
    <t>Total</t>
  </si>
  <si>
    <t>Position Size</t>
  </si>
  <si>
    <t>Position</t>
  </si>
  <si>
    <t>Perpetuals &amp; Spot Postions</t>
  </si>
  <si>
    <t>Hedging Positions</t>
  </si>
  <si>
    <t>PNL %</t>
  </si>
  <si>
    <t>Long</t>
  </si>
  <si>
    <t>Stop</t>
  </si>
  <si>
    <t>Stop Loss</t>
  </si>
  <si>
    <t>RR Ratio</t>
  </si>
  <si>
    <t>MDD</t>
  </si>
  <si>
    <t>Win Rate</t>
  </si>
  <si>
    <t>Profit Factor</t>
  </si>
  <si>
    <t>Avg P/L</t>
  </si>
  <si>
    <t>Avg RRR</t>
  </si>
  <si>
    <t>Total Equity</t>
  </si>
  <si>
    <t>Equity</t>
  </si>
  <si>
    <t>Peak Equity</t>
  </si>
  <si>
    <t>Drawdown %</t>
  </si>
  <si>
    <t>RoMaD</t>
  </si>
  <si>
    <t>Fees</t>
  </si>
  <si>
    <t>BTC/USDT</t>
  </si>
  <si>
    <t>TRUMP/USDT</t>
  </si>
  <si>
    <t>ETH/USDT</t>
  </si>
  <si>
    <t>SOL/USDT</t>
  </si>
  <si>
    <t>Taker Fees</t>
  </si>
  <si>
    <t>Maker Fees</t>
  </si>
  <si>
    <t>Reduced Taker Fees</t>
  </si>
  <si>
    <t>Reduced Maker Fees</t>
  </si>
  <si>
    <t>Entry Type</t>
  </si>
  <si>
    <t>Exit Type</t>
  </si>
  <si>
    <t>Spot Taker Fees</t>
  </si>
  <si>
    <t>Spot Maker Fees</t>
  </si>
  <si>
    <t>JELLYJELLY/USDT</t>
  </si>
  <si>
    <t>Short</t>
  </si>
  <si>
    <t>INIT/USDT</t>
  </si>
  <si>
    <t>PEPE/USDT</t>
  </si>
  <si>
    <t>AZERO/USDT</t>
  </si>
  <si>
    <t>KBBB/USDT</t>
  </si>
  <si>
    <t>Trough Equity</t>
  </si>
  <si>
    <t>Orders</t>
  </si>
  <si>
    <t>Partially Traded</t>
  </si>
  <si>
    <t>Entry WAP</t>
  </si>
  <si>
    <t>Exit WAP</t>
  </si>
  <si>
    <t>Exit Position Size</t>
  </si>
  <si>
    <t>Entry Position Size</t>
  </si>
  <si>
    <t xml:space="preserve">Exit </t>
  </si>
  <si>
    <t>MX/USDT</t>
  </si>
  <si>
    <t>Liquidated</t>
  </si>
  <si>
    <t>MDD /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</si>
</sst>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44" formatCode="_(&quot;$&quot;* #,##0.00_);_(&quot;$&quot;* \(#,##0.00\);_(&quot;$&quot;* &quot;-&quot;??_);_(@_)"/>
    <numFmt numFmtId="164" formatCode="[$-F800]dddd\,\ mmmm\ dd\,\ yyyy"/>
    <numFmt numFmtId="165" formatCode="0.0%"/>
    <numFmt numFmtId="166" formatCode="_(&quot;$&quot;* #,##0.0_);_(&quot;$&quot;* \(#,##0.0\);_(&quot;$&quot;* &quot;-&quot;??_);_(@_)"/>
    <numFmt numFmtId="167" formatCode="_(&quot;$&quot;* #,##0_);_(&quot;$&quot;* \(#,##0\);_(&quot;$&quot;* &quot;-&quot;??_);_(@_)"/>
    <numFmt numFmtId="168" formatCode="m/d/yyyy;@"/>
    <numFmt numFmtId="169" formatCode="_(&quot;$&quot;* #,##0.0000_);_(&quot;$&quot;* \(#,##0.0000\);_(&quot;$&quot;* &quot;-&quot;??_);_(@_)"/>
    <numFmt numFmtId="170" formatCode="_(&quot;$&quot;* #,##0.00000_);_(&quot;$&quot;* \(#,##0.00000\);_(&quot;$&quot;* &quot;-&quot;??_);_(@_)"/>
    <numFmt numFmtId="171" formatCode="0.00000"/>
    <numFmt numFmtId="172" formatCode="0.0000"/>
    <numFmt numFmtId="173" formatCode="_(&quot;$&quot;* #,##0.000000_);_(&quot;$&quot;* \(#,##0.000000\);_(&quot;$&quot;* &quot;-&quot;??_);_(@_)"/>
    <numFmt numFmtId="174" formatCode="_(&quot;$&quot;* #,##0.00000000_);_(&quot;$&quot;* \(#,##0.00000000\);_(&quot;$&quot;* &quot;-&quot;??_);_(@_)"/>
    <numFmt numFmtId="175" formatCode="[$-409]mmmm\ d\,\ yyyy;@"/>
    <numFmt numFmtId="176" formatCode="_(&quot;$&quot;* #,##0.00000000000_);_(&quot;$&quot;* \(#,##0.00000000000\);_(&quot;$&quot;* &quot;-&quot;??_);_(@_)"/>
    <numFmt numFmtId="177" formatCode="_(&quot;$&quot;* #,##0.0000000_);_(&quot;$&quot;* \(#,##0.0000000\);_(&quot;$&quot;* &quot;-&quot;??_);_(@_)"/>
    <numFmt numFmtId="178" formatCode="_(&quot;$&quot;* #,##0.00000000000000_);_(&quot;$&quot;* \(#,##0.00000000000000\);_(&quot;$&quot;* &quot;-&quot;??_);_(@_)"/>
    <numFmt numFmtId="179" formatCode="_(&quot;$&quot;* #,##0.000000000000000_);_(&quot;$&quot;* \(#,##0.000000000000000\);_(&quot;$&quot;* &quot;-&quot;??_);_(@_)"/>
    <numFmt numFmtId="180" formatCode="_(&quot;$&quot;* #,##0.0000000_);_(&quot;$&quot;* \(#,##0.0000000\);_(&quot;$&quot;* &quot;-&quot;???????_);_(@_)"/>
    <numFmt numFmtId="181" formatCode="_(&quot;$&quot;* #,##0.0000000000000000_);_(&quot;$&quot;* \(#,##0.0000000000000000\);_(&quot;$&quot;* &quot;-&quot;??_);_(@_)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6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0" borderId="5" applyNumberFormat="0" applyFill="0" applyAlignment="0" applyProtection="0"/>
    <xf numFmtId="9" fontId="1" fillId="0" borderId="0" applyFont="0" applyFill="0" applyBorder="0" applyAlignment="0" applyProtection="0"/>
  </cellStyleXfs>
  <cellXfs count="82">
    <xf numFmtId="0" fontId="0" fillId="0" borderId="0" xfId="0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44" fontId="0" fillId="0" borderId="4" xfId="1" applyFont="1" applyBorder="1" applyAlignment="1">
      <alignment horizontal="center" vertical="center"/>
    </xf>
    <xf numFmtId="44" fontId="0" fillId="0" borderId="4" xfId="1" applyFont="1" applyBorder="1" applyAlignment="1">
      <alignment horizontal="center"/>
    </xf>
    <xf numFmtId="0" fontId="0" fillId="0" borderId="6" xfId="0" applyBorder="1" applyAlignment="1">
      <alignment horizontal="center"/>
    </xf>
    <xf numFmtId="44" fontId="0" fillId="0" borderId="6" xfId="1" applyFont="1" applyBorder="1" applyAlignment="1">
      <alignment horizontal="center"/>
    </xf>
    <xf numFmtId="9" fontId="0" fillId="0" borderId="6" xfId="3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44" fontId="0" fillId="0" borderId="6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44" fontId="0" fillId="0" borderId="0" xfId="0" applyNumberFormat="1" applyAlignment="1">
      <alignment horizontal="center"/>
    </xf>
    <xf numFmtId="10" fontId="0" fillId="0" borderId="0" xfId="3" applyNumberFormat="1" applyFont="1" applyBorder="1" applyAlignment="1">
      <alignment horizontal="center"/>
    </xf>
    <xf numFmtId="167" fontId="0" fillId="0" borderId="0" xfId="0" applyNumberFormat="1" applyAlignment="1">
      <alignment horizontal="center"/>
    </xf>
    <xf numFmtId="9" fontId="0" fillId="0" borderId="0" xfId="3" applyFont="1" applyBorder="1" applyAlignment="1">
      <alignment horizontal="center"/>
    </xf>
    <xf numFmtId="0" fontId="0" fillId="0" borderId="0" xfId="0" applyAlignment="1">
      <alignment horizontal="center" vertical="center"/>
    </xf>
    <xf numFmtId="44" fontId="0" fillId="0" borderId="0" xfId="1" applyFont="1" applyBorder="1" applyAlignment="1">
      <alignment horizontal="center" vertical="center"/>
    </xf>
    <xf numFmtId="166" fontId="0" fillId="0" borderId="0" xfId="1" applyNumberFormat="1" applyFont="1" applyBorder="1" applyAlignment="1">
      <alignment horizontal="center" vertical="center"/>
    </xf>
    <xf numFmtId="0" fontId="0" fillId="0" borderId="0" xfId="1" applyNumberFormat="1" applyFont="1" applyBorder="1" applyAlignment="1">
      <alignment horizontal="center" vertical="center"/>
    </xf>
    <xf numFmtId="44" fontId="0" fillId="0" borderId="0" xfId="3" applyNumberFormat="1" applyFont="1" applyBorder="1" applyAlignment="1">
      <alignment horizontal="center" vertical="center"/>
    </xf>
    <xf numFmtId="165" fontId="0" fillId="0" borderId="0" xfId="3" applyNumberFormat="1" applyFont="1" applyBorder="1" applyAlignment="1">
      <alignment horizontal="center" vertical="center"/>
    </xf>
    <xf numFmtId="2" fontId="0" fillId="0" borderId="0" xfId="3" applyNumberFormat="1" applyFont="1" applyBorder="1" applyAlignment="1">
      <alignment horizontal="center" vertical="center"/>
    </xf>
    <xf numFmtId="44" fontId="0" fillId="0" borderId="0" xfId="1" applyFont="1" applyBorder="1" applyAlignment="1">
      <alignment horizontal="center"/>
    </xf>
    <xf numFmtId="1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44" fontId="0" fillId="0" borderId="0" xfId="0" applyNumberFormat="1" applyAlignment="1">
      <alignment horizontal="center" vertical="center"/>
    </xf>
    <xf numFmtId="10" fontId="0" fillId="0" borderId="0" xfId="3" applyNumberFormat="1" applyFont="1" applyBorder="1" applyAlignment="1">
      <alignment horizontal="center" vertical="center"/>
    </xf>
    <xf numFmtId="44" fontId="0" fillId="0" borderId="0" xfId="1" applyFont="1" applyAlignment="1">
      <alignment horizontal="center" vertical="center"/>
    </xf>
    <xf numFmtId="166" fontId="0" fillId="0" borderId="0" xfId="1" applyNumberFormat="1" applyFont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65" fontId="0" fillId="0" borderId="4" xfId="3" applyNumberFormat="1" applyFont="1" applyBorder="1" applyAlignment="1">
      <alignment horizontal="center" vertical="center"/>
    </xf>
    <xf numFmtId="2" fontId="0" fillId="0" borderId="6" xfId="3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44" fontId="0" fillId="0" borderId="10" xfId="1" applyFont="1" applyBorder="1" applyAlignment="1">
      <alignment horizontal="center"/>
    </xf>
    <xf numFmtId="44" fontId="0" fillId="0" borderId="2" xfId="1" applyFont="1" applyBorder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10" fontId="0" fillId="0" borderId="6" xfId="0" applyNumberFormat="1" applyBorder="1" applyAlignment="1">
      <alignment horizontal="center"/>
    </xf>
    <xf numFmtId="9" fontId="0" fillId="0" borderId="6" xfId="0" applyNumberFormat="1" applyBorder="1" applyAlignment="1">
      <alignment horizontal="center"/>
    </xf>
    <xf numFmtId="44" fontId="0" fillId="0" borderId="0" xfId="1" applyFont="1" applyAlignment="1">
      <alignment horizontal="center"/>
    </xf>
    <xf numFmtId="0" fontId="0" fillId="0" borderId="6" xfId="3" applyNumberFormat="1" applyFont="1" applyBorder="1" applyAlignment="1">
      <alignment horizontal="center"/>
    </xf>
    <xf numFmtId="10" fontId="0" fillId="0" borderId="6" xfId="3" applyNumberFormat="1" applyFont="1" applyBorder="1" applyAlignment="1">
      <alignment horizontal="center"/>
    </xf>
    <xf numFmtId="2" fontId="0" fillId="0" borderId="0" xfId="1" applyNumberFormat="1" applyFont="1" applyBorder="1" applyAlignment="1">
      <alignment horizontal="center" vertical="center"/>
    </xf>
    <xf numFmtId="169" fontId="0" fillId="0" borderId="0" xfId="1" applyNumberFormat="1" applyFont="1" applyBorder="1" applyAlignment="1">
      <alignment horizontal="center" vertical="center"/>
    </xf>
    <xf numFmtId="170" fontId="0" fillId="0" borderId="0" xfId="1" applyNumberFormat="1" applyFont="1" applyBorder="1" applyAlignment="1">
      <alignment horizontal="center" vertical="center"/>
    </xf>
    <xf numFmtId="172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169" fontId="0" fillId="0" borderId="0" xfId="3" applyNumberFormat="1" applyFont="1" applyBorder="1" applyAlignment="1">
      <alignment horizontal="center"/>
    </xf>
    <xf numFmtId="173" fontId="0" fillId="0" borderId="0" xfId="1" applyNumberFormat="1" applyFont="1" applyBorder="1" applyAlignment="1">
      <alignment horizontal="center" vertical="center"/>
    </xf>
    <xf numFmtId="174" fontId="0" fillId="0" borderId="0" xfId="1" applyNumberFormat="1" applyFont="1" applyBorder="1" applyAlignment="1">
      <alignment horizontal="center" vertical="center"/>
    </xf>
    <xf numFmtId="10" fontId="0" fillId="0" borderId="6" xfId="3" applyNumberFormat="1" applyFont="1" applyBorder="1" applyAlignment="1">
      <alignment horizontal="center" vertical="center"/>
    </xf>
    <xf numFmtId="173" fontId="0" fillId="0" borderId="0" xfId="1" applyNumberFormat="1" applyFont="1" applyBorder="1" applyAlignment="1">
      <alignment horizontal="left" vertical="center"/>
    </xf>
    <xf numFmtId="175" fontId="0" fillId="0" borderId="2" xfId="0" applyNumberFormat="1" applyBorder="1" applyAlignment="1">
      <alignment horizontal="center"/>
    </xf>
    <xf numFmtId="176" fontId="0" fillId="0" borderId="0" xfId="0" applyNumberFormat="1" applyAlignment="1">
      <alignment horizontal="center"/>
    </xf>
    <xf numFmtId="169" fontId="0" fillId="0" borderId="0" xfId="0" applyNumberFormat="1"/>
    <xf numFmtId="169" fontId="0" fillId="0" borderId="0" xfId="1" applyNumberFormat="1" applyFont="1" applyAlignment="1">
      <alignment horizontal="center" vertical="center"/>
    </xf>
    <xf numFmtId="170" fontId="0" fillId="0" borderId="0" xfId="1" applyNumberFormat="1" applyFont="1" applyAlignment="1">
      <alignment horizontal="center" vertical="center"/>
    </xf>
    <xf numFmtId="2" fontId="0" fillId="0" borderId="0" xfId="1" applyNumberFormat="1" applyFont="1" applyAlignment="1">
      <alignment horizontal="center" vertical="center"/>
    </xf>
    <xf numFmtId="167" fontId="0" fillId="0" borderId="0" xfId="1" applyNumberFormat="1" applyFont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1" fontId="0" fillId="0" borderId="0" xfId="1" applyNumberFormat="1" applyFont="1" applyAlignment="1">
      <alignment horizontal="center" vertical="center"/>
    </xf>
    <xf numFmtId="10" fontId="0" fillId="0" borderId="0" xfId="3" applyNumberFormat="1" applyFont="1" applyAlignment="1">
      <alignment horizontal="center" vertical="center"/>
    </xf>
    <xf numFmtId="44" fontId="0" fillId="0" borderId="0" xfId="1" applyNumberFormat="1" applyFont="1" applyAlignment="1">
      <alignment horizontal="center" vertical="center"/>
    </xf>
    <xf numFmtId="173" fontId="0" fillId="0" borderId="0" xfId="1" applyNumberFormat="1" applyFont="1" applyAlignment="1">
      <alignment horizontal="center" vertical="center"/>
    </xf>
    <xf numFmtId="177" fontId="0" fillId="0" borderId="0" xfId="1" applyNumberFormat="1" applyFont="1" applyAlignment="1">
      <alignment horizontal="center" vertical="center"/>
    </xf>
    <xf numFmtId="177" fontId="0" fillId="0" borderId="0" xfId="0" applyNumberFormat="1"/>
    <xf numFmtId="180" fontId="0" fillId="0" borderId="0" xfId="0" applyNumberFormat="1"/>
    <xf numFmtId="44" fontId="0" fillId="0" borderId="0" xfId="1" applyNumberFormat="1" applyFon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/>
    </xf>
    <xf numFmtId="179" fontId="0" fillId="0" borderId="0" xfId="0" applyNumberFormat="1" applyAlignment="1">
      <alignment horizontal="center"/>
    </xf>
    <xf numFmtId="44" fontId="0" fillId="0" borderId="6" xfId="1" applyNumberFormat="1" applyFont="1" applyBorder="1" applyAlignment="1">
      <alignment horizontal="center" vertical="center"/>
    </xf>
    <xf numFmtId="176" fontId="0" fillId="0" borderId="0" xfId="1" applyNumberFormat="1" applyFont="1" applyAlignment="1">
      <alignment horizontal="center" vertical="center"/>
    </xf>
    <xf numFmtId="181" fontId="0" fillId="0" borderId="0" xfId="1" applyNumberFormat="1" applyFont="1" applyAlignment="1">
      <alignment horizontal="center" vertical="center"/>
    </xf>
    <xf numFmtId="0" fontId="2" fillId="0" borderId="5" xfId="2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4">
    <cellStyle name="Currency" xfId="1" builtinId="4"/>
    <cellStyle name="Heading 1" xfId="2" builtinId="16" customBuiltin="1"/>
    <cellStyle name="Normal" xfId="0" builtinId="0"/>
    <cellStyle name="Per cent" xfId="3" builtinId="5"/>
  </cellStyles>
  <dxfs count="55">
    <dxf>
      <numFmt numFmtId="170" formatCode="_(&quot;$&quot;* #,##0.00000_);_(&quot;$&quot;* \(#,##0.00000\);_(&quot;$&quot;* &quot;-&quot;??_);_(@_)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0" formatCode="_(&quot;$&quot;* #,##0.00000_);_(&quot;$&quot;* \(#,##0.00000\);_(&quot;$&quot;* &quot;-&quot;??_);_(@_)"/>
      <alignment horizontal="center" vertical="center" textRotation="0" wrapText="0" indent="0" justifyLastLine="0" shrinkToFit="0" readingOrder="0"/>
    </dxf>
    <dxf>
      <numFmt numFmtId="170" formatCode="_(&quot;$&quot;* #,##0.00000_);_(&quot;$&quot;* \(#,##0.00000\);_(&quot;$&quot;* &quot;-&quot;??_);_(@_)"/>
      <alignment horizontal="center" vertical="center" textRotation="0" wrapText="0" indent="0" justifyLastLine="0" shrinkToFit="0" readingOrder="0"/>
    </dxf>
    <dxf>
      <numFmt numFmtId="34" formatCode="_(&quot;$&quot;* #,##0.00_);_(&quot;$&quot;* \(#,##0.00\);_(&quot;$&quot;* &quot;-&quot;??_);_(@_)"/>
      <alignment horizontal="center" vertical="center" textRotation="0" wrapText="0" indent="0" justifyLastLine="0" shrinkToFit="0" readingOrder="0"/>
    </dxf>
    <dxf>
      <numFmt numFmtId="34" formatCode="_(&quot;$&quot;* #,##0.00_);_(&quot;$&quot;* \(#,##0.00\);_(&quot;$&quot;* &quot;-&quot;??_);_(@_)"/>
      <alignment horizontal="center" vertical="center" textRotation="0" wrapText="0" indent="0" justifyLastLine="0" shrinkToFit="0" readingOrder="0"/>
    </dxf>
    <dxf>
      <numFmt numFmtId="169" formatCode="_(&quot;$&quot;* #,##0.0000_);_(&quot;$&quot;* \(#,##0.0000\);_(&quot;$&quot;* &quot;-&quot;??_);_(@_)"/>
      <alignment horizontal="center" vertical="center" textRotation="0" wrapText="0" indent="0" justifyLastLine="0" shrinkToFit="0" readingOrder="0"/>
    </dxf>
    <dxf>
      <numFmt numFmtId="169" formatCode="_(&quot;$&quot;* #,##0.0000_);_(&quot;$&quot;* \(#,##0.0000\);_(&quot;$&quot;* &quot;-&quot;??_);_(@_)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4" formatCode="_(&quot;$&quot;* #,##0.00_);_(&quot;$&quot;* \(#,##0.00\);_(&quot;$&quot;* &quot;-&quot;??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[$-F800]dddd\,\ mmmm\ dd\,\ yyyy"/>
      <alignment horizontal="center" vertical="center" textRotation="0" wrapText="0" indent="0" justifyLastLine="0" shrinkToFit="0" readingOrder="0"/>
    </dxf>
    <dxf>
      <numFmt numFmtId="19" formatCode="m/d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4" formatCode="_(&quot;$&quot;* #,##0.00_);_(&quot;$&quot;* \(#,##0.00\);_(&quot;$&quot;* &quot;-&quot;??_);_(@_)"/>
      <alignment horizontal="center" vertical="center" textRotation="0" wrapText="0" indent="0" justifyLastLine="0" shrinkToFit="0" readingOrder="0"/>
    </dxf>
    <dxf>
      <numFmt numFmtId="14" formatCode="0.00%"/>
      <alignment horizontal="center" vertical="center" textRotation="0" wrapText="0" indent="0" justifyLastLine="0" shrinkToFit="0" readingOrder="0"/>
    </dxf>
    <dxf>
      <numFmt numFmtId="34" formatCode="_(&quot;$&quot;* #,##0.00_);_(&quot;$&quot;* \(#,##0.00\);_(&quot;$&quot;* &quot;-&quot;??_);_(@_)"/>
      <alignment horizontal="center" vertical="center" textRotation="0" wrapText="0" indent="0" justifyLastLine="0" shrinkToFit="0" readingOrder="0"/>
    </dxf>
    <dxf>
      <numFmt numFmtId="34" formatCode="_(&quot;$&quot;* #,##0.00_);_(&quot;$&quot;* \(#,##0.00\);_(&quot;$&quot;* &quot;-&quot;??_);_(@_)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165" formatCode="0.0%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4" formatCode="_(&quot;$&quot;* #,##0.00_);_(&quot;$&quot;* \(#,##0.00\);_(&quot;$&quot;* &quot;-&quot;??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6" formatCode="_(&quot;$&quot;* #,##0.0_);_(&quot;$&quot;* \(#,##0.0\);_(&quot;$&quot;* &quot;-&quot;??_);_(@_)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4" formatCode="_(&quot;$&quot;* #,##0.00_);_(&quot;$&quot;* \(#,##0.00\);_(&quot;$&quot;* &quot;-&quot;??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6" formatCode="_(&quot;$&quot;* #,##0.0_);_(&quot;$&quot;* \(#,##0.0\);_(&quot;$&quot;* &quot;-&quot;??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4" formatCode="_(&quot;$&quot;* #,##0.00_);_(&quot;$&quot;* \(#,##0.00\);_(&quot;$&quot;* &quot;-&quot;??_);_(@_)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8" formatCode="m/d/yyyy;@"/>
      <alignment horizontal="center" vertical="center" textRotation="0" wrapText="0" indent="0" justifyLastLine="0" shrinkToFit="0" readingOrder="0"/>
    </dxf>
    <dxf>
      <numFmt numFmtId="168" formatCode="m/d/yyyy;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8F20D6-C75D-4469-83AD-535C3D74CAC4}" name="Table1" displayName="Table1" ref="B13:Y51" totalsRowShown="0" headerRowDxfId="54" dataDxfId="53">
  <autoFilter ref="B13:Y51" xr:uid="{B88F20D6-C75D-4469-83AD-535C3D74CAC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</autoFilter>
  <tableColumns count="24">
    <tableColumn id="1" xr3:uid="{285231D9-0AB0-4BA2-8DA6-4FD4B90F8F05}" name="Trade ID" dataDxfId="52"/>
    <tableColumn id="2" xr3:uid="{2CD77226-FAAC-4EBE-953C-0BA8E184B40E}" name="Start Date " dataDxfId="51"/>
    <tableColumn id="3" xr3:uid="{0103119A-BAC9-4CE9-8C37-6103C9D98F07}" name="End Date " dataDxfId="50"/>
    <tableColumn id="4" xr3:uid="{E63C2BB5-EB14-4F92-BFC1-8A29B1E5D152}" name="Asset" dataDxfId="49"/>
    <tableColumn id="5" xr3:uid="{DBEA108A-AE31-474A-9BD4-E32B29169D10}" name="Position" dataDxfId="48">
      <calculatedColumnFormula>_xlfn.XLOOKUP(Table1[[#This Row],[Trade ID]],Table3[Trade ID],Table3[Position],"Not Found ")</calculatedColumnFormula>
    </tableColumn>
    <tableColumn id="6" xr3:uid="{14CE299B-7585-4311-8193-39245C656916}" name="Leverage" dataDxfId="47">
      <calculatedColumnFormula>_xlfn.XLOOKUP(Table1[[#This Row],[Trade ID]],Table3[Trade ID],Table3[Leverage], "Not Found")</calculatedColumnFormula>
    </tableColumn>
    <tableColumn id="7" xr3:uid="{C59C9251-3963-40D8-A4B5-95B7E6957DA0}" name="Margin" dataDxfId="46" dataCellStyle="Currency">
      <calculatedColumnFormula>_xlfn.XLOOKUP(Table1[[#This Row],[Trade ID]],Table3[Trade ID],Table3[Margin], "Not Found")</calculatedColumnFormula>
    </tableColumn>
    <tableColumn id="8" xr3:uid="{6ECADCB9-A158-4C0A-BFA8-2C60D0ED7415}" name="Position Size" dataDxfId="45" dataCellStyle="Currency">
      <calculatedColumnFormula>_xlfn.XLOOKUP(Table1[[#This Row],[Trade ID]],Table3[Trade ID],Table3[Position Size], "Not Found")</calculatedColumnFormula>
    </tableColumn>
    <tableColumn id="9" xr3:uid="{C6A069C7-4F45-44F4-B8D8-8B8D7BD25868}" name="Entry " dataDxfId="44" dataCellStyle="Currency">
      <calculatedColumnFormula>_xlfn.XLOOKUP(Table1[[#This Row],[Trade ID]],Table3[Trade ID],Table3[Entry WAP], "Not Found")</calculatedColumnFormula>
    </tableColumn>
    <tableColumn id="10" xr3:uid="{630D5F4E-49BB-42C9-B206-889C763E0F60}" name="Exit" dataDxfId="43" dataCellStyle="Currency">
      <calculatedColumnFormula>_xlfn.XLOOKUP(Table1[[#This Row],[Trade ID]],Table3[Trade ID],Table3[Exit WAP], "Not Found")</calculatedColumnFormula>
    </tableColumn>
    <tableColumn id="11" xr3:uid="{7180FCDF-3D83-4AC8-B80F-EAE1429F6FF5}" name="Stop" dataDxfId="42" dataCellStyle="Currency"/>
    <tableColumn id="12" xr3:uid="{C8FED6B6-BCC6-4D20-97D0-4572C1F21EE8}" name="Amount" dataDxfId="41" dataCellStyle="Currency">
      <calculatedColumnFormula>Table1[[#This Row],[Position Size]]/Table1[[#This Row],[Entry ]]</calculatedColumnFormula>
    </tableColumn>
    <tableColumn id="13" xr3:uid="{B1D6E8AA-5A9C-4E77-9180-EDB480112CCA}" name="Value" dataDxfId="40" dataCellStyle="Currency">
      <calculatedColumnFormula>Table1[[#This Row],[Amount]]*Table1[[#This Row],[Exit]]</calculatedColumnFormula>
    </tableColumn>
    <tableColumn id="14" xr3:uid="{9198FEA8-452D-4CF4-9F20-265EC9E96F22}" name="Stop Loss" dataDxfId="39">
      <calculatedColumnFormula>IF(Table1[[#This Row],[Position]]="Long",(Table1[[#This Row],[Stop]]*Table1[[#This Row],[Amount]])-Table1[[#This Row],[Position Size]],-ABS((Table1[[#This Row],[Stop]]*Table1[[#This Row],[Amount]])-Table1[[#This Row],[Position Size]]))</calculatedColumnFormula>
    </tableColumn>
    <tableColumn id="15" xr3:uid="{8907CA54-E96D-4497-A747-BCE146C00480}" name="PNL" dataDxfId="38" dataCellStyle="Currency">
      <calculatedColumnFormula>IF(Table1[[#This Row],[Position]]="Long",(Table1[[#This Row],[Exit]]-Table1[[#This Row],[Entry ]])*Table1[[#This Row],[Amount]],(Table1[[#This Row],[Entry ]]-Table1[[#This Row],[Exit]])*Table1[[#This Row],[Amount]])</calculatedColumnFormula>
    </tableColumn>
    <tableColumn id="16" xr3:uid="{CD1F1D09-6CA6-4E9D-B6D2-F8385F3594DF}" name="PNL %" dataDxfId="37">
      <calculatedColumnFormula>Table1[[#This Row],[PNL]]/Table1[[#This Row],[Margin]]</calculatedColumnFormula>
    </tableColumn>
    <tableColumn id="17" xr3:uid="{316DB13D-FEF0-498A-861A-1FEEA0E12610}" name="RR Ratio" dataDxfId="36">
      <calculatedColumnFormula>IF(Table1[[#This Row],[PNL]]&lt;0,-ABS(Table1[[#This Row],[PNL]]/Table1[[#This Row],[Stop Loss]]),ABS(Table1[[#This Row],[PNL]]/Table1[[#This Row],[Stop Loss]]))</calculatedColumnFormula>
    </tableColumn>
    <tableColumn id="19" xr3:uid="{D5415A6B-DE2C-4C30-B4F9-7A29C48FB6D8}" name="Equity" dataDxfId="35">
      <calculatedColumnFormula>$C$4+SUM($P$14:P14)</calculatedColumnFormula>
    </tableColumn>
    <tableColumn id="24" xr3:uid="{8E9D7470-22A9-45E4-8B92-357E7EF6643F}" name="Peak Equity" dataDxfId="34" dataCellStyle="Currency"/>
    <tableColumn id="22" xr3:uid="{5864D228-D190-45B8-99BC-A4C945A65248}" name="Drawdown %" dataDxfId="33">
      <calculatedColumnFormula>(Table1[[#This Row],[Equity]]-Table1[[#This Row],[Peak Equity]])/Table1[[#This Row],[Peak Equity]]</calculatedColumnFormula>
    </tableColumn>
    <tableColumn id="23" xr3:uid="{70793AE8-DA7A-4F31-9C15-0479FC0C7823}" name="Entry Type" dataDxfId="32" dataCellStyle="Currency"/>
    <tableColumn id="18" xr3:uid="{5E89AC9F-8EBA-1C43-9102-0AA11297CCDC}" name="Exit Type" dataDxfId="31"/>
    <tableColumn id="20" xr3:uid="{21947B90-38E2-CE45-B44D-B48EB31BBA54}" name="Fees" dataDxfId="30">
      <calculatedColumnFormula>-(Table1[[#This Row],[Position Size]] * CHOOSE(MATCH(Table1[[#This Row],[Entry Type]],{"Taker Fees","Maker Fees","Reduced Taker Fees","Reduced Maker Fees","Spot Taker Fees","Spot Maker Fees"},0), $I$4,$I$5,$I$6,$I$7,$I$8,$I$9)+Table1[[#This Row],[Value]] * CHOOSE(MATCH(Table1[[#This Row],[Exit Type]], {"Taker Fees","Maker Fees","Reduced Taker Fees","Reduced Maker Fees","Spot Taker Fees","Spot Maker Fees"}, 0), $I$4,$I$5,$I$6,$I$7,$I$8,$I$9))</calculatedColumnFormula>
    </tableColumn>
    <tableColumn id="21" xr3:uid="{81BB356C-2BD3-0B4F-AE17-4C04CCA24B8D}" name="Notes" dataDxfId="2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908E9AE-13AC-4A2E-8D2A-2DFE398B969C}" name="Table2" displayName="Table2" ref="AA13:AN14" totalsRowShown="0" headerRowDxfId="28" dataDxfId="27">
  <autoFilter ref="AA13:AN14" xr:uid="{C908E9AE-13AC-4A2E-8D2A-2DFE398B969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xr3:uid="{A7549823-2706-496E-BB89-766FAE62D55B}" name="Trade ID" dataDxfId="26"/>
    <tableColumn id="2" xr3:uid="{BF00E508-D321-4EFE-8B06-AFE54B1AF267}" name="Start Date" dataDxfId="25"/>
    <tableColumn id="3" xr3:uid="{B791FC0A-8B67-43BE-8303-27DA208B51EC}" name="End Date" dataDxfId="24"/>
    <tableColumn id="4" xr3:uid="{71DF6CDB-40AF-470F-8CBD-CA3F67CAC09C}" name="Asset" dataDxfId="23"/>
    <tableColumn id="5" xr3:uid="{BCBE7481-5E3E-40C4-823B-B68C28AFC314}" name="Position " dataDxfId="22"/>
    <tableColumn id="6" xr3:uid="{1CAD49CD-2A44-4F39-AAA1-A2FEF12AF231}" name="Leverage" dataDxfId="21"/>
    <tableColumn id="7" xr3:uid="{B27C7EBD-DB48-40A4-88AD-66E38B39F3A9}" name="Margin" dataDxfId="20" dataCellStyle="Currency"/>
    <tableColumn id="8" xr3:uid="{F867AD13-6E39-4F8B-AB85-AEAC480D3863}" name="Position Size" dataDxfId="19" dataCellStyle="Currency">
      <calculatedColumnFormula>AF14*AG14</calculatedColumnFormula>
    </tableColumn>
    <tableColumn id="9" xr3:uid="{F60FEF36-51E3-4405-9B02-BEBFA24653ED}" name="Entry" dataDxfId="18" dataCellStyle="Currency"/>
    <tableColumn id="10" xr3:uid="{A4486B04-C293-4A2E-90BD-AEC9E4951066}" name="Exit" dataDxfId="17" dataCellStyle="Currency"/>
    <tableColumn id="11" xr3:uid="{E4355AD0-54D9-4688-955F-A76CFD088549}" name="Amount" dataDxfId="16" dataCellStyle="Currency">
      <calculatedColumnFormula>Table2[[#This Row],[Position Size]]/Table2[[#This Row],[Entry]]</calculatedColumnFormula>
    </tableColumn>
    <tableColumn id="12" xr3:uid="{D89A1C53-52F0-426F-9023-21FA00A2D677}" name="Value" dataDxfId="15" dataCellStyle="Currency">
      <calculatedColumnFormula>AI14*AK14</calculatedColumnFormula>
    </tableColumn>
    <tableColumn id="13" xr3:uid="{B129FC09-8612-45D1-A315-35EF850DFBC0}" name="PNL" dataDxfId="14">
      <calculatedColumnFormula>(AI14*AK14)-(AK14*AJ14)</calculatedColumnFormula>
    </tableColumn>
    <tableColumn id="14" xr3:uid="{214D921F-AB38-4CBD-A877-770845C49ACD}" name="Notes" dataDxfId="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F85BD4A-F49E-C24B-81D4-DE3E35337FA0}" name="Table3" displayName="Table3" ref="B5:L244" totalsRowShown="0" headerRowDxfId="12" dataDxfId="11">
  <autoFilter ref="B5:L244" xr:uid="{2F85BD4A-F49E-C24B-81D4-DE3E35337FA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554CDE58-4A15-7A48-9CC3-8A812D0AEB48}" name="Trade ID" dataDxfId="10"/>
    <tableColumn id="9" xr3:uid="{D3D7AD2F-2AB4-A943-9A89-E33FF1B96AB2}" name="Position" dataDxfId="9"/>
    <tableColumn id="2" xr3:uid="{8B1AD3E4-F517-8644-9144-7338A1187BA0}" name="Leverage" dataDxfId="8" dataCellStyle="Currency"/>
    <tableColumn id="3" xr3:uid="{73428B0C-FC05-EF48-AD8D-59BC0F8CDFF6}" name="Entry Position Size" dataDxfId="7" dataCellStyle="Currency"/>
    <tableColumn id="4" xr3:uid="{D77CFA6C-88AA-594B-B143-A15F316CA6F5}" name="Exit Position Size" dataDxfId="6" dataCellStyle="Currency"/>
    <tableColumn id="5" xr3:uid="{BE4A09FC-6753-6A44-98CF-736395B04A63}" name="Position Size" dataDxfId="5" dataCellStyle="Currency">
      <calculatedColumnFormula>IF(Table3[[#This Row],[Trade ID]]&lt;&gt;"", IF(COUNTIF(INDEX(Table3[Trade ID],1):Table3[[#This Row],[Trade ID]], Table3[[#This Row],[Trade ID]])=1, SUMIFS(Table3[Entry Position Size], Table3[Trade ID], Table3[[#This Row],[Trade ID]]), ""), "")</calculatedColumnFormula>
    </tableColumn>
    <tableColumn id="6" xr3:uid="{C8BEE7E0-9E42-7144-91AF-36F90387D65C}" name="Margin" dataDxfId="4" dataCellStyle="Currency">
      <calculatedColumnFormula>Table3[[#This Row],[Position Size]]/Table3[[#This Row],[Leverage]]</calculatedColumnFormula>
    </tableColumn>
    <tableColumn id="7" xr3:uid="{5AD016A4-3890-7448-A162-8A7680A73A7F}" name="Entry" dataDxfId="3" dataCellStyle="Currency"/>
    <tableColumn id="12" xr3:uid="{48DE3D00-075E-BC4A-8D44-DDD5C6F78D6E}" name="Exit " dataDxfId="2" dataCellStyle="Currency"/>
    <tableColumn id="8" xr3:uid="{DDC3D965-0B96-B64E-AAE8-ED7A8C16A9E4}" name="Entry WAP" dataDxfId="1" dataCellStyle="Currency">
      <calculatedColumnFormula array="1">IFERROR(SUMPRODUCT((Table3[Entry]),(Table3[Entry Position Size]) * (Table3[Trade ID] = B6)) / SUMIF(Table3[Trade ID], B6, Table3[Entry Position Size]), "Check Data")</calculatedColumnFormula>
    </tableColumn>
    <tableColumn id="15" xr3:uid="{0430C9AC-9046-D248-AE63-2A4974C7BE8E}" name="Exit WAP" dataDxfId="0" dataCellStyle="Currency">
      <calculatedColumnFormula array="1">IFERROR(SUMPRODUCT((Table3[[Exit ]]),(Table3[Exit Position Size]) * (Table3[Trade ID] = B6)) / SUMIF(Table3[Trade ID], B6, Table3[Exit Position Size]), "Check Data")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35723-AAB0-49C5-B30D-35BEFD5BED28}">
  <sheetPr codeName="Sheet1"/>
  <dimension ref="B1:AN76"/>
  <sheetViews>
    <sheetView tabSelected="1" zoomScaleNormal="100" workbookViewId="0">
      <selection activeCell="M8" sqref="M8"/>
    </sheetView>
  </sheetViews>
  <sheetFormatPr defaultColWidth="9.140625" defaultRowHeight="15" x14ac:dyDescent="0.25"/>
  <cols>
    <col min="1" max="1" width="9.140625" style="13"/>
    <col min="2" max="2" width="18" style="13" bestFit="1" customWidth="1"/>
    <col min="3" max="3" width="11.5703125" style="13" bestFit="1" customWidth="1"/>
    <col min="4" max="4" width="9.5703125" style="13" bestFit="1" customWidth="1"/>
    <col min="5" max="5" width="15.28515625" style="13" bestFit="1" customWidth="1"/>
    <col min="6" max="6" width="8.7109375" style="13" bestFit="1" customWidth="1"/>
    <col min="7" max="7" width="9.140625" style="13" bestFit="1" customWidth="1"/>
    <col min="8" max="8" width="19.140625" style="13" bestFit="1" customWidth="1"/>
    <col min="9" max="9" width="12.5703125" style="13" bestFit="1" customWidth="1"/>
    <col min="10" max="10" width="13.140625" style="13" bestFit="1" customWidth="1"/>
    <col min="11" max="11" width="12.85546875" style="13" bestFit="1" customWidth="1"/>
    <col min="12" max="12" width="13.140625" style="13" bestFit="1" customWidth="1"/>
    <col min="13" max="13" width="12" style="13" bestFit="1" customWidth="1"/>
    <col min="14" max="14" width="11.5703125" style="13" bestFit="1" customWidth="1"/>
    <col min="15" max="16" width="9.7109375" style="13" bestFit="1" customWidth="1"/>
    <col min="17" max="17" width="7.140625" style="13" bestFit="1" customWidth="1"/>
    <col min="18" max="18" width="8.7109375" style="13" bestFit="1" customWidth="1"/>
    <col min="19" max="20" width="11.5703125" style="13" bestFit="1" customWidth="1"/>
    <col min="21" max="21" width="12.42578125" style="13" bestFit="1" customWidth="1"/>
    <col min="22" max="22" width="16.7109375" style="13" bestFit="1" customWidth="1"/>
    <col min="23" max="23" width="19.140625" style="13" bestFit="1" customWidth="1"/>
    <col min="24" max="24" width="9.7109375" style="13" bestFit="1" customWidth="1"/>
    <col min="25" max="25" width="15" style="13" bestFit="1" customWidth="1"/>
    <col min="26" max="26" width="9" style="13" bestFit="1" customWidth="1"/>
    <col min="27" max="27" width="8.42578125" style="13" bestFit="1" customWidth="1"/>
    <col min="28" max="28" width="10" style="13" bestFit="1" customWidth="1"/>
    <col min="29" max="29" width="9.140625" style="13" bestFit="1" customWidth="1"/>
    <col min="30" max="30" width="6" style="13" bestFit="1" customWidth="1"/>
    <col min="31" max="31" width="8.85546875" style="13" bestFit="1" customWidth="1"/>
    <col min="32" max="32" width="9.140625" style="13" bestFit="1" customWidth="1"/>
    <col min="33" max="33" width="7" style="13" bestFit="1" customWidth="1"/>
    <col min="34" max="34" width="12.5703125" style="13" bestFit="1" customWidth="1"/>
    <col min="35" max="35" width="5.7109375" style="13" bestFit="1" customWidth="1"/>
    <col min="36" max="36" width="4.42578125" style="13" bestFit="1" customWidth="1"/>
    <col min="37" max="37" width="8" style="13" bestFit="1" customWidth="1"/>
    <col min="38" max="39" width="7.42578125" style="13" bestFit="1" customWidth="1"/>
    <col min="40" max="40" width="6.42578125" style="13" bestFit="1" customWidth="1"/>
    <col min="41" max="16384" width="9.140625" style="13"/>
  </cols>
  <sheetData>
    <row r="1" spans="2:40" ht="19.5" x14ac:dyDescent="0.25">
      <c r="B1" s="79" t="s">
        <v>23</v>
      </c>
      <c r="C1" s="79"/>
      <c r="D1" s="79"/>
      <c r="E1" s="79"/>
      <c r="F1" s="79"/>
      <c r="G1" s="79"/>
      <c r="H1" s="79"/>
      <c r="I1" s="79"/>
      <c r="J1" s="79"/>
      <c r="K1" s="79"/>
      <c r="L1" s="79"/>
    </row>
    <row r="3" spans="2:40" x14ac:dyDescent="0.25">
      <c r="E3" s="5" t="s">
        <v>74</v>
      </c>
      <c r="F3" s="55">
        <f>ABS(MIN(Table1[Drawdown %]))</f>
        <v>1.5100566692353641E-2</v>
      </c>
      <c r="K3" s="1" t="s">
        <v>18</v>
      </c>
      <c r="L3" s="57">
        <v>45817</v>
      </c>
    </row>
    <row r="4" spans="2:40" x14ac:dyDescent="0.25">
      <c r="B4" s="1" t="s">
        <v>12</v>
      </c>
      <c r="C4" s="40">
        <v>10206.7360663502</v>
      </c>
      <c r="E4" s="10" t="s">
        <v>36</v>
      </c>
      <c r="F4" s="7">
        <f>COUNTIF(P14:P57,"&gt;0")/COUNTA(B14:B51)</f>
        <v>0.34210526315789475</v>
      </c>
      <c r="H4" s="5" t="s">
        <v>50</v>
      </c>
      <c r="I4" s="42">
        <v>4.0000000000000002E-4</v>
      </c>
      <c r="K4" s="2" t="s">
        <v>17</v>
      </c>
      <c r="L4" s="4">
        <f>SUM(AH14:AH26)</f>
        <v>0</v>
      </c>
      <c r="N4" s="14"/>
      <c r="O4" s="15"/>
    </row>
    <row r="5" spans="2:40" x14ac:dyDescent="0.25">
      <c r="B5" s="2" t="s">
        <v>13</v>
      </c>
      <c r="C5" s="3">
        <v>20000</v>
      </c>
      <c r="E5" s="10" t="s">
        <v>39</v>
      </c>
      <c r="F5" s="11">
        <f>AVERAGE(R14:R51)</f>
        <v>-0.26440176235970331</v>
      </c>
      <c r="H5" s="5" t="s">
        <v>51</v>
      </c>
      <c r="I5" s="42">
        <v>2.0000000000000001E-4</v>
      </c>
      <c r="K5" s="2" t="s">
        <v>16</v>
      </c>
      <c r="L5" s="4">
        <f>SUM(P14:P51)</f>
        <v>-473.85592411916889</v>
      </c>
      <c r="N5" s="14"/>
    </row>
    <row r="6" spans="2:40" x14ac:dyDescent="0.25">
      <c r="B6" s="2" t="s">
        <v>14</v>
      </c>
      <c r="C6" s="3">
        <f>L7</f>
        <v>-1667.3860663502096</v>
      </c>
      <c r="E6" s="10" t="s">
        <v>37</v>
      </c>
      <c r="F6" s="11">
        <f>L7/ABS(SUMIF(P14:P51,"&lt;0"))</f>
        <v>-0.74066355186088728</v>
      </c>
      <c r="G6" s="16"/>
      <c r="H6" s="5" t="s">
        <v>52</v>
      </c>
      <c r="I6" s="42">
        <v>2.0000000000000001E-4</v>
      </c>
      <c r="K6" s="38" t="s">
        <v>45</v>
      </c>
      <c r="L6" s="39">
        <f>SUM(Table1[Fees])</f>
        <v>-1193.5301422310408</v>
      </c>
      <c r="N6" s="14"/>
      <c r="O6" s="14"/>
      <c r="P6" s="50"/>
    </row>
    <row r="7" spans="2:40" x14ac:dyDescent="0.25">
      <c r="B7" s="2" t="s">
        <v>24</v>
      </c>
      <c r="C7" s="36">
        <f>C6/C5</f>
        <v>-8.3369303317510482E-2</v>
      </c>
      <c r="E7" s="10" t="s">
        <v>38</v>
      </c>
      <c r="F7" s="12">
        <f>AVERAGE(P14:P51)</f>
        <v>-12.469892739978128</v>
      </c>
      <c r="H7" s="5" t="s">
        <v>53</v>
      </c>
      <c r="I7" s="43">
        <v>0</v>
      </c>
      <c r="K7" s="5" t="s">
        <v>25</v>
      </c>
      <c r="L7" s="6">
        <f>SUM(L4:L6)</f>
        <v>-1667.3860663502096</v>
      </c>
      <c r="N7" s="74"/>
      <c r="Q7" s="51"/>
    </row>
    <row r="8" spans="2:40" x14ac:dyDescent="0.25">
      <c r="B8" s="5" t="s">
        <v>15</v>
      </c>
      <c r="C8" s="7">
        <f>C6/C4</f>
        <v>-0.16336133858181029</v>
      </c>
      <c r="E8" s="10" t="s">
        <v>35</v>
      </c>
      <c r="F8" s="55">
        <f>ABS((L9-L8)/L8)</f>
        <v>9.4297823967618294E-2</v>
      </c>
      <c r="G8" s="17"/>
      <c r="H8" s="45" t="s">
        <v>56</v>
      </c>
      <c r="I8" s="46">
        <v>5.0000000000000001E-4</v>
      </c>
      <c r="K8" s="9" t="s">
        <v>42</v>
      </c>
      <c r="L8" s="6">
        <f>MAX(Table1[Peak Equity])</f>
        <v>10746.225856349329</v>
      </c>
      <c r="N8" s="75"/>
      <c r="O8" s="14"/>
      <c r="P8" s="74"/>
      <c r="Q8" s="14"/>
      <c r="T8" s="14"/>
    </row>
    <row r="9" spans="2:40" x14ac:dyDescent="0.25">
      <c r="B9" s="5" t="s">
        <v>40</v>
      </c>
      <c r="C9" s="76">
        <f>C6+C4</f>
        <v>8539.3499999999913</v>
      </c>
      <c r="E9" s="10" t="s">
        <v>44</v>
      </c>
      <c r="F9" s="37">
        <f>C8/F8</f>
        <v>-1.7323977554127685</v>
      </c>
      <c r="G9" s="17"/>
      <c r="H9" s="5" t="s">
        <v>57</v>
      </c>
      <c r="I9" s="43">
        <v>0</v>
      </c>
      <c r="K9" s="5" t="s">
        <v>64</v>
      </c>
      <c r="L9" s="6">
        <f>MIN(Table1[Equity])</f>
        <v>9732.8801422310316</v>
      </c>
      <c r="O9" s="14"/>
    </row>
    <row r="10" spans="2:40" x14ac:dyDescent="0.25">
      <c r="B10" s="8"/>
      <c r="C10" s="17"/>
      <c r="F10" s="17"/>
      <c r="M10" s="14"/>
      <c r="N10" s="17"/>
      <c r="P10" s="58"/>
      <c r="Q10" s="17"/>
      <c r="U10" s="14"/>
    </row>
    <row r="11" spans="2:40" x14ac:dyDescent="0.25">
      <c r="E11" s="80" t="s">
        <v>28</v>
      </c>
      <c r="F11" s="80"/>
      <c r="G11" s="80"/>
      <c r="H11" s="80"/>
      <c r="I11" s="80"/>
      <c r="N11" s="14"/>
      <c r="O11" s="52"/>
      <c r="P11" s="14"/>
      <c r="Q11" s="14"/>
      <c r="R11" s="17"/>
      <c r="S11" s="14"/>
      <c r="AE11" s="80" t="s">
        <v>29</v>
      </c>
      <c r="AF11" s="80"/>
      <c r="AG11" s="80"/>
      <c r="AH11" s="80"/>
      <c r="AI11" s="80"/>
    </row>
    <row r="12" spans="2:40" x14ac:dyDescent="0.25">
      <c r="O12" s="14"/>
    </row>
    <row r="13" spans="2:40" x14ac:dyDescent="0.25">
      <c r="B13" s="18" t="s">
        <v>0</v>
      </c>
      <c r="C13" s="18" t="s">
        <v>4</v>
      </c>
      <c r="D13" s="18" t="s">
        <v>2</v>
      </c>
      <c r="E13" s="18" t="s">
        <v>3</v>
      </c>
      <c r="F13" s="18" t="s">
        <v>27</v>
      </c>
      <c r="G13" s="18" t="s">
        <v>6</v>
      </c>
      <c r="H13" s="18" t="s">
        <v>22</v>
      </c>
      <c r="I13" s="18" t="s">
        <v>26</v>
      </c>
      <c r="J13" s="18" t="s">
        <v>7</v>
      </c>
      <c r="K13" s="18" t="s">
        <v>8</v>
      </c>
      <c r="L13" s="18" t="s">
        <v>32</v>
      </c>
      <c r="M13" s="18" t="s">
        <v>9</v>
      </c>
      <c r="N13" s="18" t="s">
        <v>11</v>
      </c>
      <c r="O13" s="18" t="s">
        <v>33</v>
      </c>
      <c r="P13" s="18" t="s">
        <v>21</v>
      </c>
      <c r="Q13" s="18" t="s">
        <v>30</v>
      </c>
      <c r="R13" s="18" t="s">
        <v>34</v>
      </c>
      <c r="S13" s="18" t="s">
        <v>41</v>
      </c>
      <c r="T13" s="18" t="s">
        <v>42</v>
      </c>
      <c r="U13" s="18" t="s">
        <v>43</v>
      </c>
      <c r="V13" s="18" t="s">
        <v>54</v>
      </c>
      <c r="W13" s="18" t="s">
        <v>55</v>
      </c>
      <c r="X13" s="18" t="s">
        <v>45</v>
      </c>
      <c r="Y13" s="18" t="s">
        <v>10</v>
      </c>
      <c r="AA13" s="13" t="s">
        <v>0</v>
      </c>
      <c r="AB13" s="13" t="s">
        <v>1</v>
      </c>
      <c r="AC13" s="13" t="s">
        <v>19</v>
      </c>
      <c r="AD13" s="13" t="s">
        <v>3</v>
      </c>
      <c r="AE13" s="13" t="s">
        <v>5</v>
      </c>
      <c r="AF13" s="13" t="s">
        <v>6</v>
      </c>
      <c r="AG13" s="13" t="s">
        <v>22</v>
      </c>
      <c r="AH13" s="13" t="s">
        <v>26</v>
      </c>
      <c r="AI13" s="13" t="s">
        <v>20</v>
      </c>
      <c r="AJ13" s="13" t="s">
        <v>8</v>
      </c>
      <c r="AK13" s="13" t="s">
        <v>9</v>
      </c>
      <c r="AL13" s="13" t="s">
        <v>11</v>
      </c>
      <c r="AM13" s="13" t="s">
        <v>21</v>
      </c>
      <c r="AN13" s="13" t="s">
        <v>10</v>
      </c>
    </row>
    <row r="14" spans="2:40" x14ac:dyDescent="0.25">
      <c r="B14" s="18">
        <v>1</v>
      </c>
      <c r="C14" s="41">
        <v>45817</v>
      </c>
      <c r="D14" s="41">
        <v>45817</v>
      </c>
      <c r="E14" s="18" t="s">
        <v>46</v>
      </c>
      <c r="F14" s="18" t="str">
        <f>_xlfn.XLOOKUP(Table1[[#This Row],[Trade ID]],Table3[Trade ID],Table3[Position],"Not Found ")</f>
        <v>Long</v>
      </c>
      <c r="G14" s="18">
        <f>_xlfn.XLOOKUP(Table1[[#This Row],[Trade ID]],Table3[Trade ID],Table3[Leverage], "Not Found")</f>
        <v>100</v>
      </c>
      <c r="H14" s="19">
        <f>_xlfn.XLOOKUP(Table1[[#This Row],[Trade ID]],Table3[Trade ID],Table3[Margin], "Not Found")</f>
        <v>5552.2159459999993</v>
      </c>
      <c r="I14" s="20">
        <f>_xlfn.XLOOKUP(Table1[[#This Row],[Trade ID]],Table3[Trade ID],Table3[Position Size], "Not Found")</f>
        <v>555221.59459999995</v>
      </c>
      <c r="J14" s="19">
        <f>_xlfn.XLOOKUP(Table1[[#This Row],[Trade ID]],Table3[Trade ID],Table3[Entry WAP], "Not Found")</f>
        <v>107142.2</v>
      </c>
      <c r="K14" s="19">
        <f>_xlfn.XLOOKUP(Table1[[#This Row],[Trade ID]],Table3[Trade ID],Table3[Exit WAP], "Not Found")</f>
        <v>107147.1</v>
      </c>
      <c r="L14" s="19">
        <v>107070</v>
      </c>
      <c r="M14" s="47">
        <f>Table1[[#This Row],[Position Size]]/Table1[[#This Row],[Entry ]]</f>
        <v>5.1820999998133317</v>
      </c>
      <c r="N14" s="20">
        <f>Table1[[#This Row],[Amount]]*Table1[[#This Row],[Exit]]</f>
        <v>555246.98688999901</v>
      </c>
      <c r="O14" s="22">
        <f>IF(Table1[[#This Row],[Position]]="Long",(Table1[[#This Row],[Stop]]*Table1[[#This Row],[Amount]])-Table1[[#This Row],[Position Size]],-ABS((Table1[[#This Row],[Stop]]*Table1[[#This Row],[Amount]])-Table1[[#This Row],[Position Size]]))</f>
        <v>-374.1476199865574</v>
      </c>
      <c r="P14" s="19">
        <f>IF(Table1[[#This Row],[Position]]="Long",(Table1[[#This Row],[Exit]]-Table1[[#This Row],[Entry ]])*Table1[[#This Row],[Amount]],(Table1[[#This Row],[Entry ]]-Table1[[#This Row],[Exit]])*Table1[[#This Row],[Amount]])</f>
        <v>25.392289999130572</v>
      </c>
      <c r="Q14" s="23">
        <f>Table1[[#This Row],[PNL]]/Table1[[#This Row],[Margin]]</f>
        <v>4.5733613832913004E-3</v>
      </c>
      <c r="R14" s="24">
        <f>IF(Table1[[#This Row],[PNL]]&lt;0,-ABS(Table1[[#This Row],[PNL]]/Table1[[#This Row],[Stop Loss]]),ABS(Table1[[#This Row],[PNL]]/Table1[[#This Row],[Stop Loss]]))</f>
        <v>6.7867036011194939E-2</v>
      </c>
      <c r="S14" s="28">
        <f>$C$4+SUM($P$14:P14)</f>
        <v>10232.128356349331</v>
      </c>
      <c r="T14" s="19">
        <f>MAX(S13:S14)</f>
        <v>10232.128356349331</v>
      </c>
      <c r="U14" s="29">
        <f>(Table1[[#This Row],[Equity]]-Table1[[#This Row],[Peak Equity]])/Table1[[#This Row],[Peak Equity]]</f>
        <v>0</v>
      </c>
      <c r="V14" s="30" t="s">
        <v>50</v>
      </c>
      <c r="W14" s="18" t="s">
        <v>50</v>
      </c>
      <c r="X14" s="28">
        <f>-(Table1[[#This Row],[Position Size]] * CHOOSE(MATCH(Table1[[#This Row],[Entry Type]],{"Taker Fees","Maker Fees","Reduced Taker Fees","Reduced Maker Fees","Spot Taker Fees","Spot Maker Fees"},0), $I$4,$I$5,$I$6,$I$7,$I$8,$I$9)+Table1[[#This Row],[Value]] * CHOOSE(MATCH(Table1[[#This Row],[Exit Type]], {"Taker Fees","Maker Fees","Reduced Taker Fees","Reduced Maker Fees","Spot Taker Fees","Spot Maker Fees"}, 0), $I$4,$I$5,$I$6,$I$7,$I$8,$I$9))</f>
        <v>-444.18743259599961</v>
      </c>
      <c r="Y14" s="18"/>
      <c r="AA14" s="18">
        <v>1</v>
      </c>
      <c r="AB14" s="26"/>
      <c r="AC14" s="27"/>
      <c r="AD14" s="18"/>
      <c r="AE14" s="18"/>
      <c r="AF14" s="18"/>
      <c r="AG14" s="19"/>
      <c r="AH14" s="19">
        <f>AF14*AG14</f>
        <v>0</v>
      </c>
      <c r="AI14" s="19"/>
      <c r="AJ14" s="19"/>
      <c r="AK14" s="21" t="e">
        <f>Table2[[#This Row],[Position Size]]/Table2[[#This Row],[Entry]]</f>
        <v>#DIV/0!</v>
      </c>
      <c r="AL14" s="19" t="e">
        <f>AI14*AK14</f>
        <v>#DIV/0!</v>
      </c>
      <c r="AM14" s="28" t="e">
        <f>(AI14*AK14)-(AK14*AJ14)</f>
        <v>#DIV/0!</v>
      </c>
      <c r="AN14" s="18"/>
    </row>
    <row r="15" spans="2:40" x14ac:dyDescent="0.25">
      <c r="B15" s="18">
        <v>2</v>
      </c>
      <c r="C15" s="41">
        <v>45818</v>
      </c>
      <c r="D15" s="41">
        <v>45818</v>
      </c>
      <c r="E15" s="18" t="s">
        <v>47</v>
      </c>
      <c r="F15" s="18" t="str">
        <f>_xlfn.XLOOKUP(Table1[[#This Row],[Trade ID]],Table3[Trade ID],Table3[Position],"Not Found ")</f>
        <v>Long</v>
      </c>
      <c r="G15" s="18">
        <f>_xlfn.XLOOKUP(Table1[[#This Row],[Trade ID]],Table3[Trade ID],Table3[Leverage], "Not Found")</f>
        <v>50</v>
      </c>
      <c r="H15" s="19">
        <f>_xlfn.XLOOKUP(Table1[[#This Row],[Trade ID]],Table3[Trade ID],Table3[Margin], "Not Found")</f>
        <v>583.54372799999999</v>
      </c>
      <c r="I15" s="20">
        <f>_xlfn.XLOOKUP(Table1[[#This Row],[Trade ID]],Table3[Trade ID],Table3[Position Size], "Not Found")</f>
        <v>29177.186399999999</v>
      </c>
      <c r="J15" s="19">
        <f>_xlfn.XLOOKUP(Table1[[#This Row],[Trade ID]],Table3[Trade ID],Table3[Entry WAP], "Not Found")</f>
        <v>10.872</v>
      </c>
      <c r="K15" s="19">
        <f>_xlfn.XLOOKUP(Table1[[#This Row],[Trade ID]],Table3[Trade ID],Table3[Exit WAP], "Not Found")</f>
        <v>10.817</v>
      </c>
      <c r="L15" s="19">
        <v>10.837</v>
      </c>
      <c r="M15" s="21">
        <f>Table1[[#This Row],[Position Size]]/Table1[[#This Row],[Entry ]]</f>
        <v>2683.7</v>
      </c>
      <c r="N15" s="20">
        <f>Table1[[#This Row],[Amount]]*Table1[[#This Row],[Exit]]</f>
        <v>29029.582899999998</v>
      </c>
      <c r="O15" s="22">
        <f>IF(Table1[[#This Row],[Position]]="Long",(Table1[[#This Row],[Stop]]*Table1[[#This Row],[Amount]])-Table1[[#This Row],[Position Size]],-ABS((Table1[[#This Row],[Stop]]*Table1[[#This Row],[Amount]])-Table1[[#This Row],[Position Size]]))</f>
        <v>-93.929500000002008</v>
      </c>
      <c r="P15" s="19">
        <f>IF(Table1[[#This Row],[Position]]="Long",(Table1[[#This Row],[Exit]]-Table1[[#This Row],[Entry ]])*Table1[[#This Row],[Amount]],(Table1[[#This Row],[Entry ]]-Table1[[#This Row],[Exit]])*Table1[[#This Row],[Amount]])</f>
        <v>-147.60349999999923</v>
      </c>
      <c r="Q15" s="23">
        <f>Table1[[#This Row],[PNL]]/Table1[[#This Row],[Margin]]</f>
        <v>-0.25294334069168373</v>
      </c>
      <c r="R15" s="24">
        <f>IF(Table1[[#This Row],[PNL]]&lt;0,-ABS(Table1[[#This Row],[PNL]]/Table1[[#This Row],[Stop Loss]]),ABS(Table1[[#This Row],[PNL]]/Table1[[#This Row],[Stop Loss]]))</f>
        <v>-1.5714285714285297</v>
      </c>
      <c r="S15" s="28">
        <f>$C$4+SUM($P$14:P15)</f>
        <v>10084.524856349331</v>
      </c>
      <c r="T15" s="19">
        <f>MAX(S14:S15)</f>
        <v>10232.128356349331</v>
      </c>
      <c r="U15" s="29">
        <f>(Table1[[#This Row],[Equity]]-Table1[[#This Row],[Peak Equity]])/Table1[[#This Row],[Peak Equity]]</f>
        <v>-1.4425493392917323E-2</v>
      </c>
      <c r="V15" s="30" t="s">
        <v>50</v>
      </c>
      <c r="W15" s="18" t="s">
        <v>50</v>
      </c>
      <c r="X15" s="28">
        <f>-(Table1[[#This Row],[Position Size]] * CHOOSE(MATCH(Table1[[#This Row],[Entry Type]],{"Taker Fees","Maker Fees","Reduced Taker Fees","Reduced Maker Fees","Spot Taker Fees","Spot Maker Fees"},0), $I$4,$I$5,$I$6,$I$7,$I$8,$I$9)+Table1[[#This Row],[Value]] * CHOOSE(MATCH(Table1[[#This Row],[Exit Type]], {"Taker Fees","Maker Fees","Reduced Taker Fees","Reduced Maker Fees","Spot Taker Fees","Spot Maker Fees"}, 0), $I$4,$I$5,$I$6,$I$7,$I$8,$I$9))</f>
        <v>-23.282707719999998</v>
      </c>
      <c r="Y15" s="18"/>
      <c r="Z15" s="19"/>
      <c r="AA15" s="19"/>
      <c r="AB15" s="19"/>
      <c r="AC15" s="21"/>
      <c r="AD15" s="19"/>
      <c r="AE15" s="28"/>
      <c r="AF15" s="18"/>
    </row>
    <row r="16" spans="2:40" x14ac:dyDescent="0.25">
      <c r="B16" s="18">
        <v>3</v>
      </c>
      <c r="C16" s="41">
        <v>45818</v>
      </c>
      <c r="D16" s="41">
        <v>45818</v>
      </c>
      <c r="E16" s="18" t="s">
        <v>48</v>
      </c>
      <c r="F16" s="18" t="str">
        <f>_xlfn.XLOOKUP(Table1[[#This Row],[Trade ID]],Table3[Trade ID],Table3[Position],"Not Found ")</f>
        <v>Long</v>
      </c>
      <c r="G16" s="18">
        <f>_xlfn.XLOOKUP(Table1[[#This Row],[Trade ID]],Table3[Trade ID],Table3[Leverage], "Not Found")</f>
        <v>34</v>
      </c>
      <c r="H16" s="19">
        <f>_xlfn.XLOOKUP(Table1[[#This Row],[Trade ID]],Table3[Trade ID],Table3[Margin], "Not Found")</f>
        <v>949.7002</v>
      </c>
      <c r="I16" s="20">
        <f>_xlfn.XLOOKUP(Table1[[#This Row],[Trade ID]],Table3[Trade ID],Table3[Position Size], "Not Found")</f>
        <v>32289.806799999998</v>
      </c>
      <c r="J16" s="19">
        <f>_xlfn.XLOOKUP(Table1[[#This Row],[Trade ID]],Table3[Trade ID],Table3[Entry WAP], "Not Found")</f>
        <v>2686.34</v>
      </c>
      <c r="K16" s="19">
        <f>_xlfn.XLOOKUP(Table1[[#This Row],[Trade ID]],Table3[Trade ID],Table3[Exit WAP], "Not Found")</f>
        <v>2741.39</v>
      </c>
      <c r="L16" s="19">
        <v>2678.43</v>
      </c>
      <c r="M16" s="21">
        <f>Table1[[#This Row],[Position Size]]/Table1[[#This Row],[Entry ]]</f>
        <v>12.02</v>
      </c>
      <c r="N16" s="20">
        <f>Table1[[#This Row],[Amount]]*Table1[[#This Row],[Exit]]</f>
        <v>32951.507799999999</v>
      </c>
      <c r="O16" s="22">
        <f>IF(Table1[[#This Row],[Position]]="Long",(Table1[[#This Row],[Stop]]*Table1[[#This Row],[Amount]])-Table1[[#This Row],[Position Size]],-ABS((Table1[[#This Row],[Stop]]*Table1[[#This Row],[Amount]])-Table1[[#This Row],[Position Size]]))</f>
        <v>-95.078199999999924</v>
      </c>
      <c r="P16" s="19">
        <f>IF(Table1[[#This Row],[Position]]="Long",(Table1[[#This Row],[Exit]]-Table1[[#This Row],[Entry ]])*Table1[[#This Row],[Amount]],(Table1[[#This Row],[Entry ]]-Table1[[#This Row],[Exit]])*Table1[[#This Row],[Amount]])</f>
        <v>661.70099999999672</v>
      </c>
      <c r="Q16" s="23">
        <f>Table1[[#This Row],[PNL]]/Table1[[#This Row],[Margin]]</f>
        <v>0.69674724718389736</v>
      </c>
      <c r="R16" s="24">
        <f>IF(Table1[[#This Row],[PNL]]&lt;0,-ABS(Table1[[#This Row],[PNL]]/Table1[[#This Row],[Stop Loss]]),ABS(Table1[[#This Row],[PNL]]/Table1[[#This Row],[Stop Loss]]))</f>
        <v>6.9595448798988331</v>
      </c>
      <c r="S16" s="28">
        <f>$C$4+SUM($P$14:P16)</f>
        <v>10746.225856349329</v>
      </c>
      <c r="T16" s="19">
        <f t="shared" ref="T16:T51" si="0">MAX(S15:S16)</f>
        <v>10746.225856349329</v>
      </c>
      <c r="U16" s="29">
        <f>(Table1[[#This Row],[Equity]]-Table1[[#This Row],[Peak Equity]])/Table1[[#This Row],[Peak Equity]]</f>
        <v>0</v>
      </c>
      <c r="V16" s="30" t="s">
        <v>50</v>
      </c>
      <c r="W16" s="18" t="s">
        <v>50</v>
      </c>
      <c r="X16" s="28">
        <f>-(Table1[[#This Row],[Position Size]] * CHOOSE(MATCH(Table1[[#This Row],[Entry Type]],{"Taker Fees","Maker Fees","Reduced Taker Fees","Reduced Maker Fees","Spot Taker Fees","Spot Maker Fees"},0), $I$4,$I$5,$I$6,$I$7,$I$8,$I$9)+Table1[[#This Row],[Value]] * CHOOSE(MATCH(Table1[[#This Row],[Exit Type]], {"Taker Fees","Maker Fees","Reduced Taker Fees","Reduced Maker Fees","Spot Taker Fees","Spot Maker Fees"}, 0), $I$4,$I$5,$I$6,$I$7,$I$8,$I$9))</f>
        <v>-26.096525839999998</v>
      </c>
      <c r="Y16" s="18"/>
      <c r="Z16" s="18"/>
      <c r="AA16" s="18"/>
      <c r="AB16" s="18"/>
      <c r="AC16" s="18"/>
      <c r="AD16" s="18"/>
      <c r="AE16" s="18"/>
      <c r="AF16" s="18"/>
    </row>
    <row r="17" spans="2:32" x14ac:dyDescent="0.25">
      <c r="B17" s="18">
        <v>4</v>
      </c>
      <c r="C17" s="41">
        <v>45818</v>
      </c>
      <c r="D17" s="41">
        <v>45818</v>
      </c>
      <c r="E17" s="18" t="s">
        <v>48</v>
      </c>
      <c r="F17" s="18" t="str">
        <f>_xlfn.XLOOKUP(Table1[[#This Row],[Trade ID]],Table3[Trade ID],Table3[Position],"Not Found ")</f>
        <v>Long</v>
      </c>
      <c r="G17" s="18">
        <f>_xlfn.XLOOKUP(Table1[[#This Row],[Trade ID]],Table3[Trade ID],Table3[Leverage], "Not Found")</f>
        <v>34</v>
      </c>
      <c r="H17" s="19">
        <f>_xlfn.XLOOKUP(Table1[[#This Row],[Trade ID]],Table3[Trade ID],Table3[Margin], "Not Found")</f>
        <v>913.49474999999995</v>
      </c>
      <c r="I17" s="20">
        <f>_xlfn.XLOOKUP(Table1[[#This Row],[Trade ID]],Table3[Trade ID],Table3[Position Size], "Not Found")</f>
        <v>31058.821499999998</v>
      </c>
      <c r="J17" s="19">
        <f>_xlfn.XLOOKUP(Table1[[#This Row],[Trade ID]],Table3[Trade ID],Table3[Entry WAP], "Not Found")</f>
        <v>2790.55</v>
      </c>
      <c r="K17" s="19">
        <f>_xlfn.XLOOKUP(Table1[[#This Row],[Trade ID]],Table3[Trade ID],Table3[Exit WAP], "Not Found")</f>
        <v>2781.81</v>
      </c>
      <c r="L17" s="19">
        <v>2776.65</v>
      </c>
      <c r="M17" s="21">
        <f>Table1[[#This Row],[Position Size]]/Table1[[#This Row],[Entry ]]</f>
        <v>11.129999999999999</v>
      </c>
      <c r="N17" s="20">
        <f>Table1[[#This Row],[Amount]]*Table1[[#This Row],[Exit]]</f>
        <v>30961.545299999998</v>
      </c>
      <c r="O17" s="22">
        <f>IF(Table1[[#This Row],[Position]]="Long",(Table1[[#This Row],[Stop]]*Table1[[#This Row],[Amount]])-Table1[[#This Row],[Position Size]],-ABS((Table1[[#This Row],[Stop]]*Table1[[#This Row],[Amount]])-Table1[[#This Row],[Position Size]]))</f>
        <v>-154.70699999999852</v>
      </c>
      <c r="P17" s="19">
        <f>IF(Table1[[#This Row],[Position]]="Long",(Table1[[#This Row],[Exit]]-Table1[[#This Row],[Entry ]])*Table1[[#This Row],[Amount]],(Table1[[#This Row],[Entry ]]-Table1[[#This Row],[Exit]])*Table1[[#This Row],[Amount]])</f>
        <v>-97.276200000002618</v>
      </c>
      <c r="Q17" s="23">
        <f>Table1[[#This Row],[PNL]]/Table1[[#This Row],[Margin]]</f>
        <v>-0.1064879683216599</v>
      </c>
      <c r="R17" s="24">
        <f>IF(Table1[[#This Row],[PNL]]&lt;0,-ABS(Table1[[#This Row],[PNL]]/Table1[[#This Row],[Stop Loss]]),ABS(Table1[[#This Row],[PNL]]/Table1[[#This Row],[Stop Loss]]))</f>
        <v>-0.62877697841728919</v>
      </c>
      <c r="S17" s="28">
        <f>$C$4+SUM($P$14:P17)</f>
        <v>10648.949656349327</v>
      </c>
      <c r="T17" s="19">
        <f t="shared" si="0"/>
        <v>10746.225856349329</v>
      </c>
      <c r="U17" s="29">
        <f>(Table1[[#This Row],[Equity]]-Table1[[#This Row],[Peak Equity]])/Table1[[#This Row],[Peak Equity]]</f>
        <v>-9.0521268862525477E-3</v>
      </c>
      <c r="V17" s="30" t="s">
        <v>50</v>
      </c>
      <c r="W17" s="18" t="s">
        <v>50</v>
      </c>
      <c r="X17" s="28">
        <f>-(Table1[[#This Row],[Position Size]] * CHOOSE(MATCH(Table1[[#This Row],[Entry Type]],{"Taker Fees","Maker Fees","Reduced Taker Fees","Reduced Maker Fees","Spot Taker Fees","Spot Maker Fees"},0), $I$4,$I$5,$I$6,$I$7,$I$8,$I$9)+Table1[[#This Row],[Value]] * CHOOSE(MATCH(Table1[[#This Row],[Exit Type]], {"Taker Fees","Maker Fees","Reduced Taker Fees","Reduced Maker Fees","Spot Taker Fees","Spot Maker Fees"}, 0), $I$4,$I$5,$I$6,$I$7,$I$8,$I$9))</f>
        <v>-24.808146719999996</v>
      </c>
      <c r="Y17" s="18"/>
      <c r="Z17" s="18"/>
      <c r="AA17" s="18"/>
      <c r="AB17" s="18"/>
      <c r="AC17" s="18"/>
      <c r="AD17" s="18"/>
      <c r="AE17" s="18"/>
      <c r="AF17" s="18"/>
    </row>
    <row r="18" spans="2:32" x14ac:dyDescent="0.25">
      <c r="B18" s="18">
        <v>5</v>
      </c>
      <c r="C18" s="41">
        <v>45818</v>
      </c>
      <c r="D18" s="41">
        <v>45818</v>
      </c>
      <c r="E18" s="18" t="s">
        <v>49</v>
      </c>
      <c r="F18" s="18" t="str">
        <f>_xlfn.XLOOKUP(Table1[[#This Row],[Trade ID]],Table3[Trade ID],Table3[Position],"Not Found ")</f>
        <v>Long</v>
      </c>
      <c r="G18" s="18">
        <f>_xlfn.XLOOKUP(Table1[[#This Row],[Trade ID]],Table3[Trade ID],Table3[Leverage], "Not Found")</f>
        <v>34</v>
      </c>
      <c r="H18" s="19">
        <f>_xlfn.XLOOKUP(Table1[[#This Row],[Trade ID]],Table3[Trade ID],Table3[Margin], "Not Found")</f>
        <v>900.06302941176466</v>
      </c>
      <c r="I18" s="20">
        <f>_xlfn.XLOOKUP(Table1[[#This Row],[Trade ID]],Table3[Trade ID],Table3[Position Size], "Not Found")</f>
        <v>30602.143</v>
      </c>
      <c r="J18" s="19">
        <f>_xlfn.XLOOKUP(Table1[[#This Row],[Trade ID]],Table3[Trade ID],Table3[Entry WAP], "Not Found")</f>
        <v>160.81</v>
      </c>
      <c r="K18" s="19">
        <f>_xlfn.XLOOKUP(Table1[[#This Row],[Trade ID]],Table3[Trade ID],Table3[Exit WAP], "Not Found")</f>
        <v>160.33000000000001</v>
      </c>
      <c r="L18" s="19">
        <v>160.33000000000001</v>
      </c>
      <c r="M18" s="21">
        <f>Table1[[#This Row],[Position Size]]/Table1[[#This Row],[Entry ]]</f>
        <v>190.3</v>
      </c>
      <c r="N18" s="20">
        <f>Table1[[#This Row],[Amount]]*Table1[[#This Row],[Exit]]</f>
        <v>30510.799000000003</v>
      </c>
      <c r="O18" s="22">
        <f>IF(Table1[[#This Row],[Position]]="Long",(Table1[[#This Row],[Stop]]*Table1[[#This Row],[Amount]])-Table1[[#This Row],[Position Size]],-ABS((Table1[[#This Row],[Stop]]*Table1[[#This Row],[Amount]])-Table1[[#This Row],[Position Size]]))</f>
        <v>-91.343999999997322</v>
      </c>
      <c r="P18" s="19">
        <f>IF(Table1[[#This Row],[Position]]="Long",(Table1[[#This Row],[Exit]]-Table1[[#This Row],[Entry ]])*Table1[[#This Row],[Amount]],(Table1[[#This Row],[Entry ]]-Table1[[#This Row],[Exit]])*Table1[[#This Row],[Amount]])</f>
        <v>-91.343999999998061</v>
      </c>
      <c r="Q18" s="23">
        <f>Table1[[#This Row],[PNL]]/Table1[[#This Row],[Margin]]</f>
        <v>-0.10148622598096918</v>
      </c>
      <c r="R18" s="24">
        <f>IF(Table1[[#This Row],[PNL]]&lt;0,-ABS(Table1[[#This Row],[PNL]]/Table1[[#This Row],[Stop Loss]]),ABS(Table1[[#This Row],[PNL]]/Table1[[#This Row],[Stop Loss]]))</f>
        <v>-1.000000000000008</v>
      </c>
      <c r="S18" s="28">
        <f>$C$4+SUM($P$14:P18)</f>
        <v>10557.605656349328</v>
      </c>
      <c r="T18" s="19">
        <f t="shared" si="0"/>
        <v>10648.949656349327</v>
      </c>
      <c r="U18" s="29">
        <f>(Table1[[#This Row],[Equity]]-Table1[[#This Row],[Peak Equity]])/Table1[[#This Row],[Peak Equity]]</f>
        <v>-8.5777473786380638E-3</v>
      </c>
      <c r="V18" s="30" t="s">
        <v>50</v>
      </c>
      <c r="W18" s="18" t="s">
        <v>50</v>
      </c>
      <c r="X18" s="28">
        <f>-(Table1[[#This Row],[Position Size]] * CHOOSE(MATCH(Table1[[#This Row],[Entry Type]],{"Taker Fees","Maker Fees","Reduced Taker Fees","Reduced Maker Fees","Spot Taker Fees","Spot Maker Fees"},0), $I$4,$I$5,$I$6,$I$7,$I$8,$I$9)+Table1[[#This Row],[Value]] * CHOOSE(MATCH(Table1[[#This Row],[Exit Type]], {"Taker Fees","Maker Fees","Reduced Taker Fees","Reduced Maker Fees","Spot Taker Fees","Spot Maker Fees"}, 0), $I$4,$I$5,$I$6,$I$7,$I$8,$I$9))</f>
        <v>-24.445176800000002</v>
      </c>
      <c r="Y18" s="18"/>
      <c r="Z18" s="18"/>
      <c r="AA18" s="18"/>
      <c r="AB18" s="18"/>
      <c r="AC18" s="18"/>
      <c r="AD18" s="18"/>
      <c r="AE18" s="18"/>
      <c r="AF18" s="18"/>
    </row>
    <row r="19" spans="2:32" x14ac:dyDescent="0.25">
      <c r="B19" s="18">
        <v>6</v>
      </c>
      <c r="C19" s="41">
        <v>45818</v>
      </c>
      <c r="D19" s="41">
        <v>45818</v>
      </c>
      <c r="E19" s="18" t="s">
        <v>46</v>
      </c>
      <c r="F19" s="18" t="str">
        <f>_xlfn.XLOOKUP(Table1[[#This Row],[Trade ID]],Table3[Trade ID],Table3[Position],"Not Found ")</f>
        <v>Long</v>
      </c>
      <c r="G19" s="18">
        <f>_xlfn.XLOOKUP(Table1[[#This Row],[Trade ID]],Table3[Trade ID],Table3[Leverage], "Not Found")</f>
        <v>34</v>
      </c>
      <c r="H19" s="19">
        <f>_xlfn.XLOOKUP(Table1[[#This Row],[Trade ID]],Table3[Trade ID],Table3[Margin], "Not Found")</f>
        <v>970.17846764705882</v>
      </c>
      <c r="I19" s="20">
        <f>_xlfn.XLOOKUP(Table1[[#This Row],[Trade ID]],Table3[Trade ID],Table3[Position Size], "Not Found")</f>
        <v>32986.067900000002</v>
      </c>
      <c r="J19" s="19">
        <f>_xlfn.XLOOKUP(Table1[[#This Row],[Trade ID]],Table3[Trade ID],Table3[Entry WAP], "Not Found")</f>
        <v>108793.1</v>
      </c>
      <c r="K19" s="19">
        <f>_xlfn.XLOOKUP(Table1[[#This Row],[Trade ID]],Table3[Trade ID],Table3[Exit WAP], "Not Found")</f>
        <v>108940.9</v>
      </c>
      <c r="L19" s="19">
        <v>108444.2</v>
      </c>
      <c r="M19" s="21">
        <f>Table1[[#This Row],[Position Size]]/Table1[[#This Row],[Entry ]]</f>
        <v>0.3031999998161648</v>
      </c>
      <c r="N19" s="20">
        <f>Table1[[#This Row],[Amount]]*Table1[[#This Row],[Exit]]</f>
        <v>33030.880859972829</v>
      </c>
      <c r="O19" s="22">
        <f>IF(Table1[[#This Row],[Position]]="Long",(Table1[[#This Row],[Stop]]*Table1[[#This Row],[Amount]])-Table1[[#This Row],[Position Size]],-ABS((Table1[[#This Row],[Stop]]*Table1[[#This Row],[Amount]])-Table1[[#This Row],[Position Size]]))</f>
        <v>-105.78647993586492</v>
      </c>
      <c r="P19" s="19">
        <f>IF(Table1[[#This Row],[Position]]="Long",(Table1[[#This Row],[Exit]]-Table1[[#This Row],[Entry ]])*Table1[[#This Row],[Amount]],(Table1[[#This Row],[Entry ]]-Table1[[#This Row],[Exit]])*Table1[[#This Row],[Amount]])</f>
        <v>44.812959972825631</v>
      </c>
      <c r="Q19" s="23">
        <f>Table1[[#This Row],[PNL]]/Table1[[#This Row],[Margin]]</f>
        <v>4.619042935626988E-2</v>
      </c>
      <c r="R19" s="24">
        <f>IF(Table1[[#This Row],[PNL]]&lt;0,-ABS(Table1[[#This Row],[PNL]]/Table1[[#This Row],[Stop Loss]]),ABS(Table1[[#This Row],[PNL]]/Table1[[#This Row],[Stop Loss]]))</f>
        <v>0.42361708225847339</v>
      </c>
      <c r="S19" s="28">
        <f>$C$4+SUM($P$14:P19)</f>
        <v>10602.418616322153</v>
      </c>
      <c r="T19" s="19">
        <f t="shared" si="0"/>
        <v>10602.418616322153</v>
      </c>
      <c r="U19" s="29">
        <f>(Table1[[#This Row],[Equity]]-Table1[[#This Row],[Peak Equity]])/Table1[[#This Row],[Peak Equity]]</f>
        <v>0</v>
      </c>
      <c r="V19" s="30" t="s">
        <v>50</v>
      </c>
      <c r="W19" s="18" t="s">
        <v>50</v>
      </c>
      <c r="X19" s="28">
        <f>-(Table1[[#This Row],[Position Size]] * CHOOSE(MATCH(Table1[[#This Row],[Entry Type]],{"Taker Fees","Maker Fees","Reduced Taker Fees","Reduced Maker Fees","Spot Taker Fees","Spot Maker Fees"},0), $I$4,$I$5,$I$6,$I$7,$I$8,$I$9)+Table1[[#This Row],[Value]] * CHOOSE(MATCH(Table1[[#This Row],[Exit Type]], {"Taker Fees","Maker Fees","Reduced Taker Fees","Reduced Maker Fees","Spot Taker Fees","Spot Maker Fees"}, 0), $I$4,$I$5,$I$6,$I$7,$I$8,$I$9))</f>
        <v>-26.406779503989135</v>
      </c>
      <c r="Y19" s="18"/>
      <c r="Z19" s="18"/>
      <c r="AA19" s="18"/>
      <c r="AB19" s="18"/>
      <c r="AC19" s="18"/>
      <c r="AD19" s="18"/>
      <c r="AE19" s="18"/>
      <c r="AF19" s="18"/>
    </row>
    <row r="20" spans="2:32" x14ac:dyDescent="0.25">
      <c r="B20" s="18">
        <v>7</v>
      </c>
      <c r="C20" s="41">
        <v>45821</v>
      </c>
      <c r="D20" s="41">
        <v>45821</v>
      </c>
      <c r="E20" s="18" t="s">
        <v>58</v>
      </c>
      <c r="F20" s="18" t="str">
        <f>_xlfn.XLOOKUP(Table1[[#This Row],[Trade ID]],Table3[Trade ID],Table3[Position],"Not Found ")</f>
        <v>Long</v>
      </c>
      <c r="G20" s="18">
        <f>_xlfn.XLOOKUP(Table1[[#This Row],[Trade ID]],Table3[Trade ID],Table3[Leverage], "Not Found")</f>
        <v>20</v>
      </c>
      <c r="H20" s="19">
        <f>_xlfn.XLOOKUP(Table1[[#This Row],[Trade ID]],Table3[Trade ID],Table3[Margin], "Not Found")</f>
        <v>992.11403500000017</v>
      </c>
      <c r="I20" s="20">
        <f>_xlfn.XLOOKUP(Table1[[#This Row],[Trade ID]],Table3[Trade ID],Table3[Position Size], "Not Found")</f>
        <v>19842.280700000003</v>
      </c>
      <c r="J20" s="49">
        <f>_xlfn.XLOOKUP(Table1[[#This Row],[Trade ID]],Table3[Trade ID],Table3[Entry WAP], "Not Found")</f>
        <v>3.110075669209739E-2</v>
      </c>
      <c r="K20" s="72">
        <f>_xlfn.XLOOKUP(Table1[[#This Row],[Trade ID]],Table3[Trade ID],Table3[Exit WAP], "Not Found")</f>
        <v>3.0849812262450392E-2</v>
      </c>
      <c r="L20" s="49">
        <v>3.0839999999999999E-2</v>
      </c>
      <c r="M20" s="21">
        <f>Table1[[#This Row],[Position Size]]/Table1[[#This Row],[Entry ]]</f>
        <v>637999.9334563415</v>
      </c>
      <c r="N20" s="20">
        <f>Table1[[#This Row],[Amount]]*Table1[[#This Row],[Exit]]</f>
        <v>19682.178170583978</v>
      </c>
      <c r="O20" s="22">
        <f>IF(Table1[[#This Row],[Position]]="Long",(Table1[[#This Row],[Stop]]*Table1[[#This Row],[Amount]])-Table1[[#This Row],[Position Size]],-ABS((Table1[[#This Row],[Stop]]*Table1[[#This Row],[Amount]])-Table1[[#This Row],[Position Size]]))</f>
        <v>-166.36275220643074</v>
      </c>
      <c r="P20" s="19">
        <f>IF(Table1[[#This Row],[Position]]="Long",(Table1[[#This Row],[Exit]]-Table1[[#This Row],[Entry ]])*Table1[[#This Row],[Amount]],(Table1[[#This Row],[Entry ]]-Table1[[#This Row],[Exit]])*Table1[[#This Row],[Amount]])</f>
        <v>-160.10252941602431</v>
      </c>
      <c r="Q20" s="23">
        <f>Table1[[#This Row],[PNL]]/Table1[[#This Row],[Margin]]</f>
        <v>-0.16137512802751983</v>
      </c>
      <c r="R20" s="24">
        <f>IF(Table1[[#This Row],[PNL]]&lt;0,-ABS(Table1[[#This Row],[PNL]]/Table1[[#This Row],[Stop Loss]]),ABS(Table1[[#This Row],[PNL]]/Table1[[#This Row],[Stop Loss]]))</f>
        <v>-0.9623700455337596</v>
      </c>
      <c r="S20" s="28">
        <f>$C$4+SUM($P$14:P20)</f>
        <v>10442.316086906128</v>
      </c>
      <c r="T20" s="19">
        <f t="shared" si="0"/>
        <v>10602.418616322153</v>
      </c>
      <c r="U20" s="29">
        <f>(Table1[[#This Row],[Equity]]-Table1[[#This Row],[Peak Equity]])/Table1[[#This Row],[Peak Equity]]</f>
        <v>-1.5100566692353641E-2</v>
      </c>
      <c r="V20" s="30" t="s">
        <v>50</v>
      </c>
      <c r="W20" s="18" t="s">
        <v>50</v>
      </c>
      <c r="X20" s="67">
        <f>-(Table1[[#This Row],[Position Size]] * CHOOSE(MATCH(Table1[[#This Row],[Entry Type]],{"Taker Fees","Maker Fees","Reduced Taker Fees","Reduced Maker Fees","Spot Taker Fees","Spot Maker Fees"},0), $I$4,$I$5,$I$6,$I$7,$I$8,$I$9)+Table1[[#This Row],[Value]] * CHOOSE(MATCH(Table1[[#This Row],[Exit Type]], {"Taker Fees","Maker Fees","Reduced Taker Fees","Reduced Maker Fees","Spot Taker Fees","Spot Maker Fees"}, 0), $I$4,$I$5,$I$6,$I$7,$I$8,$I$9))</f>
        <v>-15.809783548233593</v>
      </c>
      <c r="Y20" s="18"/>
      <c r="Z20" s="18"/>
      <c r="AA20" s="18"/>
      <c r="AB20" s="18"/>
      <c r="AC20" s="18"/>
      <c r="AD20" s="18"/>
      <c r="AE20" s="18"/>
      <c r="AF20" s="18"/>
    </row>
    <row r="21" spans="2:32" x14ac:dyDescent="0.25">
      <c r="B21" s="18">
        <v>8</v>
      </c>
      <c r="C21" s="41">
        <v>45821</v>
      </c>
      <c r="D21" s="41">
        <v>45821</v>
      </c>
      <c r="E21" s="18" t="s">
        <v>58</v>
      </c>
      <c r="F21" s="18" t="str">
        <f>_xlfn.XLOOKUP(Table1[[#This Row],[Trade ID]],Table3[Trade ID],Table3[Position],"Not Found ")</f>
        <v>Short</v>
      </c>
      <c r="G21" s="18">
        <f>_xlfn.XLOOKUP(Table1[[#This Row],[Trade ID]],Table3[Trade ID],Table3[Leverage], "Not Found")</f>
        <v>20</v>
      </c>
      <c r="H21" s="19">
        <f>_xlfn.XLOOKUP(Table1[[#This Row],[Trade ID]],Table3[Trade ID],Table3[Margin], "Not Found")</f>
        <v>946.39271000000008</v>
      </c>
      <c r="I21" s="20">
        <f>_xlfn.XLOOKUP(Table1[[#This Row],[Trade ID]],Table3[Trade ID],Table3[Position Size], "Not Found")</f>
        <v>18927.854200000002</v>
      </c>
      <c r="J21" s="49">
        <f>_xlfn.XLOOKUP(Table1[[#This Row],[Trade ID]],Table3[Trade ID],Table3[Entry WAP], "Not Found")</f>
        <v>3.072703671766449E-2</v>
      </c>
      <c r="K21" s="19">
        <f>_xlfn.XLOOKUP(Table1[[#This Row],[Trade ID]],Table3[Trade ID],Table3[Exit WAP], "Not Found")</f>
        <v>3.0713537107860938E-2</v>
      </c>
      <c r="L21" s="49">
        <v>3.0880000000000001E-2</v>
      </c>
      <c r="M21" s="21">
        <f>Table1[[#This Row],[Position Size]]/Table1[[#This Row],[Entry ]]</f>
        <v>615999.98639369861</v>
      </c>
      <c r="N21" s="20">
        <f>Table1[[#This Row],[Amount]]*Table1[[#This Row],[Exit]]</f>
        <v>18919.538440544697</v>
      </c>
      <c r="O21" s="22">
        <f>IF(Table1[[#This Row],[Position]]="Long",(Table1[[#This Row],[Stop]]*Table1[[#This Row],[Amount]])-Table1[[#This Row],[Position Size]],-ABS((Table1[[#This Row],[Stop]]*Table1[[#This Row],[Amount]])-Table1[[#This Row],[Position Size]]))</f>
        <v>-94.22537983741131</v>
      </c>
      <c r="P21" s="19">
        <f>IF(Table1[[#This Row],[Position]]="Long",(Table1[[#This Row],[Exit]]-Table1[[#This Row],[Entry ]])*Table1[[#This Row],[Amount]],(Table1[[#This Row],[Entry ]]-Table1[[#This Row],[Exit]])*Table1[[#This Row],[Amount]])</f>
        <v>8.3157594553079974</v>
      </c>
      <c r="Q21" s="23">
        <f>Table1[[#This Row],[PNL]]/Table1[[#This Row],[Margin]]</f>
        <v>8.7867957639994887E-3</v>
      </c>
      <c r="R21" s="24">
        <f>IF(Table1[[#This Row],[PNL]]&lt;0,-ABS(Table1[[#This Row],[PNL]]/Table1[[#This Row],[Stop Loss]]),ABS(Table1[[#This Row],[PNL]]/Table1[[#This Row],[Stop Loss]]))</f>
        <v>8.8253923408502966E-2</v>
      </c>
      <c r="S21" s="28">
        <f>$C$4+SUM($P$14:P21)</f>
        <v>10450.631846361437</v>
      </c>
      <c r="T21" s="19">
        <f t="shared" si="0"/>
        <v>10450.631846361437</v>
      </c>
      <c r="U21" s="29">
        <f>(Table1[[#This Row],[Equity]]-Table1[[#This Row],[Peak Equity]])/Table1[[#This Row],[Peak Equity]]</f>
        <v>0</v>
      </c>
      <c r="V21" s="30" t="s">
        <v>50</v>
      </c>
      <c r="W21" s="18" t="s">
        <v>50</v>
      </c>
      <c r="X21" s="30">
        <f>-(Table1[[#This Row],[Position Size]] * CHOOSE(MATCH(Table1[[#This Row],[Entry Type]],{"Taker Fees","Maker Fees","Reduced Taker Fees","Reduced Maker Fees","Spot Taker Fees","Spot Maker Fees"},0), $I$4,$I$5,$I$6,$I$7,$I$8,$I$9)+Table1[[#This Row],[Value]] * CHOOSE(MATCH(Table1[[#This Row],[Exit Type]], {"Taker Fees","Maker Fees","Reduced Taker Fees","Reduced Maker Fees","Spot Taker Fees","Spot Maker Fees"}, 0), $I$4,$I$5,$I$6,$I$7,$I$8,$I$9))</f>
        <v>-15.13895705621788</v>
      </c>
      <c r="Y21" s="18"/>
      <c r="Z21" s="18"/>
      <c r="AA21" s="18"/>
      <c r="AB21" s="18"/>
      <c r="AC21" s="18"/>
      <c r="AD21" s="18"/>
      <c r="AE21" s="18"/>
      <c r="AF21" s="18"/>
    </row>
    <row r="22" spans="2:32" x14ac:dyDescent="0.25">
      <c r="B22" s="18">
        <v>9</v>
      </c>
      <c r="C22" s="41">
        <v>45821</v>
      </c>
      <c r="D22" s="41">
        <v>45821</v>
      </c>
      <c r="E22" s="18" t="s">
        <v>58</v>
      </c>
      <c r="F22" s="18" t="str">
        <f>_xlfn.XLOOKUP(Table1[[#This Row],[Trade ID]],Table3[Trade ID],Table3[Position],"Not Found ")</f>
        <v>Short</v>
      </c>
      <c r="G22" s="18">
        <f>_xlfn.XLOOKUP(Table1[[#This Row],[Trade ID]],Table3[Trade ID],Table3[Leverage], "Not Found")</f>
        <v>20</v>
      </c>
      <c r="H22" s="19">
        <f>_xlfn.XLOOKUP(Table1[[#This Row],[Trade ID]],Table3[Trade ID],Table3[Margin], "Not Found")</f>
        <v>992.25832000000014</v>
      </c>
      <c r="I22" s="20">
        <f>_xlfn.XLOOKUP(Table1[[#This Row],[Trade ID]],Table3[Trade ID],Table3[Position Size], "Not Found")</f>
        <v>19845.166400000002</v>
      </c>
      <c r="J22" s="49">
        <f>_xlfn.XLOOKUP(Table1[[#This Row],[Trade ID]],Table3[Trade ID],Table3[Entry WAP], "Not Found")</f>
        <v>3.0578070592141772E-2</v>
      </c>
      <c r="K22" s="19">
        <f>_xlfn.XLOOKUP(Table1[[#This Row],[Trade ID]],Table3[Trade ID],Table3[Exit WAP], "Not Found")</f>
        <v>3.0384158426561832E-2</v>
      </c>
      <c r="L22" s="49">
        <v>3.074E-2</v>
      </c>
      <c r="M22" s="21">
        <f>Table1[[#This Row],[Position Size]]/Table1[[#This Row],[Entry ]]</f>
        <v>648999.95374789904</v>
      </c>
      <c r="N22" s="20">
        <f>Table1[[#This Row],[Amount]]*Table1[[#This Row],[Exit]]</f>
        <v>19719.317413507466</v>
      </c>
      <c r="O22" s="22">
        <f>IF(Table1[[#This Row],[Position]]="Long",(Table1[[#This Row],[Stop]]*Table1[[#This Row],[Amount]])-Table1[[#This Row],[Position Size]],-ABS((Table1[[#This Row],[Stop]]*Table1[[#This Row],[Amount]])-Table1[[#This Row],[Position Size]]))</f>
        <v>-105.09217821041602</v>
      </c>
      <c r="P22" s="19">
        <f>IF(Table1[[#This Row],[Position]]="Long",(Table1[[#This Row],[Exit]]-Table1[[#This Row],[Entry ]])*Table1[[#This Row],[Amount]],(Table1[[#This Row],[Entry ]]-Table1[[#This Row],[Exit]])*Table1[[#This Row],[Amount]])</f>
        <v>125.84898649253573</v>
      </c>
      <c r="Q22" s="23">
        <f>Table1[[#This Row],[PNL]]/Table1[[#This Row],[Margin]]</f>
        <v>0.1268308705061155</v>
      </c>
      <c r="R22" s="24">
        <f>IF(Table1[[#This Row],[PNL]]&lt;0,-ABS(Table1[[#This Row],[PNL]]/Table1[[#This Row],[Stop Loss]]),ABS(Table1[[#This Row],[PNL]]/Table1[[#This Row],[Stop Loss]]))</f>
        <v>1.1975104963621588</v>
      </c>
      <c r="S22" s="28">
        <f>$C$4+SUM($P$14:P22)</f>
        <v>10576.480832853973</v>
      </c>
      <c r="T22" s="19">
        <f t="shared" si="0"/>
        <v>10576.480832853973</v>
      </c>
      <c r="U22" s="29">
        <f>(Table1[[#This Row],[Equity]]-Table1[[#This Row],[Peak Equity]])/Table1[[#This Row],[Peak Equity]]</f>
        <v>0</v>
      </c>
      <c r="V22" s="30" t="s">
        <v>50</v>
      </c>
      <c r="W22" s="18" t="s">
        <v>50</v>
      </c>
      <c r="X22" s="30">
        <f>-(Table1[[#This Row],[Position Size]] * CHOOSE(MATCH(Table1[[#This Row],[Entry Type]],{"Taker Fees","Maker Fees","Reduced Taker Fees","Reduced Maker Fees","Spot Taker Fees","Spot Maker Fees"},0), $I$4,$I$5,$I$6,$I$7,$I$8,$I$9)+Table1[[#This Row],[Value]] * CHOOSE(MATCH(Table1[[#This Row],[Exit Type]], {"Taker Fees","Maker Fees","Reduced Taker Fees","Reduced Maker Fees","Spot Taker Fees","Spot Maker Fees"}, 0), $I$4,$I$5,$I$6,$I$7,$I$8,$I$9))</f>
        <v>-15.825793525402988</v>
      </c>
      <c r="Y22" s="18"/>
      <c r="Z22" s="18"/>
      <c r="AA22" s="18"/>
      <c r="AB22" s="18"/>
      <c r="AC22" s="18"/>
      <c r="AD22" s="18"/>
      <c r="AE22" s="18"/>
      <c r="AF22" s="18"/>
    </row>
    <row r="23" spans="2:32" x14ac:dyDescent="0.25">
      <c r="B23" s="18">
        <v>10</v>
      </c>
      <c r="C23" s="41">
        <v>45822</v>
      </c>
      <c r="D23" s="41">
        <v>45822</v>
      </c>
      <c r="E23" s="18" t="s">
        <v>48</v>
      </c>
      <c r="F23" s="18" t="str">
        <f>_xlfn.XLOOKUP(Table1[[#This Row],[Trade ID]],Table3[Trade ID],Table3[Position],"Not Found ")</f>
        <v>Long</v>
      </c>
      <c r="G23" s="18">
        <f>_xlfn.XLOOKUP(Table1[[#This Row],[Trade ID]],Table3[Trade ID],Table3[Leverage], "Not Found")</f>
        <v>34</v>
      </c>
      <c r="H23" s="19">
        <f>_xlfn.XLOOKUP(Table1[[#This Row],[Trade ID]],Table3[Trade ID],Table3[Margin], "Not Found")</f>
        <v>989.39052941176465</v>
      </c>
      <c r="I23" s="20">
        <f>_xlfn.XLOOKUP(Table1[[#This Row],[Trade ID]],Table3[Trade ID],Table3[Position Size], "Not Found")</f>
        <v>33639.277999999998</v>
      </c>
      <c r="J23" s="19">
        <f>_xlfn.XLOOKUP(Table1[[#This Row],[Trade ID]],Table3[Trade ID],Table3[Entry WAP], "Not Found")</f>
        <v>2558.1200000000003</v>
      </c>
      <c r="K23" s="19">
        <f>_xlfn.XLOOKUP(Table1[[#This Row],[Trade ID]],Table3[Trade ID],Table3[Exit WAP], "Not Found")</f>
        <v>2566.3101140713698</v>
      </c>
      <c r="L23" s="19">
        <v>2550.59</v>
      </c>
      <c r="M23" s="21">
        <f>Table1[[#This Row],[Position Size]]/Table1[[#This Row],[Entry ]]</f>
        <v>13.149999999999997</v>
      </c>
      <c r="N23" s="20">
        <f>Table1[[#This Row],[Amount]]*Table1[[#This Row],[Exit]]</f>
        <v>33746.978000038507</v>
      </c>
      <c r="O23" s="22">
        <f>IF(Table1[[#This Row],[Position]]="Long",(Table1[[#This Row],[Stop]]*Table1[[#This Row],[Amount]])-Table1[[#This Row],[Position Size]],-ABS((Table1[[#This Row],[Stop]]*Table1[[#This Row],[Amount]])-Table1[[#This Row],[Position Size]]))</f>
        <v>-99.019500000002154</v>
      </c>
      <c r="P23" s="19">
        <f>IF(Table1[[#This Row],[Position]]="Long",(Table1[[#This Row],[Exit]]-Table1[[#This Row],[Entry ]])*Table1[[#This Row],[Amount]],(Table1[[#This Row],[Entry ]]-Table1[[#This Row],[Exit]])*Table1[[#This Row],[Amount]])</f>
        <v>107.70000003850768</v>
      </c>
      <c r="Q23" s="23">
        <f>Table1[[#This Row],[PNL]]/Table1[[#This Row],[Margin]]</f>
        <v>0.1088548928222913</v>
      </c>
      <c r="R23" s="24">
        <f>IF(Table1[[#This Row],[PNL]]&lt;0,-ABS(Table1[[#This Row],[PNL]]/Table1[[#This Row],[Stop Loss]]),ABS(Table1[[#This Row],[PNL]]/Table1[[#This Row],[Stop Loss]]))</f>
        <v>1.0876645513106544</v>
      </c>
      <c r="S23" s="28">
        <f>$C$4+SUM($P$14:P23)</f>
        <v>10684.18083289248</v>
      </c>
      <c r="T23" s="19">
        <f t="shared" si="0"/>
        <v>10684.18083289248</v>
      </c>
      <c r="U23" s="29">
        <f>(Table1[[#This Row],[Equity]]-Table1[[#This Row],[Peak Equity]])/Table1[[#This Row],[Peak Equity]]</f>
        <v>0</v>
      </c>
      <c r="V23" s="30" t="s">
        <v>50</v>
      </c>
      <c r="W23" s="18" t="s">
        <v>50</v>
      </c>
      <c r="X23" s="30">
        <f>-(Table1[[#This Row],[Position Size]] * CHOOSE(MATCH(Table1[[#This Row],[Entry Type]],{"Taker Fees","Maker Fees","Reduced Taker Fees","Reduced Maker Fees","Spot Taker Fees","Spot Maker Fees"},0), $I$4,$I$5,$I$6,$I$7,$I$8,$I$9)+Table1[[#This Row],[Value]] * CHOOSE(MATCH(Table1[[#This Row],[Exit Type]], {"Taker Fees","Maker Fees","Reduced Taker Fees","Reduced Maker Fees","Spot Taker Fees","Spot Maker Fees"}, 0), $I$4,$I$5,$I$6,$I$7,$I$8,$I$9))</f>
        <v>-26.954502400015404</v>
      </c>
      <c r="Y23" s="18"/>
      <c r="Z23" s="18"/>
      <c r="AA23" s="18"/>
      <c r="AB23" s="18"/>
      <c r="AC23" s="18"/>
      <c r="AD23" s="18"/>
      <c r="AE23" s="18"/>
      <c r="AF23" s="18"/>
    </row>
    <row r="24" spans="2:32" x14ac:dyDescent="0.25">
      <c r="B24" s="18">
        <v>11</v>
      </c>
      <c r="C24" s="41">
        <v>45822</v>
      </c>
      <c r="D24" s="41">
        <v>45822</v>
      </c>
      <c r="E24" s="18" t="s">
        <v>58</v>
      </c>
      <c r="F24" s="18" t="str">
        <f>_xlfn.XLOOKUP(Table1[[#This Row],[Trade ID]],Table3[Trade ID],Table3[Position],"Not Found ")</f>
        <v>Long</v>
      </c>
      <c r="G24" s="18">
        <f>_xlfn.XLOOKUP(Table1[[#This Row],[Trade ID]],Table3[Trade ID],Table3[Leverage], "Not Found")</f>
        <v>20</v>
      </c>
      <c r="H24" s="19">
        <f>_xlfn.XLOOKUP(Table1[[#This Row],[Trade ID]],Table3[Trade ID],Table3[Margin], "Not Found")</f>
        <v>944.03852500000016</v>
      </c>
      <c r="I24" s="20">
        <f>_xlfn.XLOOKUP(Table1[[#This Row],[Trade ID]],Table3[Trade ID],Table3[Position Size], "Not Found")</f>
        <v>18880.770500000002</v>
      </c>
      <c r="J24" s="49">
        <f>_xlfn.XLOOKUP(Table1[[#This Row],[Trade ID]],Table3[Trade ID],Table3[Entry WAP], "Not Found")</f>
        <v>3.300834813436241E-2</v>
      </c>
      <c r="K24" s="19">
        <f>_xlfn.XLOOKUP(Table1[[#This Row],[Trade ID]],Table3[Trade ID],Table3[Exit WAP], "Not Found")</f>
        <v>3.2826578832561307E-2</v>
      </c>
      <c r="L24" s="49">
        <v>3.2870000000000003E-2</v>
      </c>
      <c r="M24" s="21">
        <f>Table1[[#This Row],[Position Size]]/Table1[[#This Row],[Entry ]]</f>
        <v>571999.85964595142</v>
      </c>
      <c r="N24" s="20">
        <f>Table1[[#This Row],[Amount]]*Table1[[#This Row],[Exit]]</f>
        <v>18776.798484881827</v>
      </c>
      <c r="O24" s="22">
        <f>IF(Table1[[#This Row],[Position]]="Long",(Table1[[#This Row],[Stop]]*Table1[[#This Row],[Amount]])-Table1[[#This Row],[Position Size]],-ABS((Table1[[#This Row],[Stop]]*Table1[[#This Row],[Amount]])-Table1[[#This Row],[Position Size]]))</f>
        <v>-79.135113437576365</v>
      </c>
      <c r="P24" s="19">
        <f>IF(Table1[[#This Row],[Position]]="Long",(Table1[[#This Row],[Exit]]-Table1[[#This Row],[Entry ]])*Table1[[#This Row],[Amount]],(Table1[[#This Row],[Entry ]]-Table1[[#This Row],[Exit]])*Table1[[#This Row],[Amount]])</f>
        <v>-103.97201511817363</v>
      </c>
      <c r="Q24" s="23">
        <f>Table1[[#This Row],[PNL]]/Table1[[#This Row],[Margin]]</f>
        <v>-0.11013535185777891</v>
      </c>
      <c r="R24" s="24">
        <f>IF(Table1[[#This Row],[PNL]]&lt;0,-ABS(Table1[[#This Row],[PNL]]/Table1[[#This Row],[Stop Loss]]),ABS(Table1[[#This Row],[PNL]]/Table1[[#This Row],[Stop Loss]]))</f>
        <v>-1.3138543764164714</v>
      </c>
      <c r="S24" s="28">
        <f>$C$4+SUM($P$14:P24)</f>
        <v>10580.208817774306</v>
      </c>
      <c r="T24" s="19">
        <f t="shared" si="0"/>
        <v>10684.18083289248</v>
      </c>
      <c r="U24" s="29">
        <f>(Table1[[#This Row],[Equity]]-Table1[[#This Row],[Peak Equity]])/Table1[[#This Row],[Peak Equity]]</f>
        <v>-9.7313979185080658E-3</v>
      </c>
      <c r="V24" s="30" t="s">
        <v>50</v>
      </c>
      <c r="W24" s="18" t="s">
        <v>50</v>
      </c>
      <c r="X24" s="30">
        <f>-(Table1[[#This Row],[Position Size]] * CHOOSE(MATCH(Table1[[#This Row],[Entry Type]],{"Taker Fees","Maker Fees","Reduced Taker Fees","Reduced Maker Fees","Spot Taker Fees","Spot Maker Fees"},0), $I$4,$I$5,$I$6,$I$7,$I$8,$I$9)+Table1[[#This Row],[Value]] * CHOOSE(MATCH(Table1[[#This Row],[Exit Type]], {"Taker Fees","Maker Fees","Reduced Taker Fees","Reduced Maker Fees","Spot Taker Fees","Spot Maker Fees"}, 0), $I$4,$I$5,$I$6,$I$7,$I$8,$I$9))</f>
        <v>-15.063027593952732</v>
      </c>
      <c r="Y24" s="18"/>
      <c r="Z24" s="18"/>
      <c r="AA24" s="18"/>
      <c r="AB24" s="18"/>
      <c r="AC24" s="18"/>
      <c r="AD24" s="18"/>
      <c r="AE24" s="18"/>
      <c r="AF24" s="18"/>
    </row>
    <row r="25" spans="2:32" x14ac:dyDescent="0.25">
      <c r="B25" s="18">
        <v>12</v>
      </c>
      <c r="C25" s="41">
        <v>45822</v>
      </c>
      <c r="D25" s="41">
        <v>45822</v>
      </c>
      <c r="E25" s="18" t="s">
        <v>60</v>
      </c>
      <c r="F25" s="18" t="str">
        <f>_xlfn.XLOOKUP(Table1[[#This Row],[Trade ID]],Table3[Trade ID],Table3[Position],"Not Found ")</f>
        <v>Long</v>
      </c>
      <c r="G25" s="18">
        <f>_xlfn.XLOOKUP(Table1[[#This Row],[Trade ID]],Table3[Trade ID],Table3[Leverage], "Not Found")</f>
        <v>34</v>
      </c>
      <c r="H25" s="19">
        <f>_xlfn.XLOOKUP(Table1[[#This Row],[Trade ID]],Table3[Trade ID],Table3[Margin], "Not Found")</f>
        <v>931.71124411764708</v>
      </c>
      <c r="I25" s="20">
        <f>_xlfn.XLOOKUP(Table1[[#This Row],[Trade ID]],Table3[Trade ID],Table3[Position Size], "Not Found")</f>
        <v>31678.1823</v>
      </c>
      <c r="J25" s="48">
        <f>_xlfn.XLOOKUP(Table1[[#This Row],[Trade ID]],Table3[Trade ID],Table3[Entry WAP], "Not Found")</f>
        <v>0.57596695739041825</v>
      </c>
      <c r="K25" s="19">
        <f>_xlfn.XLOOKUP(Table1[[#This Row],[Trade ID]],Table3[Trade ID],Table3[Exit WAP], "Not Found")</f>
        <v>0.57668818678519007</v>
      </c>
      <c r="L25" s="48">
        <v>0.57389999999999997</v>
      </c>
      <c r="M25" s="21">
        <f>Table1[[#This Row],[Position Size]]/Table1[[#This Row],[Entry ]]</f>
        <v>54999.999381087757</v>
      </c>
      <c r="N25" s="20">
        <f>Table1[[#This Row],[Amount]]*Table1[[#This Row],[Exit]]</f>
        <v>31717.849916266074</v>
      </c>
      <c r="O25" s="22">
        <f>IF(Table1[[#This Row],[Position]]="Long",(Table1[[#This Row],[Stop]]*Table1[[#This Row],[Amount]])-Table1[[#This Row],[Position Size]],-ABS((Table1[[#This Row],[Stop]]*Table1[[#This Row],[Amount]])-Table1[[#This Row],[Position Size]]))</f>
        <v>-113.68265519373745</v>
      </c>
      <c r="P25" s="19">
        <f>IF(Table1[[#This Row],[Position]]="Long",(Table1[[#This Row],[Exit]]-Table1[[#This Row],[Entry ]])*Table1[[#This Row],[Amount]],(Table1[[#This Row],[Entry ]]-Table1[[#This Row],[Exit]])*Table1[[#This Row],[Amount]])</f>
        <v>39.667616266072194</v>
      </c>
      <c r="Q25" s="23">
        <f>Table1[[#This Row],[PNL]]/Table1[[#This Row],[Margin]]</f>
        <v>4.2575010784203192E-2</v>
      </c>
      <c r="R25" s="24">
        <f>IF(Table1[[#This Row],[PNL]]&lt;0,-ABS(Table1[[#This Row],[PNL]]/Table1[[#This Row],[Stop Loss]]),ABS(Table1[[#This Row],[PNL]]/Table1[[#This Row],[Stop Loss]]))</f>
        <v>0.34893287985287491</v>
      </c>
      <c r="S25" s="28">
        <f>$C$4+SUM($P$14:P25)</f>
        <v>10619.87643404038</v>
      </c>
      <c r="T25" s="19">
        <f t="shared" si="0"/>
        <v>10619.87643404038</v>
      </c>
      <c r="U25" s="29">
        <f>(Table1[[#This Row],[Equity]]-Table1[[#This Row],[Peak Equity]])/Table1[[#This Row],[Peak Equity]]</f>
        <v>0</v>
      </c>
      <c r="V25" s="30" t="s">
        <v>50</v>
      </c>
      <c r="W25" s="18" t="s">
        <v>50</v>
      </c>
      <c r="X25" s="30">
        <f>-(Table1[[#This Row],[Position Size]] * CHOOSE(MATCH(Table1[[#This Row],[Entry Type]],{"Taker Fees","Maker Fees","Reduced Taker Fees","Reduced Maker Fees","Spot Taker Fees","Spot Maker Fees"},0), $I$4,$I$5,$I$6,$I$7,$I$8,$I$9)+Table1[[#This Row],[Value]] * CHOOSE(MATCH(Table1[[#This Row],[Exit Type]], {"Taker Fees","Maker Fees","Reduced Taker Fees","Reduced Maker Fees","Spot Taker Fees","Spot Maker Fees"}, 0), $I$4,$I$5,$I$6,$I$7,$I$8,$I$9))</f>
        <v>-25.358412886506432</v>
      </c>
      <c r="Y25" s="18"/>
      <c r="Z25" s="18"/>
      <c r="AA25" s="18"/>
      <c r="AB25" s="18"/>
      <c r="AC25" s="18"/>
      <c r="AD25" s="18"/>
      <c r="AE25" s="18"/>
      <c r="AF25" s="18"/>
    </row>
    <row r="26" spans="2:32" x14ac:dyDescent="0.25">
      <c r="B26" s="18">
        <v>13</v>
      </c>
      <c r="C26" s="41">
        <v>45822</v>
      </c>
      <c r="D26" s="41">
        <v>45822</v>
      </c>
      <c r="E26" s="18" t="s">
        <v>49</v>
      </c>
      <c r="F26" s="18" t="str">
        <f>_xlfn.XLOOKUP(Table1[[#This Row],[Trade ID]],Table3[Trade ID],Table3[Position],"Not Found ")</f>
        <v>Long</v>
      </c>
      <c r="G26" s="18">
        <f>_xlfn.XLOOKUP(Table1[[#This Row],[Trade ID]],Table3[Trade ID],Table3[Leverage], "Not Found")</f>
        <v>34</v>
      </c>
      <c r="H26" s="19">
        <f>_xlfn.XLOOKUP(Table1[[#This Row],[Trade ID]],Table3[Trade ID],Table3[Margin], "Not Found")</f>
        <v>985.64517647058824</v>
      </c>
      <c r="I26" s="20">
        <f>_xlfn.XLOOKUP(Table1[[#This Row],[Trade ID]],Table3[Trade ID],Table3[Position Size], "Not Found")</f>
        <v>33511.936000000002</v>
      </c>
      <c r="J26" s="19">
        <f>_xlfn.XLOOKUP(Table1[[#This Row],[Trade ID]],Table3[Trade ID],Table3[Entry WAP], "Not Found")</f>
        <v>148.47999999999999</v>
      </c>
      <c r="K26" s="19">
        <f>_xlfn.XLOOKUP(Table1[[#This Row],[Trade ID]],Table3[Trade ID],Table3[Exit WAP], "Not Found")</f>
        <v>148.22</v>
      </c>
      <c r="L26" s="19">
        <v>148.06</v>
      </c>
      <c r="M26" s="21">
        <f>Table1[[#This Row],[Position Size]]/Table1[[#This Row],[Entry ]]</f>
        <v>225.70000000000002</v>
      </c>
      <c r="N26" s="20">
        <f>Table1[[#This Row],[Amount]]*Table1[[#This Row],[Exit]]</f>
        <v>33453.254000000001</v>
      </c>
      <c r="O26" s="22">
        <f>IF(Table1[[#This Row],[Position]]="Long",(Table1[[#This Row],[Stop]]*Table1[[#This Row],[Amount]])-Table1[[#This Row],[Position Size]],-ABS((Table1[[#This Row],[Stop]]*Table1[[#This Row],[Amount]])-Table1[[#This Row],[Position Size]]))</f>
        <v>-94.794000000001688</v>
      </c>
      <c r="P26" s="19">
        <f>IF(Table1[[#This Row],[Position]]="Long",(Table1[[#This Row],[Exit]]-Table1[[#This Row],[Entry ]])*Table1[[#This Row],[Amount]],(Table1[[#This Row],[Entry ]]-Table1[[#This Row],[Exit]])*Table1[[#This Row],[Amount]])</f>
        <v>-58.681999999997949</v>
      </c>
      <c r="Q26" s="23">
        <f>Table1[[#This Row],[PNL]]/Table1[[#This Row],[Margin]]</f>
        <v>-5.95366379310324E-2</v>
      </c>
      <c r="R26" s="24">
        <f>IF(Table1[[#This Row],[PNL]]&lt;0,-ABS(Table1[[#This Row],[PNL]]/Table1[[#This Row],[Stop Loss]]),ABS(Table1[[#This Row],[PNL]]/Table1[[#This Row],[Stop Loss]]))</f>
        <v>-0.61904761904758643</v>
      </c>
      <c r="S26" s="28">
        <f>$C$4+SUM($P$14:P26)</f>
        <v>10561.194434040381</v>
      </c>
      <c r="T26" s="19">
        <f t="shared" si="0"/>
        <v>10619.87643404038</v>
      </c>
      <c r="U26" s="29">
        <f>(Table1[[#This Row],[Equity]]-Table1[[#This Row],[Peak Equity]])/Table1[[#This Row],[Peak Equity]]</f>
        <v>-5.5256763451505672E-3</v>
      </c>
      <c r="V26" s="30" t="s">
        <v>50</v>
      </c>
      <c r="W26" s="18" t="s">
        <v>50</v>
      </c>
      <c r="X26" s="30">
        <f>-(Table1[[#This Row],[Position Size]] * CHOOSE(MATCH(Table1[[#This Row],[Entry Type]],{"Taker Fees","Maker Fees","Reduced Taker Fees","Reduced Maker Fees","Spot Taker Fees","Spot Maker Fees"},0), $I$4,$I$5,$I$6,$I$7,$I$8,$I$9)+Table1[[#This Row],[Value]] * CHOOSE(MATCH(Table1[[#This Row],[Exit Type]], {"Taker Fees","Maker Fees","Reduced Taker Fees","Reduced Maker Fees","Spot Taker Fees","Spot Maker Fees"}, 0), $I$4,$I$5,$I$6,$I$7,$I$8,$I$9))</f>
        <v>-26.786076000000001</v>
      </c>
      <c r="Y26" s="18"/>
      <c r="Z26" s="18"/>
      <c r="AA26" s="18"/>
      <c r="AB26" s="18"/>
      <c r="AC26" s="18"/>
      <c r="AD26" s="18"/>
      <c r="AE26" s="18"/>
      <c r="AF26" s="18"/>
    </row>
    <row r="27" spans="2:32" x14ac:dyDescent="0.25">
      <c r="B27" s="18">
        <v>14</v>
      </c>
      <c r="C27" s="41">
        <v>45822</v>
      </c>
      <c r="D27" s="41">
        <v>45822</v>
      </c>
      <c r="E27" s="18" t="s">
        <v>61</v>
      </c>
      <c r="F27" s="18" t="str">
        <f>_xlfn.XLOOKUP(Table1[[#This Row],[Trade ID]],Table3[Trade ID],Table3[Position],"Not Found ")</f>
        <v>Short</v>
      </c>
      <c r="G27" s="18">
        <f>_xlfn.XLOOKUP(Table1[[#This Row],[Trade ID]],Table3[Trade ID],Table3[Leverage], "Not Found")</f>
        <v>34</v>
      </c>
      <c r="H27" s="19">
        <f>_xlfn.XLOOKUP(Table1[[#This Row],[Trade ID]],Table3[Trade ID],Table3[Margin], "Not Found")</f>
        <v>984.08823529411768</v>
      </c>
      <c r="I27" s="20">
        <f>_xlfn.XLOOKUP(Table1[[#This Row],[Trade ID]],Table3[Trade ID],Table3[Position Size], "Not Found")</f>
        <v>33459</v>
      </c>
      <c r="J27" s="54">
        <f>_xlfn.XLOOKUP(Table1[[#This Row],[Trade ID]],Table3[Trade ID],Table3[Entry WAP], "Not Found")</f>
        <v>1.1153E-5</v>
      </c>
      <c r="K27" s="19">
        <f>_xlfn.XLOOKUP(Table1[[#This Row],[Trade ID]],Table3[Trade ID],Table3[Exit WAP], "Not Found")</f>
        <v>1.118E-5</v>
      </c>
      <c r="L27" s="54">
        <v>1.1175999999999999E-5</v>
      </c>
      <c r="M27" s="21">
        <f>Table1[[#This Row],[Position Size]]/Table1[[#This Row],[Entry ]]</f>
        <v>3000000000</v>
      </c>
      <c r="N27" s="20">
        <f>Table1[[#This Row],[Amount]]*Table1[[#This Row],[Exit]]</f>
        <v>33540</v>
      </c>
      <c r="O27" s="22">
        <f>IF(Table1[[#This Row],[Position]]="Long",(Table1[[#This Row],[Stop]]*Table1[[#This Row],[Amount]])-Table1[[#This Row],[Position Size]],-ABS((Table1[[#This Row],[Stop]]*Table1[[#This Row],[Amount]])-Table1[[#This Row],[Position Size]]))</f>
        <v>-69</v>
      </c>
      <c r="P27" s="19">
        <f>IF(Table1[[#This Row],[Position]]="Long",(Table1[[#This Row],[Exit]]-Table1[[#This Row],[Entry ]])*Table1[[#This Row],[Amount]],(Table1[[#This Row],[Entry ]]-Table1[[#This Row],[Exit]])*Table1[[#This Row],[Amount]])</f>
        <v>-80.99999999999973</v>
      </c>
      <c r="Q27" s="23">
        <f>Table1[[#This Row],[PNL]]/Table1[[#This Row],[Margin]]</f>
        <v>-8.230969245942768E-2</v>
      </c>
      <c r="R27" s="24">
        <f>IF(Table1[[#This Row],[PNL]]&lt;0,-ABS(Table1[[#This Row],[PNL]]/Table1[[#This Row],[Stop Loss]]),ABS(Table1[[#This Row],[PNL]]/Table1[[#This Row],[Stop Loss]]))</f>
        <v>-1.173913043478257</v>
      </c>
      <c r="S27" s="28">
        <f>$C$4+SUM($P$14:P27)</f>
        <v>10480.194434040381</v>
      </c>
      <c r="T27" s="19">
        <f t="shared" si="0"/>
        <v>10561.194434040381</v>
      </c>
      <c r="U27" s="29">
        <f>(Table1[[#This Row],[Equity]]-Table1[[#This Row],[Peak Equity]])/Table1[[#This Row],[Peak Equity]]</f>
        <v>-7.6695870439544541E-3</v>
      </c>
      <c r="V27" s="30" t="s">
        <v>50</v>
      </c>
      <c r="W27" s="18" t="s">
        <v>50</v>
      </c>
      <c r="X27" s="30">
        <f>-(Table1[[#This Row],[Position Size]] * CHOOSE(MATCH(Table1[[#This Row],[Entry Type]],{"Taker Fees","Maker Fees","Reduced Taker Fees","Reduced Maker Fees","Spot Taker Fees","Spot Maker Fees"},0), $I$4,$I$5,$I$6,$I$7,$I$8,$I$9)+Table1[[#This Row],[Value]] * CHOOSE(MATCH(Table1[[#This Row],[Exit Type]], {"Taker Fees","Maker Fees","Reduced Taker Fees","Reduced Maker Fees","Spot Taker Fees","Spot Maker Fees"}, 0), $I$4,$I$5,$I$6,$I$7,$I$8,$I$9))</f>
        <v>-26.799600000000002</v>
      </c>
      <c r="Y27" s="18"/>
      <c r="Z27" s="18"/>
      <c r="AA27" s="18"/>
      <c r="AB27" s="18"/>
      <c r="AC27" s="18"/>
      <c r="AD27" s="18"/>
      <c r="AE27" s="18"/>
      <c r="AF27" s="18"/>
    </row>
    <row r="28" spans="2:32" x14ac:dyDescent="0.25">
      <c r="B28" s="18">
        <v>15</v>
      </c>
      <c r="C28" s="41">
        <v>45822</v>
      </c>
      <c r="D28" s="41">
        <v>45822</v>
      </c>
      <c r="E28" s="18" t="s">
        <v>46</v>
      </c>
      <c r="F28" s="18" t="str">
        <f>_xlfn.XLOOKUP(Table1[[#This Row],[Trade ID]],Table3[Trade ID],Table3[Position],"Not Found ")</f>
        <v>Long</v>
      </c>
      <c r="G28" s="18">
        <f>_xlfn.XLOOKUP(Table1[[#This Row],[Trade ID]],Table3[Trade ID],Table3[Leverage], "Not Found")</f>
        <v>34</v>
      </c>
      <c r="H28" s="19">
        <f>_xlfn.XLOOKUP(Table1[[#This Row],[Trade ID]],Table3[Trade ID],Table3[Margin], "Not Found")</f>
        <v>948.57256176470594</v>
      </c>
      <c r="I28" s="20">
        <f>_xlfn.XLOOKUP(Table1[[#This Row],[Trade ID]],Table3[Trade ID],Table3[Position Size], "Not Found")</f>
        <v>32251.467100000002</v>
      </c>
      <c r="J28" s="19">
        <f>_xlfn.XLOOKUP(Table1[[#This Row],[Trade ID]],Table3[Trade ID],Table3[Entry WAP], "Not Found")</f>
        <v>105811.9</v>
      </c>
      <c r="K28" s="19">
        <f>_xlfn.XLOOKUP(Table1[[#This Row],[Trade ID]],Table3[Trade ID],Table3[Exit WAP], "Not Found")</f>
        <v>105499.9</v>
      </c>
      <c r="L28" s="19">
        <v>105500.6</v>
      </c>
      <c r="M28" s="21">
        <f>Table1[[#This Row],[Position Size]]/Table1[[#This Row],[Entry ]]</f>
        <v>0.30479999981098538</v>
      </c>
      <c r="N28" s="20">
        <f>Table1[[#This Row],[Amount]]*Table1[[#This Row],[Exit]]</f>
        <v>32156.369500058976</v>
      </c>
      <c r="O28" s="22">
        <f>IF(Table1[[#This Row],[Position]]="Long",(Table1[[#This Row],[Stop]]*Table1[[#This Row],[Amount]])-Table1[[#This Row],[Position Size]],-ABS((Table1[[#This Row],[Stop]]*Table1[[#This Row],[Amount]])-Table1[[#This Row],[Position Size]]))</f>
        <v>-94.884239941155101</v>
      </c>
      <c r="P28" s="19">
        <f>IF(Table1[[#This Row],[Position]]="Long",(Table1[[#This Row],[Exit]]-Table1[[#This Row],[Entry ]])*Table1[[#This Row],[Amount]],(Table1[[#This Row],[Entry ]]-Table1[[#This Row],[Exit]])*Table1[[#This Row],[Amount]])</f>
        <v>-95.09759994102744</v>
      </c>
      <c r="Q28" s="23">
        <f>Table1[[#This Row],[PNL]]/Table1[[#This Row],[Margin]]</f>
        <v>-0.10025337414789831</v>
      </c>
      <c r="R28" s="24">
        <f>IF(Table1[[#This Row],[PNL]]&lt;0,-ABS(Table1[[#This Row],[PNL]]/Table1[[#This Row],[Stop Loss]]),ABS(Table1[[#This Row],[PNL]]/Table1[[#This Row],[Stop Loss]]))</f>
        <v>-1.0022486347575177</v>
      </c>
      <c r="S28" s="28">
        <f>$C$4+SUM($P$14:P28)</f>
        <v>10385.096834099353</v>
      </c>
      <c r="T28" s="19">
        <f t="shared" si="0"/>
        <v>10480.194434040381</v>
      </c>
      <c r="U28" s="29">
        <f>(Table1[[#This Row],[Equity]]-Table1[[#This Row],[Peak Equity]])/Table1[[#This Row],[Peak Equity]]</f>
        <v>-9.07403011838636E-3</v>
      </c>
      <c r="V28" s="30" t="s">
        <v>50</v>
      </c>
      <c r="W28" s="18" t="s">
        <v>50</v>
      </c>
      <c r="X28" s="30">
        <f>-(Table1[[#This Row],[Position Size]] * CHOOSE(MATCH(Table1[[#This Row],[Entry Type]],{"Taker Fees","Maker Fees","Reduced Taker Fees","Reduced Maker Fees","Spot Taker Fees","Spot Maker Fees"},0), $I$4,$I$5,$I$6,$I$7,$I$8,$I$9)+Table1[[#This Row],[Value]] * CHOOSE(MATCH(Table1[[#This Row],[Exit Type]], {"Taker Fees","Maker Fees","Reduced Taker Fees","Reduced Maker Fees","Spot Taker Fees","Spot Maker Fees"}, 0), $I$4,$I$5,$I$6,$I$7,$I$8,$I$9))</f>
        <v>-25.763134640023594</v>
      </c>
    </row>
    <row r="29" spans="2:32" x14ac:dyDescent="0.25">
      <c r="B29" s="18">
        <v>16</v>
      </c>
      <c r="C29" s="41">
        <v>45822</v>
      </c>
      <c r="D29" s="41">
        <v>45822</v>
      </c>
      <c r="E29" s="18" t="s">
        <v>58</v>
      </c>
      <c r="F29" s="18" t="str">
        <f>_xlfn.XLOOKUP(Table1[[#This Row],[Trade ID]],Table3[Trade ID],Table3[Position],"Not Found ")</f>
        <v>Short</v>
      </c>
      <c r="G29" s="18">
        <f>_xlfn.XLOOKUP(Table1[[#This Row],[Trade ID]],Table3[Trade ID],Table3[Leverage], "Not Found")</f>
        <v>20</v>
      </c>
      <c r="H29" s="19">
        <f>_xlfn.XLOOKUP(Table1[[#This Row],[Trade ID]],Table3[Trade ID],Table3[Margin], "Not Found")</f>
        <v>984.41810999999996</v>
      </c>
      <c r="I29" s="20">
        <f>_xlfn.XLOOKUP(Table1[[#This Row],[Trade ID]],Table3[Trade ID],Table3[Position Size], "Not Found")</f>
        <v>19688.3622</v>
      </c>
      <c r="J29" s="49">
        <f>_xlfn.XLOOKUP(Table1[[#This Row],[Trade ID]],Table3[Trade ID],Table3[Entry WAP], "Not Found")</f>
        <v>2.8868568280707479E-2</v>
      </c>
      <c r="K29" s="19">
        <f>_xlfn.XLOOKUP(Table1[[#This Row],[Trade ID]],Table3[Trade ID],Table3[Exit WAP], "Not Found")</f>
        <v>2.909421242149008E-2</v>
      </c>
      <c r="L29" s="49">
        <v>2.8910000000000002E-2</v>
      </c>
      <c r="M29" s="21">
        <f>Table1[[#This Row],[Position Size]]/Table1[[#This Row],[Entry ]]</f>
        <v>681999.95263213303</v>
      </c>
      <c r="N29" s="20">
        <f>Table1[[#This Row],[Amount]]*Table1[[#This Row],[Exit]]</f>
        <v>19842.25149332545</v>
      </c>
      <c r="O29" s="22">
        <f>IF(Table1[[#This Row],[Position]]="Long",(Table1[[#This Row],[Stop]]*Table1[[#This Row],[Amount]])-Table1[[#This Row],[Position Size]],-ABS((Table1[[#This Row],[Stop]]*Table1[[#This Row],[Amount]])-Table1[[#This Row],[Position Size]]))</f>
        <v>-28.256430594967242</v>
      </c>
      <c r="P29" s="19">
        <f>IF(Table1[[#This Row],[Position]]="Long",(Table1[[#This Row],[Exit]]-Table1[[#This Row],[Entry ]])*Table1[[#This Row],[Amount]],(Table1[[#This Row],[Entry ]]-Table1[[#This Row],[Exit]])*Table1[[#This Row],[Amount]])</f>
        <v>-153.88929332545251</v>
      </c>
      <c r="Q29" s="23">
        <f>Table1[[#This Row],[PNL]]/Table1[[#This Row],[Margin]]</f>
        <v>-0.15632513437349554</v>
      </c>
      <c r="R29" s="24">
        <f>IF(Table1[[#This Row],[PNL]]&lt;0,-ABS(Table1[[#This Row],[PNL]]/Table1[[#This Row],[Stop Loss]]),ABS(Table1[[#This Row],[PNL]]/Table1[[#This Row],[Stop Loss]]))</f>
        <v>-5.4461688927143461</v>
      </c>
      <c r="S29" s="28">
        <f>$C$4+SUM($P$14:P29)</f>
        <v>10231.207540773901</v>
      </c>
      <c r="T29" s="19">
        <f t="shared" si="0"/>
        <v>10385.096834099353</v>
      </c>
      <c r="U29" s="29">
        <f>(Table1[[#This Row],[Equity]]-Table1[[#This Row],[Peak Equity]])/Table1[[#This Row],[Peak Equity]]</f>
        <v>-1.481828198463765E-2</v>
      </c>
      <c r="V29" s="30" t="s">
        <v>50</v>
      </c>
      <c r="W29" s="18" t="s">
        <v>50</v>
      </c>
      <c r="X29" s="30">
        <f>-(Table1[[#This Row],[Position Size]] * CHOOSE(MATCH(Table1[[#This Row],[Entry Type]],{"Taker Fees","Maker Fees","Reduced Taker Fees","Reduced Maker Fees","Spot Taker Fees","Spot Maker Fees"},0), $I$4,$I$5,$I$6,$I$7,$I$8,$I$9)+Table1[[#This Row],[Value]] * CHOOSE(MATCH(Table1[[#This Row],[Exit Type]], {"Taker Fees","Maker Fees","Reduced Taker Fees","Reduced Maker Fees","Spot Taker Fees","Spot Maker Fees"}, 0), $I$4,$I$5,$I$6,$I$7,$I$8,$I$9))</f>
        <v>-15.81224547733018</v>
      </c>
    </row>
    <row r="30" spans="2:32" x14ac:dyDescent="0.25">
      <c r="B30" s="18">
        <v>17</v>
      </c>
      <c r="C30" s="41">
        <v>45822</v>
      </c>
      <c r="D30" s="41">
        <v>45822</v>
      </c>
      <c r="E30" s="18" t="s">
        <v>48</v>
      </c>
      <c r="F30" s="18" t="str">
        <f>_xlfn.XLOOKUP(Table1[[#This Row],[Trade ID]],Table3[Trade ID],Table3[Position],"Not Found ")</f>
        <v>Long</v>
      </c>
      <c r="G30" s="18">
        <f>_xlfn.XLOOKUP(Table1[[#This Row],[Trade ID]],Table3[Trade ID],Table3[Leverage], "Not Found")</f>
        <v>34</v>
      </c>
      <c r="H30" s="19">
        <f>_xlfn.XLOOKUP(Table1[[#This Row],[Trade ID]],Table3[Trade ID],Table3[Margin], "Not Found")</f>
        <v>1220.4406588235295</v>
      </c>
      <c r="I30" s="20">
        <f>_xlfn.XLOOKUP(Table1[[#This Row],[Trade ID]],Table3[Trade ID],Table3[Position Size], "Not Found")</f>
        <v>41494.982400000001</v>
      </c>
      <c r="J30" s="19">
        <f>_xlfn.XLOOKUP(Table1[[#This Row],[Trade ID]],Table3[Trade ID],Table3[Entry WAP], "Not Found")</f>
        <v>2528.64</v>
      </c>
      <c r="K30" s="19">
        <f>_xlfn.XLOOKUP(Table1[[#This Row],[Trade ID]],Table3[Trade ID],Table3[Exit WAP], "Not Found")</f>
        <v>2522.5</v>
      </c>
      <c r="L30" s="19">
        <v>2521.06</v>
      </c>
      <c r="M30" s="21">
        <f>Table1[[#This Row],[Position Size]]/Table1[[#This Row],[Entry ]]</f>
        <v>16.41</v>
      </c>
      <c r="N30" s="20">
        <f>Table1[[#This Row],[Amount]]*Table1[[#This Row],[Exit]]</f>
        <v>41394.224999999999</v>
      </c>
      <c r="O30" s="22">
        <f>IF(Table1[[#This Row],[Position]]="Long",(Table1[[#This Row],[Stop]]*Table1[[#This Row],[Amount]])-Table1[[#This Row],[Position Size]],-ABS((Table1[[#This Row],[Stop]]*Table1[[#This Row],[Amount]])-Table1[[#This Row],[Position Size]]))</f>
        <v>-124.38780000000406</v>
      </c>
      <c r="P30" s="19">
        <f>IF(Table1[[#This Row],[Position]]="Long",(Table1[[#This Row],[Exit]]-Table1[[#This Row],[Entry ]])*Table1[[#This Row],[Amount]],(Table1[[#This Row],[Entry ]]-Table1[[#This Row],[Exit]])*Table1[[#This Row],[Amount]])</f>
        <v>-100.75739999999792</v>
      </c>
      <c r="Q30" s="23">
        <f>Table1[[#This Row],[PNL]]/Table1[[#This Row],[Margin]]</f>
        <v>-8.2558213110603199E-2</v>
      </c>
      <c r="R30" s="24">
        <f>IF(Table1[[#This Row],[PNL]]&lt;0,-ABS(Table1[[#This Row],[PNL]]/Table1[[#This Row],[Stop Loss]]),ABS(Table1[[#This Row],[PNL]]/Table1[[#This Row],[Stop Loss]]))</f>
        <v>-0.8100263852242312</v>
      </c>
      <c r="S30" s="28">
        <f>$C$4+SUM($P$14:P30)</f>
        <v>10130.450140773904</v>
      </c>
      <c r="T30" s="19">
        <f t="shared" si="0"/>
        <v>10231.207540773901</v>
      </c>
      <c r="U30" s="29">
        <f>(Table1[[#This Row],[Equity]]-Table1[[#This Row],[Peak Equity]])/Table1[[#This Row],[Peak Equity]]</f>
        <v>-9.8480457559338465E-3</v>
      </c>
      <c r="V30" s="30" t="s">
        <v>50</v>
      </c>
      <c r="W30" s="18" t="s">
        <v>50</v>
      </c>
      <c r="X30" s="30">
        <f>-(Table1[[#This Row],[Position Size]] * CHOOSE(MATCH(Table1[[#This Row],[Entry Type]],{"Taker Fees","Maker Fees","Reduced Taker Fees","Reduced Maker Fees","Spot Taker Fees","Spot Maker Fees"},0), $I$4,$I$5,$I$6,$I$7,$I$8,$I$9)+Table1[[#This Row],[Value]] * CHOOSE(MATCH(Table1[[#This Row],[Exit Type]], {"Taker Fees","Maker Fees","Reduced Taker Fees","Reduced Maker Fees","Spot Taker Fees","Spot Maker Fees"}, 0), $I$4,$I$5,$I$6,$I$7,$I$8,$I$9))</f>
        <v>-33.155682960000007</v>
      </c>
    </row>
    <row r="31" spans="2:32" x14ac:dyDescent="0.25">
      <c r="B31" s="18">
        <v>18</v>
      </c>
      <c r="C31" s="41">
        <v>45822</v>
      </c>
      <c r="D31" s="41">
        <v>45822</v>
      </c>
      <c r="E31" s="18" t="s">
        <v>48</v>
      </c>
      <c r="F31" s="18" t="str">
        <f>_xlfn.XLOOKUP(Table1[[#This Row],[Trade ID]],Table3[Trade ID],Table3[Position],"Not Found ")</f>
        <v>Short</v>
      </c>
      <c r="G31" s="18">
        <f>_xlfn.XLOOKUP(Table1[[#This Row],[Trade ID]],Table3[Trade ID],Table3[Leverage], "Not Found")</f>
        <v>34</v>
      </c>
      <c r="H31" s="19">
        <f>_xlfn.XLOOKUP(Table1[[#This Row],[Trade ID]],Table3[Trade ID],Table3[Margin], "Not Found")</f>
        <v>925.49797941176473</v>
      </c>
      <c r="I31" s="20">
        <f>_xlfn.XLOOKUP(Table1[[#This Row],[Trade ID]],Table3[Trade ID],Table3[Position Size], "Not Found")</f>
        <v>31466.9313</v>
      </c>
      <c r="J31" s="19">
        <f>_xlfn.XLOOKUP(Table1[[#This Row],[Trade ID]],Table3[Trade ID],Table3[Entry WAP], "Not Found")</f>
        <v>2519.37</v>
      </c>
      <c r="K31" s="19">
        <f>_xlfn.XLOOKUP(Table1[[#This Row],[Trade ID]],Table3[Trade ID],Table3[Exit WAP], "Not Found")</f>
        <v>2499.25</v>
      </c>
      <c r="L31" s="19">
        <v>2526.1999999999998</v>
      </c>
      <c r="M31" s="21">
        <f>Table1[[#This Row],[Position Size]]/Table1[[#This Row],[Entry ]]</f>
        <v>12.49</v>
      </c>
      <c r="N31" s="20">
        <f>Table1[[#This Row],[Amount]]*Table1[[#This Row],[Exit]]</f>
        <v>31215.6325</v>
      </c>
      <c r="O31" s="22">
        <f>IF(Table1[[#This Row],[Position]]="Long",(Table1[[#This Row],[Stop]]*Table1[[#This Row],[Amount]])-Table1[[#This Row],[Position Size]],-ABS((Table1[[#This Row],[Stop]]*Table1[[#This Row],[Amount]])-Table1[[#This Row],[Position Size]]))</f>
        <v>-85.306699999997363</v>
      </c>
      <c r="P31" s="19">
        <f>IF(Table1[[#This Row],[Position]]="Long",(Table1[[#This Row],[Exit]]-Table1[[#This Row],[Entry ]])*Table1[[#This Row],[Amount]],(Table1[[#This Row],[Entry ]]-Table1[[#This Row],[Exit]])*Table1[[#This Row],[Amount]])</f>
        <v>251.29879999999864</v>
      </c>
      <c r="Q31" s="23">
        <f>Table1[[#This Row],[PNL]]/Table1[[#This Row],[Margin]]</f>
        <v>0.27152819951019352</v>
      </c>
      <c r="R31" s="24">
        <f>IF(Table1[[#This Row],[PNL]]&lt;0,-ABS(Table1[[#This Row],[PNL]]/Table1[[#This Row],[Stop Loss]]),ABS(Table1[[#This Row],[PNL]]/Table1[[#This Row],[Stop Loss]]))</f>
        <v>2.9458272327965611</v>
      </c>
      <c r="S31" s="28">
        <f>$C$4+SUM($P$14:P31)</f>
        <v>10381.748940773901</v>
      </c>
      <c r="T31" s="19">
        <f t="shared" si="0"/>
        <v>10381.748940773901</v>
      </c>
      <c r="U31" s="29">
        <f>(Table1[[#This Row],[Equity]]-Table1[[#This Row],[Peak Equity]])/Table1[[#This Row],[Peak Equity]]</f>
        <v>0</v>
      </c>
      <c r="V31" s="30" t="s">
        <v>50</v>
      </c>
      <c r="W31" s="18" t="s">
        <v>50</v>
      </c>
      <c r="X31" s="30">
        <f>-(Table1[[#This Row],[Position Size]] * CHOOSE(MATCH(Table1[[#This Row],[Entry Type]],{"Taker Fees","Maker Fees","Reduced Taker Fees","Reduced Maker Fees","Spot Taker Fees","Spot Maker Fees"},0), $I$4,$I$5,$I$6,$I$7,$I$8,$I$9)+Table1[[#This Row],[Value]] * CHOOSE(MATCH(Table1[[#This Row],[Exit Type]], {"Taker Fees","Maker Fees","Reduced Taker Fees","Reduced Maker Fees","Spot Taker Fees","Spot Maker Fees"}, 0), $I$4,$I$5,$I$6,$I$7,$I$8,$I$9))</f>
        <v>-25.073025520000002</v>
      </c>
    </row>
    <row r="32" spans="2:32" x14ac:dyDescent="0.25">
      <c r="B32" s="18">
        <v>19</v>
      </c>
      <c r="C32" s="41">
        <v>45822</v>
      </c>
      <c r="D32" s="41">
        <v>45822</v>
      </c>
      <c r="E32" s="18" t="s">
        <v>46</v>
      </c>
      <c r="F32" s="18" t="str">
        <f>_xlfn.XLOOKUP(Table1[[#This Row],[Trade ID]],Table3[Trade ID],Table3[Position],"Not Found ")</f>
        <v>Short</v>
      </c>
      <c r="G32" s="18">
        <f>_xlfn.XLOOKUP(Table1[[#This Row],[Trade ID]],Table3[Trade ID],Table3[Leverage], "Not Found")</f>
        <v>64</v>
      </c>
      <c r="H32" s="19">
        <f>_xlfn.XLOOKUP(Table1[[#This Row],[Trade ID]],Table3[Trade ID],Table3[Margin], "Not Found")</f>
        <v>877.39466249999998</v>
      </c>
      <c r="I32" s="20">
        <f>_xlfn.XLOOKUP(Table1[[#This Row],[Trade ID]],Table3[Trade ID],Table3[Position Size], "Not Found")</f>
        <v>56153.258399999999</v>
      </c>
      <c r="J32" s="19">
        <f>_xlfn.XLOOKUP(Table1[[#This Row],[Trade ID]],Table3[Trade ID],Table3[Entry WAP], "Not Found")</f>
        <v>104744</v>
      </c>
      <c r="K32" s="19">
        <f>_xlfn.XLOOKUP(Table1[[#This Row],[Trade ID]],Table3[Trade ID],Table3[Exit WAP], "Not Found")</f>
        <v>104539.3</v>
      </c>
      <c r="L32" s="19">
        <v>104907.6</v>
      </c>
      <c r="M32" s="21">
        <f>Table1[[#This Row],[Position Size]]/Table1[[#This Row],[Entry ]]</f>
        <v>0.53610000000000002</v>
      </c>
      <c r="N32" s="20">
        <f>Table1[[#This Row],[Amount]]*Table1[[#This Row],[Exit]]</f>
        <v>56043.518730000003</v>
      </c>
      <c r="O32" s="22">
        <f>IF(Table1[[#This Row],[Position]]="Long",(Table1[[#This Row],[Stop]]*Table1[[#This Row],[Amount]])-Table1[[#This Row],[Position Size]],-ABS((Table1[[#This Row],[Stop]]*Table1[[#This Row],[Amount]])-Table1[[#This Row],[Position Size]]))</f>
        <v>-87.705960000006598</v>
      </c>
      <c r="P32" s="19">
        <f>IF(Table1[[#This Row],[Position]]="Long",(Table1[[#This Row],[Exit]]-Table1[[#This Row],[Entry ]])*Table1[[#This Row],[Amount]],(Table1[[#This Row],[Entry ]]-Table1[[#This Row],[Exit]])*Table1[[#This Row],[Amount]])</f>
        <v>109.73966999999844</v>
      </c>
      <c r="Q32" s="23">
        <f>Table1[[#This Row],[PNL]]/Table1[[#This Row],[Margin]]</f>
        <v>0.12507446727258664</v>
      </c>
      <c r="R32" s="24">
        <f>IF(Table1[[#This Row],[PNL]]&lt;0,-ABS(Table1[[#This Row],[PNL]]/Table1[[#This Row],[Stop Loss]]),ABS(Table1[[#This Row],[PNL]]/Table1[[#This Row],[Stop Loss]]))</f>
        <v>1.2512224938874186</v>
      </c>
      <c r="S32" s="28">
        <f>$C$4+SUM($P$14:P32)</f>
        <v>10491.4886107739</v>
      </c>
      <c r="T32" s="19">
        <f t="shared" si="0"/>
        <v>10491.4886107739</v>
      </c>
      <c r="U32" s="29">
        <f>(Table1[[#This Row],[Equity]]-Table1[[#This Row],[Peak Equity]])/Table1[[#This Row],[Peak Equity]]</f>
        <v>0</v>
      </c>
      <c r="V32" s="30" t="s">
        <v>50</v>
      </c>
      <c r="W32" s="18" t="s">
        <v>50</v>
      </c>
      <c r="X32" s="30">
        <f>-(Table1[[#This Row],[Position Size]] * CHOOSE(MATCH(Table1[[#This Row],[Entry Type]],{"Taker Fees","Maker Fees","Reduced Taker Fees","Reduced Maker Fees","Spot Taker Fees","Spot Maker Fees"},0), $I$4,$I$5,$I$6,$I$7,$I$8,$I$9)+Table1[[#This Row],[Value]] * CHOOSE(MATCH(Table1[[#This Row],[Exit Type]], {"Taker Fees","Maker Fees","Reduced Taker Fees","Reduced Maker Fees","Spot Taker Fees","Spot Maker Fees"}, 0), $I$4,$I$5,$I$6,$I$7,$I$8,$I$9))</f>
        <v>-44.878710852000005</v>
      </c>
    </row>
    <row r="33" spans="2:25" x14ac:dyDescent="0.25">
      <c r="B33" s="18">
        <v>20</v>
      </c>
      <c r="C33" s="41">
        <v>45822</v>
      </c>
      <c r="D33" s="41">
        <v>45822</v>
      </c>
      <c r="E33" s="18" t="s">
        <v>62</v>
      </c>
      <c r="F33" s="18" t="str">
        <f>_xlfn.XLOOKUP(Table1[[#This Row],[Trade ID]],Table3[Trade ID],Table3[Position],"Not Found ")</f>
        <v>Long</v>
      </c>
      <c r="G33" s="18">
        <f>_xlfn.XLOOKUP(Table1[[#This Row],[Trade ID]],Table3[Trade ID],Table3[Leverage], "Not Found")</f>
        <v>34</v>
      </c>
      <c r="H33" s="19">
        <f>_xlfn.XLOOKUP(Table1[[#This Row],[Trade ID]],Table3[Trade ID],Table3[Margin], "Not Found")</f>
        <v>98.520461764705871</v>
      </c>
      <c r="I33" s="20">
        <f>_xlfn.XLOOKUP(Table1[[#This Row],[Trade ID]],Table3[Trade ID],Table3[Position Size], "Not Found")</f>
        <v>3349.6956999999998</v>
      </c>
      <c r="J33" s="49">
        <f>_xlfn.XLOOKUP(Table1[[#This Row],[Trade ID]],Table3[Trade ID],Table3[Entry WAP], "Not Found")</f>
        <v>3.7218852642644525E-2</v>
      </c>
      <c r="K33" s="19">
        <f>_xlfn.XLOOKUP(Table1[[#This Row],[Trade ID]],Table3[Trade ID],Table3[Exit WAP], "Not Found")</f>
        <v>3.6130000000000002E-2</v>
      </c>
      <c r="L33" s="49">
        <v>3.594E-2</v>
      </c>
      <c r="M33" s="21">
        <f>Table1[[#This Row],[Position Size]]/Table1[[#This Row],[Entry ]]</f>
        <v>89999.972115260578</v>
      </c>
      <c r="N33" s="20">
        <f>Table1[[#This Row],[Amount]]*Table1[[#This Row],[Exit]]</f>
        <v>3251.6989925243647</v>
      </c>
      <c r="O33" s="22">
        <f>IF(Table1[[#This Row],[Position]]="Long",(Table1[[#This Row],[Stop]]*Table1[[#This Row],[Amount]])-Table1[[#This Row],[Position Size]],-ABS((Table1[[#This Row],[Stop]]*Table1[[#This Row],[Amount]])-Table1[[#This Row],[Position Size]]))</f>
        <v>-115.09670217753455</v>
      </c>
      <c r="P33" s="19">
        <f>IF(Table1[[#This Row],[Position]]="Long",(Table1[[#This Row],[Exit]]-Table1[[#This Row],[Entry ]])*Table1[[#This Row],[Amount]],(Table1[[#This Row],[Entry ]]-Table1[[#This Row],[Exit]])*Table1[[#This Row],[Amount]])</f>
        <v>-97.996707475634793</v>
      </c>
      <c r="Q33" s="23">
        <f>Table1[[#This Row],[PNL]]/Table1[[#This Row],[Margin]]</f>
        <v>-0.99468380192612227</v>
      </c>
      <c r="R33" s="24">
        <f>IF(Table1[[#This Row],[PNL]]&lt;0,-ABS(Table1[[#This Row],[PNL]]/Table1[[#This Row],[Stop Loss]]),ABS(Table1[[#This Row],[PNL]]/Table1[[#This Row],[Stop Loss]]))</f>
        <v>-0.85142932526838755</v>
      </c>
      <c r="S33" s="28">
        <f>$C$4+SUM($P$14:P33)</f>
        <v>10393.491903298265</v>
      </c>
      <c r="T33" s="19">
        <f t="shared" si="0"/>
        <v>10491.4886107739</v>
      </c>
      <c r="U33" s="29">
        <f>(Table1[[#This Row],[Equity]]-Table1[[#This Row],[Peak Equity]])/Table1[[#This Row],[Peak Equity]]</f>
        <v>-9.340591322283898E-3</v>
      </c>
      <c r="V33" s="30" t="s">
        <v>50</v>
      </c>
      <c r="W33" s="18" t="s">
        <v>53</v>
      </c>
      <c r="X33" s="30">
        <f>-(Table1[[#This Row],[Position Size]] * CHOOSE(MATCH(Table1[[#This Row],[Entry Type]],{"Taker Fees","Maker Fees","Reduced Taker Fees","Reduced Maker Fees","Spot Taker Fees","Spot Maker Fees"},0), $I$4,$I$5,$I$6,$I$7,$I$8,$I$9)+Table1[[#This Row],[Value]] * CHOOSE(MATCH(Table1[[#This Row],[Exit Type]], {"Taker Fees","Maker Fees","Reduced Taker Fees","Reduced Maker Fees","Spot Taker Fees","Spot Maker Fees"}, 0), $I$4,$I$5,$I$6,$I$7,$I$8,$I$9))</f>
        <v>-1.33987828</v>
      </c>
      <c r="Y33" s="13" t="s">
        <v>73</v>
      </c>
    </row>
    <row r="34" spans="2:25" x14ac:dyDescent="0.25">
      <c r="B34" s="18">
        <v>21</v>
      </c>
      <c r="C34" s="41">
        <v>45822</v>
      </c>
      <c r="D34" s="41">
        <v>45822</v>
      </c>
      <c r="E34" s="18" t="s">
        <v>48</v>
      </c>
      <c r="F34" s="18" t="str">
        <f>_xlfn.XLOOKUP(Table1[[#This Row],[Trade ID]],Table3[Trade ID],Table3[Position],"Not Found ")</f>
        <v>Long</v>
      </c>
      <c r="G34" s="18">
        <f>_xlfn.XLOOKUP(Table1[[#This Row],[Trade ID]],Table3[Trade ID],Table3[Leverage], "Not Found")</f>
        <v>100</v>
      </c>
      <c r="H34" s="19">
        <f>_xlfn.XLOOKUP(Table1[[#This Row],[Trade ID]],Table3[Trade ID],Table3[Margin], "Not Found")</f>
        <v>466.04200500000002</v>
      </c>
      <c r="I34" s="20">
        <f>_xlfn.XLOOKUP(Table1[[#This Row],[Trade ID]],Table3[Trade ID],Table3[Position Size], "Not Found")</f>
        <v>46604.200499999999</v>
      </c>
      <c r="J34" s="19">
        <f>_xlfn.XLOOKUP(Table1[[#This Row],[Trade ID]],Table3[Trade ID],Table3[Entry WAP], "Not Found")</f>
        <v>2506.9499999999998</v>
      </c>
      <c r="K34" s="19">
        <f>_xlfn.XLOOKUP(Table1[[#This Row],[Trade ID]],Table3[Trade ID],Table3[Exit WAP], "Not Found")</f>
        <v>2502</v>
      </c>
      <c r="L34" s="19">
        <v>2502.0100000000002</v>
      </c>
      <c r="M34" s="21">
        <f>Table1[[#This Row],[Position Size]]/Table1[[#This Row],[Entry ]]</f>
        <v>18.59</v>
      </c>
      <c r="N34" s="20">
        <f>Table1[[#This Row],[Amount]]*Table1[[#This Row],[Exit]]</f>
        <v>46512.18</v>
      </c>
      <c r="O34" s="22">
        <f>IF(Table1[[#This Row],[Position]]="Long",(Table1[[#This Row],[Stop]]*Table1[[#This Row],[Amount]])-Table1[[#This Row],[Position Size]],-ABS((Table1[[#This Row],[Stop]]*Table1[[#This Row],[Amount]])-Table1[[#This Row],[Position Size]]))</f>
        <v>-91.83459999999468</v>
      </c>
      <c r="P34" s="19">
        <f>IF(Table1[[#This Row],[Position]]="Long",(Table1[[#This Row],[Exit]]-Table1[[#This Row],[Entry ]])*Table1[[#This Row],[Amount]],(Table1[[#This Row],[Entry ]]-Table1[[#This Row],[Exit]])*Table1[[#This Row],[Amount]])</f>
        <v>-92.020499999996616</v>
      </c>
      <c r="Q34" s="23">
        <f>Table1[[#This Row],[PNL]]/Table1[[#This Row],[Margin]]</f>
        <v>-0.19745108598096564</v>
      </c>
      <c r="R34" s="24">
        <f>IF(Table1[[#This Row],[PNL]]&lt;0,-ABS(Table1[[#This Row],[PNL]]/Table1[[#This Row],[Stop Loss]]),ABS(Table1[[#This Row],[PNL]]/Table1[[#This Row],[Stop Loss]]))</f>
        <v>-1.0020242914979969</v>
      </c>
      <c r="S34" s="28">
        <f>$C$4+SUM($P$14:P34)</f>
        <v>10301.471403298268</v>
      </c>
      <c r="T34" s="19">
        <f t="shared" si="0"/>
        <v>10393.491903298265</v>
      </c>
      <c r="U34" s="29">
        <f>(Table1[[#This Row],[Equity]]-Table1[[#This Row],[Peak Equity]])/Table1[[#This Row],[Peak Equity]]</f>
        <v>-8.8536654337311952E-3</v>
      </c>
      <c r="V34" s="30" t="s">
        <v>50</v>
      </c>
      <c r="W34" s="18" t="s">
        <v>50</v>
      </c>
      <c r="X34" s="30">
        <f>-(Table1[[#This Row],[Position Size]] * CHOOSE(MATCH(Table1[[#This Row],[Entry Type]],{"Taker Fees","Maker Fees","Reduced Taker Fees","Reduced Maker Fees","Spot Taker Fees","Spot Maker Fees"},0), $I$4,$I$5,$I$6,$I$7,$I$8,$I$9)+Table1[[#This Row],[Value]] * CHOOSE(MATCH(Table1[[#This Row],[Exit Type]], {"Taker Fees","Maker Fees","Reduced Taker Fees","Reduced Maker Fees","Spot Taker Fees","Spot Maker Fees"}, 0), $I$4,$I$5,$I$6,$I$7,$I$8,$I$9))</f>
        <v>-37.246552199999996</v>
      </c>
    </row>
    <row r="35" spans="2:25" x14ac:dyDescent="0.25">
      <c r="B35" s="18">
        <v>22</v>
      </c>
      <c r="C35" s="41">
        <v>45822</v>
      </c>
      <c r="D35" s="41">
        <v>45822</v>
      </c>
      <c r="E35" s="18" t="s">
        <v>48</v>
      </c>
      <c r="F35" s="18" t="str">
        <f>_xlfn.XLOOKUP(Table1[[#This Row],[Trade ID]],Table3[Trade ID],Table3[Position],"Not Found ")</f>
        <v>Short</v>
      </c>
      <c r="G35" s="18">
        <f>_xlfn.XLOOKUP(Table1[[#This Row],[Trade ID]],Table3[Trade ID],Table3[Leverage], "Not Found")</f>
        <v>100</v>
      </c>
      <c r="H35" s="19">
        <f>_xlfn.XLOOKUP(Table1[[#This Row],[Trade ID]],Table3[Trade ID],Table3[Margin], "Not Found")</f>
        <v>459.77112</v>
      </c>
      <c r="I35" s="20">
        <f>_xlfn.XLOOKUP(Table1[[#This Row],[Trade ID]],Table3[Trade ID],Table3[Position Size], "Not Found")</f>
        <v>45977.112000000001</v>
      </c>
      <c r="J35" s="19">
        <f>_xlfn.XLOOKUP(Table1[[#This Row],[Trade ID]],Table3[Trade ID],Table3[Entry WAP], "Not Found")</f>
        <v>2504.1999999999998</v>
      </c>
      <c r="K35" s="19">
        <f>_xlfn.XLOOKUP(Table1[[#This Row],[Trade ID]],Table3[Trade ID],Table3[Exit WAP], "Not Found")</f>
        <v>2509.79</v>
      </c>
      <c r="L35" s="19">
        <v>2508.65</v>
      </c>
      <c r="M35" s="21">
        <f>Table1[[#This Row],[Position Size]]/Table1[[#This Row],[Entry ]]</f>
        <v>18.360000000000003</v>
      </c>
      <c r="N35" s="20">
        <f>Table1[[#This Row],[Amount]]*Table1[[#This Row],[Exit]]</f>
        <v>46079.744400000003</v>
      </c>
      <c r="O35" s="22">
        <f>IF(Table1[[#This Row],[Position]]="Long",(Table1[[#This Row],[Stop]]*Table1[[#This Row],[Amount]])-Table1[[#This Row],[Position Size]],-ABS((Table1[[#This Row],[Stop]]*Table1[[#This Row],[Amount]])-Table1[[#This Row],[Position Size]]))</f>
        <v>-81.702000000004773</v>
      </c>
      <c r="P35" s="19">
        <f>IF(Table1[[#This Row],[Position]]="Long",(Table1[[#This Row],[Exit]]-Table1[[#This Row],[Entry ]])*Table1[[#This Row],[Amount]],(Table1[[#This Row],[Entry ]]-Table1[[#This Row],[Exit]])*Table1[[#This Row],[Amount]])</f>
        <v>-102.63240000000269</v>
      </c>
      <c r="Q35" s="23">
        <f>Table1[[#This Row],[PNL]]/Table1[[#This Row],[Margin]]</f>
        <v>-0.22322498203019514</v>
      </c>
      <c r="R35" s="24">
        <f>IF(Table1[[#This Row],[PNL]]&lt;0,-ABS(Table1[[#This Row],[PNL]]/Table1[[#This Row],[Stop Loss]]),ABS(Table1[[#This Row],[PNL]]/Table1[[#This Row],[Stop Loss]]))</f>
        <v>-1.2561797752808583</v>
      </c>
      <c r="S35" s="28">
        <f>$C$4+SUM($P$14:P35)</f>
        <v>10198.839003298266</v>
      </c>
      <c r="T35" s="19">
        <f t="shared" si="0"/>
        <v>10301.471403298268</v>
      </c>
      <c r="U35" s="29">
        <f>(Table1[[#This Row],[Equity]]-Table1[[#This Row],[Peak Equity]])/Table1[[#This Row],[Peak Equity]]</f>
        <v>-9.9628874344243629E-3</v>
      </c>
      <c r="V35" s="30" t="s">
        <v>50</v>
      </c>
      <c r="W35" s="18" t="s">
        <v>50</v>
      </c>
      <c r="X35" s="30">
        <f>-(Table1[[#This Row],[Position Size]] * CHOOSE(MATCH(Table1[[#This Row],[Entry Type]],{"Taker Fees","Maker Fees","Reduced Taker Fees","Reduced Maker Fees","Spot Taker Fees","Spot Maker Fees"},0), $I$4,$I$5,$I$6,$I$7,$I$8,$I$9)+Table1[[#This Row],[Value]] * CHOOSE(MATCH(Table1[[#This Row],[Exit Type]], {"Taker Fees","Maker Fees","Reduced Taker Fees","Reduced Maker Fees","Spot Taker Fees","Spot Maker Fees"}, 0), $I$4,$I$5,$I$6,$I$7,$I$8,$I$9))</f>
        <v>-36.822742560000002</v>
      </c>
    </row>
    <row r="36" spans="2:25" x14ac:dyDescent="0.25">
      <c r="B36" s="18">
        <v>23</v>
      </c>
      <c r="C36" s="41">
        <v>45824</v>
      </c>
      <c r="D36" s="41">
        <v>45824</v>
      </c>
      <c r="E36" s="18" t="s">
        <v>46</v>
      </c>
      <c r="F36" s="18" t="str">
        <f>_xlfn.XLOOKUP(Table1[[#This Row],[Trade ID]],Table3[Trade ID],Table3[Position],"Not Found ")</f>
        <v>Long</v>
      </c>
      <c r="G36" s="18">
        <f>_xlfn.XLOOKUP(Table1[[#This Row],[Trade ID]],Table3[Trade ID],Table3[Leverage], "Not Found")</f>
        <v>64</v>
      </c>
      <c r="H36" s="19">
        <f>_xlfn.XLOOKUP(Table1[[#This Row],[Trade ID]],Table3[Trade ID],Table3[Margin], "Not Found")</f>
        <v>527.52466406250005</v>
      </c>
      <c r="I36" s="20">
        <f>_xlfn.XLOOKUP(Table1[[#This Row],[Trade ID]],Table3[Trade ID],Table3[Position Size], "Not Found")</f>
        <v>33761.578500000003</v>
      </c>
      <c r="J36" s="19">
        <f>_xlfn.XLOOKUP(Table1[[#This Row],[Trade ID]],Table3[Trade ID],Table3[Entry WAP], "Not Found")</f>
        <v>107145.60000000001</v>
      </c>
      <c r="K36" s="19">
        <f>_xlfn.XLOOKUP(Table1[[#This Row],[Trade ID]],Table3[Trade ID],Table3[Exit WAP], "Not Found")</f>
        <v>107686.8</v>
      </c>
      <c r="L36" s="19">
        <v>106810.7</v>
      </c>
      <c r="M36" s="21">
        <f>Table1[[#This Row],[Position Size]]/Table1[[#This Row],[Entry ]]</f>
        <v>0.31509999944001432</v>
      </c>
      <c r="N36" s="20">
        <f>Table1[[#This Row],[Amount]]*Table1[[#This Row],[Exit]]</f>
        <v>33932.110619696934</v>
      </c>
      <c r="O36" s="22">
        <f>IF(Table1[[#This Row],[Position]]="Long",(Table1[[#This Row],[Stop]]*Table1[[#This Row],[Amount]])-Table1[[#This Row],[Position Size]],-ABS((Table1[[#This Row],[Stop]]*Table1[[#This Row],[Amount]])-Table1[[#This Row],[Position Size]]))</f>
        <v>-105.52698981246795</v>
      </c>
      <c r="P36" s="19">
        <f>IF(Table1[[#This Row],[Position]]="Long",(Table1[[#This Row],[Exit]]-Table1[[#This Row],[Entry ]])*Table1[[#This Row],[Amount]],(Table1[[#This Row],[Entry ]]-Table1[[#This Row],[Exit]])*Table1[[#This Row],[Amount]])</f>
        <v>170.53211969693484</v>
      </c>
      <c r="Q36" s="23">
        <f>Table1[[#This Row],[PNL]]/Table1[[#This Row],[Margin]]</f>
        <v>0.32326852432577552</v>
      </c>
      <c r="R36" s="24">
        <f>IF(Table1[[#This Row],[PNL]]&lt;0,-ABS(Table1[[#This Row],[PNL]]/Table1[[#This Row],[Stop Loss]]),ABS(Table1[[#This Row],[PNL]]/Table1[[#This Row],[Stop Loss]]))</f>
        <v>1.6160047775454178</v>
      </c>
      <c r="S36" s="28">
        <f>$C$4+SUM($P$14:P36)</f>
        <v>10369.3711229952</v>
      </c>
      <c r="T36" s="19">
        <f t="shared" si="0"/>
        <v>10369.3711229952</v>
      </c>
      <c r="U36" s="29">
        <f>(Table1[[#This Row],[Equity]]-Table1[[#This Row],[Peak Equity]])/Table1[[#This Row],[Peak Equity]]</f>
        <v>0</v>
      </c>
      <c r="V36" s="30" t="s">
        <v>50</v>
      </c>
      <c r="W36" s="18" t="s">
        <v>50</v>
      </c>
      <c r="X36" s="30">
        <f>-(Table1[[#This Row],[Position Size]] * CHOOSE(MATCH(Table1[[#This Row],[Entry Type]],{"Taker Fees","Maker Fees","Reduced Taker Fees","Reduced Maker Fees","Spot Taker Fees","Spot Maker Fees"},0), $I$4,$I$5,$I$6,$I$7,$I$8,$I$9)+Table1[[#This Row],[Value]] * CHOOSE(MATCH(Table1[[#This Row],[Exit Type]], {"Taker Fees","Maker Fees","Reduced Taker Fees","Reduced Maker Fees","Spot Taker Fees","Spot Maker Fees"}, 0), $I$4,$I$5,$I$6,$I$7,$I$8,$I$9))</f>
        <v>-27.077475647878778</v>
      </c>
    </row>
    <row r="37" spans="2:25" x14ac:dyDescent="0.25">
      <c r="B37" s="18">
        <v>24</v>
      </c>
      <c r="C37" s="41">
        <v>45824</v>
      </c>
      <c r="D37" s="41">
        <v>45824</v>
      </c>
      <c r="E37" s="18" t="s">
        <v>48</v>
      </c>
      <c r="F37" s="18" t="str">
        <f>_xlfn.XLOOKUP(Table1[[#This Row],[Trade ID]],Table3[Trade ID],Table3[Position],"Not Found ")</f>
        <v>Long</v>
      </c>
      <c r="G37" s="18">
        <f>_xlfn.XLOOKUP(Table1[[#This Row],[Trade ID]],Table3[Trade ID],Table3[Leverage], "Not Found")</f>
        <v>64</v>
      </c>
      <c r="H37" s="30">
        <f>_xlfn.XLOOKUP(Table1[[#This Row],[Trade ID]],Table3[Trade ID],Table3[Margin], "Not Found")</f>
        <v>514.49969999999996</v>
      </c>
      <c r="I37" s="20">
        <f>_xlfn.XLOOKUP(Table1[[#This Row],[Trade ID]],Table3[Trade ID],Table3[Position Size], "Not Found")</f>
        <v>32927.980799999998</v>
      </c>
      <c r="J37" s="30">
        <f>_xlfn.XLOOKUP(Table1[[#This Row],[Trade ID]],Table3[Trade ID],Table3[Entry WAP], "Not Found")</f>
        <v>2638.46</v>
      </c>
      <c r="K37" s="19">
        <f>_xlfn.XLOOKUP(Table1[[#This Row],[Trade ID]],Table3[Trade ID],Table3[Exit WAP], "Not Found")</f>
        <v>2630.07</v>
      </c>
      <c r="L37" s="30">
        <v>2630.29</v>
      </c>
      <c r="M37" s="32">
        <f>Table1[[#This Row],[Position Size]]/Table1[[#This Row],[Entry ]]</f>
        <v>12.479999999999999</v>
      </c>
      <c r="N37" s="31">
        <f>Table1[[#This Row],[Amount]]*Table1[[#This Row],[Exit]]</f>
        <v>32823.2736</v>
      </c>
      <c r="O37" s="28">
        <f>IF(Table1[[#This Row],[Position]]="Long",(Table1[[#This Row],[Stop]]*Table1[[#This Row],[Amount]])-Table1[[#This Row],[Position Size]],-ABS((Table1[[#This Row],[Stop]]*Table1[[#This Row],[Amount]])-Table1[[#This Row],[Position Size]]))</f>
        <v>-101.96160000000236</v>
      </c>
      <c r="P37" s="19">
        <f>IF(Table1[[#This Row],[Position]]="Long",(Table1[[#This Row],[Exit]]-Table1[[#This Row],[Entry ]])*Table1[[#This Row],[Amount]],(Table1[[#This Row],[Entry ]]-Table1[[#This Row],[Exit]])*Table1[[#This Row],[Amount]])</f>
        <v>-104.70719999999839</v>
      </c>
      <c r="Q37" s="33">
        <f>Table1[[#This Row],[PNL]]/Table1[[#This Row],[Margin]]</f>
        <v>-0.2035126551094168</v>
      </c>
      <c r="R37" s="34">
        <f>IF(Table1[[#This Row],[PNL]]&lt;0,-ABS(Table1[[#This Row],[PNL]]/Table1[[#This Row],[Stop Loss]]),ABS(Table1[[#This Row],[PNL]]/Table1[[#This Row],[Stop Loss]]))</f>
        <v>-1.0269277845776839</v>
      </c>
      <c r="S37" s="28">
        <f>$C$4+SUM($P$14:P37)</f>
        <v>10264.663922995203</v>
      </c>
      <c r="T37" s="19">
        <f t="shared" si="0"/>
        <v>10369.3711229952</v>
      </c>
      <c r="U37" s="35">
        <f>(Table1[[#This Row],[Equity]]-Table1[[#This Row],[Peak Equity]])/Table1[[#This Row],[Peak Equity]]</f>
        <v>-1.0097738691963447E-2</v>
      </c>
      <c r="V37" s="30" t="s">
        <v>50</v>
      </c>
      <c r="W37" s="18" t="s">
        <v>50</v>
      </c>
      <c r="X37" s="30">
        <f>-(Table1[[#This Row],[Position Size]] * CHOOSE(MATCH(Table1[[#This Row],[Entry Type]],{"Taker Fees","Maker Fees","Reduced Taker Fees","Reduced Maker Fees","Spot Taker Fees","Spot Maker Fees"},0), $I$4,$I$5,$I$6,$I$7,$I$8,$I$9)+Table1[[#This Row],[Value]] * CHOOSE(MATCH(Table1[[#This Row],[Exit Type]], {"Taker Fees","Maker Fees","Reduced Taker Fees","Reduced Maker Fees","Spot Taker Fees","Spot Maker Fees"}, 0), $I$4,$I$5,$I$6,$I$7,$I$8,$I$9))</f>
        <v>-26.30050176</v>
      </c>
    </row>
    <row r="38" spans="2:25" x14ac:dyDescent="0.25">
      <c r="B38" s="18">
        <v>25</v>
      </c>
      <c r="C38" s="41">
        <v>45824</v>
      </c>
      <c r="D38" s="41">
        <v>45824</v>
      </c>
      <c r="E38" s="18" t="s">
        <v>49</v>
      </c>
      <c r="F38" s="18" t="str">
        <f>_xlfn.XLOOKUP(Table1[[#This Row],[Trade ID]],Table3[Trade ID],Table3[Position],"Not Found ")</f>
        <v>Long</v>
      </c>
      <c r="G38" s="18">
        <f>_xlfn.XLOOKUP(Table1[[#This Row],[Trade ID]],Table3[Trade ID],Table3[Leverage], "Not Found")</f>
        <v>33</v>
      </c>
      <c r="H38" s="19">
        <f>_xlfn.XLOOKUP(Table1[[#This Row],[Trade ID]],Table3[Trade ID],Table3[Margin], "Not Found")</f>
        <v>509.00596969696971</v>
      </c>
      <c r="I38" s="20">
        <f>_xlfn.XLOOKUP(Table1[[#This Row],[Trade ID]],Table3[Trade ID],Table3[Position Size], "Not Found")</f>
        <v>16797.197</v>
      </c>
      <c r="J38" s="19">
        <f>_xlfn.XLOOKUP(Table1[[#This Row],[Trade ID]],Table3[Trade ID],Table3[Entry WAP], "Not Found")</f>
        <v>157.13</v>
      </c>
      <c r="K38" s="19">
        <f>_xlfn.XLOOKUP(Table1[[#This Row],[Trade ID]],Table3[Trade ID],Table3[Exit WAP], "Not Found")</f>
        <v>157.41999999999999</v>
      </c>
      <c r="L38" s="19">
        <v>156.19</v>
      </c>
      <c r="M38" s="21">
        <f>Table1[[#This Row],[Position Size]]/Table1[[#This Row],[Entry ]]</f>
        <v>106.9</v>
      </c>
      <c r="N38" s="20">
        <f>Table1[[#This Row],[Amount]]*Table1[[#This Row],[Exit]]</f>
        <v>16828.198</v>
      </c>
      <c r="O38" s="22">
        <f>IF(Table1[[#This Row],[Position]]="Long",(Table1[[#This Row],[Stop]]*Table1[[#This Row],[Amount]])-Table1[[#This Row],[Position Size]],-ABS((Table1[[#This Row],[Stop]]*Table1[[#This Row],[Amount]])-Table1[[#This Row],[Position Size]]))</f>
        <v>-100.48600000000079</v>
      </c>
      <c r="P38" s="19">
        <f>IF(Table1[[#This Row],[Position]]="Long",(Table1[[#This Row],[Exit]]-Table1[[#This Row],[Entry ]])*Table1[[#This Row],[Amount]],(Table1[[#This Row],[Entry ]]-Table1[[#This Row],[Exit]])*Table1[[#This Row],[Amount]])</f>
        <v>31.000999999999152</v>
      </c>
      <c r="Q38" s="23">
        <f>Table1[[#This Row],[PNL]]/Table1[[#This Row],[Margin]]</f>
        <v>6.0904983134982105E-2</v>
      </c>
      <c r="R38" s="24">
        <f>IF(Table1[[#This Row],[PNL]]&lt;0,-ABS(Table1[[#This Row],[PNL]]/Table1[[#This Row],[Stop Loss]]),ABS(Table1[[#This Row],[PNL]]/Table1[[#This Row],[Stop Loss]]))</f>
        <v>0.30851063829786152</v>
      </c>
      <c r="S38" s="28">
        <f>$C$4+SUM($P$14:P38)</f>
        <v>10295.664922995202</v>
      </c>
      <c r="T38" s="19">
        <f t="shared" si="0"/>
        <v>10295.664922995202</v>
      </c>
      <c r="U38" s="29">
        <f>(Table1[[#This Row],[Equity]]-Table1[[#This Row],[Peak Equity]])/Table1[[#This Row],[Peak Equity]]</f>
        <v>0</v>
      </c>
      <c r="V38" s="30" t="s">
        <v>50</v>
      </c>
      <c r="W38" s="18" t="s">
        <v>50</v>
      </c>
      <c r="X38" s="30">
        <f>-(Table1[[#This Row],[Position Size]] * CHOOSE(MATCH(Table1[[#This Row],[Entry Type]],{"Taker Fees","Maker Fees","Reduced Taker Fees","Reduced Maker Fees","Spot Taker Fees","Spot Maker Fees"},0), $I$4,$I$5,$I$6,$I$7,$I$8,$I$9)+Table1[[#This Row],[Value]] * CHOOSE(MATCH(Table1[[#This Row],[Exit Type]], {"Taker Fees","Maker Fees","Reduced Taker Fees","Reduced Maker Fees","Spot Taker Fees","Spot Maker Fees"}, 0), $I$4,$I$5,$I$6,$I$7,$I$8,$I$9))</f>
        <v>-13.450158000000002</v>
      </c>
    </row>
    <row r="39" spans="2:25" x14ac:dyDescent="0.25">
      <c r="B39" s="18">
        <v>26</v>
      </c>
      <c r="C39" s="41">
        <v>45824</v>
      </c>
      <c r="D39" s="41">
        <v>45824</v>
      </c>
      <c r="E39" s="18" t="s">
        <v>63</v>
      </c>
      <c r="F39" s="18" t="str">
        <f>_xlfn.XLOOKUP(Table1[[#This Row],[Trade ID]],Table3[Trade ID],Table3[Position],"Not Found ")</f>
        <v>Long</v>
      </c>
      <c r="G39" s="18">
        <f>_xlfn.XLOOKUP(Table1[[#This Row],[Trade ID]],Table3[Trade ID],Table3[Leverage], "Not Found")</f>
        <v>20</v>
      </c>
      <c r="H39" s="19">
        <f>_xlfn.XLOOKUP(Table1[[#This Row],[Trade ID]],Table3[Trade ID],Table3[Margin], "Not Found")</f>
        <v>141.82549499999999</v>
      </c>
      <c r="I39" s="20">
        <f>_xlfn.XLOOKUP(Table1[[#This Row],[Trade ID]],Table3[Trade ID],Table3[Position Size], "Not Found")</f>
        <v>2836.5098999999996</v>
      </c>
      <c r="J39" s="53">
        <f>_xlfn.XLOOKUP(Table1[[#This Row],[Trade ID]],Table3[Trade ID],Table3[Entry WAP], "Not Found")</f>
        <v>7.0913178695410171E-4</v>
      </c>
      <c r="K39" s="19">
        <f>_xlfn.XLOOKUP(Table1[[#This Row],[Trade ID]],Table3[Trade ID],Table3[Exit WAP], "Not Found")</f>
        <v>7.5574853301450481E-4</v>
      </c>
      <c r="L39" s="53">
        <v>6.9399999999999996E-4</v>
      </c>
      <c r="M39" s="21">
        <f>Table1[[#This Row],[Position Size]]/Table1[[#This Row],[Entry ]]</f>
        <v>3999975.6775584952</v>
      </c>
      <c r="N39" s="20">
        <f>Table1[[#This Row],[Amount]]*Table1[[#This Row],[Exit]]</f>
        <v>3022.9757504085328</v>
      </c>
      <c r="O39" s="22">
        <f>IF(Table1[[#This Row],[Position]]="Long",(Table1[[#This Row],[Stop]]*Table1[[#This Row],[Amount]])-Table1[[#This Row],[Position Size]],-ABS((Table1[[#This Row],[Stop]]*Table1[[#This Row],[Amount]])-Table1[[#This Row],[Position Size]]))</f>
        <v>-60.526779774404076</v>
      </c>
      <c r="P39" s="19">
        <f>IF(Table1[[#This Row],[Position]]="Long",(Table1[[#This Row],[Exit]]-Table1[[#This Row],[Entry ]])*Table1[[#This Row],[Amount]],(Table1[[#This Row],[Entry ]]-Table1[[#This Row],[Exit]])*Table1[[#This Row],[Amount]])</f>
        <v>186.46585040853321</v>
      </c>
      <c r="Q39" s="23">
        <f>Table1[[#This Row],[PNL]]/Table1[[#This Row],[Margin]]</f>
        <v>1.3147555057610285</v>
      </c>
      <c r="R39" s="24">
        <f>IF(Table1[[#This Row],[PNL]]&lt;0,-ABS(Table1[[#This Row],[PNL]]/Table1[[#This Row],[Stop Loss]]),ABS(Table1[[#This Row],[PNL]]/Table1[[#This Row],[Stop Loss]]))</f>
        <v>3.080716520910749</v>
      </c>
      <c r="S39" s="28">
        <f>$C$4+SUM($P$14:P39)</f>
        <v>10482.130773403735</v>
      </c>
      <c r="T39" s="19">
        <f t="shared" si="0"/>
        <v>10482.130773403735</v>
      </c>
      <c r="U39" s="29">
        <f>(Table1[[#This Row],[Equity]]-Table1[[#This Row],[Peak Equity]])/Table1[[#This Row],[Peak Equity]]</f>
        <v>0</v>
      </c>
      <c r="V39" s="30" t="s">
        <v>50</v>
      </c>
      <c r="W39" s="18" t="s">
        <v>50</v>
      </c>
      <c r="X39" s="30">
        <f>-(Table1[[#This Row],[Position Size]] * CHOOSE(MATCH(Table1[[#This Row],[Entry Type]],{"Taker Fees","Maker Fees","Reduced Taker Fees","Reduced Maker Fees","Spot Taker Fees","Spot Maker Fees"},0), $I$4,$I$5,$I$6,$I$7,$I$8,$I$9)+Table1[[#This Row],[Value]] * CHOOSE(MATCH(Table1[[#This Row],[Exit Type]], {"Taker Fees","Maker Fees","Reduced Taker Fees","Reduced Maker Fees","Spot Taker Fees","Spot Maker Fees"}, 0), $I$4,$I$5,$I$6,$I$7,$I$8,$I$9))</f>
        <v>-2.3437942601634134</v>
      </c>
    </row>
    <row r="40" spans="2:25" x14ac:dyDescent="0.25">
      <c r="B40" s="18">
        <v>27</v>
      </c>
      <c r="C40" s="41">
        <v>45824</v>
      </c>
      <c r="D40" s="41">
        <v>45824</v>
      </c>
      <c r="E40" s="18" t="s">
        <v>63</v>
      </c>
      <c r="F40" s="18" t="str">
        <f>_xlfn.XLOOKUP(Table1[[#This Row],[Trade ID]],Table3[Trade ID],Table3[Position],"Not Found ")</f>
        <v>Long</v>
      </c>
      <c r="G40" s="18">
        <f>_xlfn.XLOOKUP(Table1[[#This Row],[Trade ID]],Table3[Trade ID],Table3[Leverage], "Not Found")</f>
        <v>20</v>
      </c>
      <c r="H40" s="19">
        <f>_xlfn.XLOOKUP(Table1[[#This Row],[Trade ID]],Table3[Trade ID],Table3[Margin], "Not Found")</f>
        <v>160</v>
      </c>
      <c r="I40" s="20">
        <f>_xlfn.XLOOKUP(Table1[[#This Row],[Trade ID]],Table3[Trade ID],Table3[Position Size], "Not Found")</f>
        <v>3200</v>
      </c>
      <c r="J40" s="53">
        <f>_xlfn.XLOOKUP(Table1[[#This Row],[Trade ID]],Table3[Trade ID],Table3[Entry WAP], "Not Found")</f>
        <v>8.0000000000000004E-4</v>
      </c>
      <c r="K40" s="19">
        <f>_xlfn.XLOOKUP(Table1[[#This Row],[Trade ID]],Table3[Trade ID],Table3[Exit WAP], "Not Found")</f>
        <v>7.8455501483835335E-4</v>
      </c>
      <c r="L40" s="53">
        <v>7.85E-4</v>
      </c>
      <c r="M40" s="21">
        <f>Table1[[#This Row],[Position Size]]/Table1[[#This Row],[Entry ]]</f>
        <v>4000000</v>
      </c>
      <c r="N40" s="20">
        <f>Table1[[#This Row],[Amount]]*Table1[[#This Row],[Exit]]</f>
        <v>3138.2200593534135</v>
      </c>
      <c r="O40" s="22">
        <f>IF(Table1[[#This Row],[Position]]="Long",(Table1[[#This Row],[Stop]]*Table1[[#This Row],[Amount]])-Table1[[#This Row],[Position Size]],-ABS((Table1[[#This Row],[Stop]]*Table1[[#This Row],[Amount]])-Table1[[#This Row],[Position Size]]))</f>
        <v>-60</v>
      </c>
      <c r="P40" s="19">
        <f>IF(Table1[[#This Row],[Position]]="Long",(Table1[[#This Row],[Exit]]-Table1[[#This Row],[Entry ]])*Table1[[#This Row],[Amount]],(Table1[[#This Row],[Entry ]]-Table1[[#This Row],[Exit]])*Table1[[#This Row],[Amount]])</f>
        <v>-61.779940646586752</v>
      </c>
      <c r="Q40" s="23">
        <f>Table1[[#This Row],[PNL]]/Table1[[#This Row],[Margin]]</f>
        <v>-0.38612462904116718</v>
      </c>
      <c r="R40" s="24">
        <f>IF(Table1[[#This Row],[PNL]]&lt;0,-ABS(Table1[[#This Row],[PNL]]/Table1[[#This Row],[Stop Loss]]),ABS(Table1[[#This Row],[PNL]]/Table1[[#This Row],[Stop Loss]]))</f>
        <v>-1.0296656774431125</v>
      </c>
      <c r="S40" s="28">
        <f>$C$4+SUM($P$14:P40)</f>
        <v>10420.350832757149</v>
      </c>
      <c r="T40" s="19">
        <f t="shared" si="0"/>
        <v>10482.130773403735</v>
      </c>
      <c r="U40" s="29">
        <f>(Table1[[#This Row],[Equity]]-Table1[[#This Row],[Peak Equity]])/Table1[[#This Row],[Peak Equity]]</f>
        <v>-5.8938341814375739E-3</v>
      </c>
      <c r="V40" s="30" t="s">
        <v>50</v>
      </c>
      <c r="W40" s="18" t="s">
        <v>50</v>
      </c>
      <c r="X40" s="30">
        <f>-(Table1[[#This Row],[Position Size]] * CHOOSE(MATCH(Table1[[#This Row],[Entry Type]],{"Taker Fees","Maker Fees","Reduced Taker Fees","Reduced Maker Fees","Spot Taker Fees","Spot Maker Fees"},0), $I$4,$I$5,$I$6,$I$7,$I$8,$I$9)+Table1[[#This Row],[Value]] * CHOOSE(MATCH(Table1[[#This Row],[Exit Type]], {"Taker Fees","Maker Fees","Reduced Taker Fees","Reduced Maker Fees","Spot Taker Fees","Spot Maker Fees"}, 0), $I$4,$I$5,$I$6,$I$7,$I$8,$I$9))</f>
        <v>-2.5352880237413657</v>
      </c>
    </row>
    <row r="41" spans="2:25" x14ac:dyDescent="0.25">
      <c r="B41" s="18">
        <v>28</v>
      </c>
      <c r="C41" s="41">
        <v>45824</v>
      </c>
      <c r="D41" s="41">
        <v>45824</v>
      </c>
      <c r="E41" s="18" t="s">
        <v>63</v>
      </c>
      <c r="F41" s="18" t="str">
        <f>_xlfn.XLOOKUP(Table1[[#This Row],[Trade ID]],Table3[Trade ID],Table3[Position],"Not Found ")</f>
        <v>Long</v>
      </c>
      <c r="G41" s="18">
        <f>_xlfn.XLOOKUP(Table1[[#This Row],[Trade ID]],Table3[Trade ID],Table3[Leverage], "Not Found")</f>
        <v>20</v>
      </c>
      <c r="H41" s="19">
        <f>_xlfn.XLOOKUP(Table1[[#This Row],[Trade ID]],Table3[Trade ID],Table3[Margin], "Not Found")</f>
        <v>160.061575</v>
      </c>
      <c r="I41" s="20">
        <f>_xlfn.XLOOKUP(Table1[[#This Row],[Trade ID]],Table3[Trade ID],Table3[Position Size], "Not Found")</f>
        <v>3201.2315000000003</v>
      </c>
      <c r="J41" s="56">
        <f>_xlfn.XLOOKUP(Table1[[#This Row],[Trade ID]],Table3[Trade ID],Table3[Entry WAP], "Not Found")</f>
        <v>8.0031338598911066E-4</v>
      </c>
      <c r="K41" s="19">
        <f>_xlfn.XLOOKUP(Table1[[#This Row],[Trade ID]],Table3[Trade ID],Table3[Exit WAP], "Not Found")</f>
        <v>7.7191859296397753E-4</v>
      </c>
      <c r="L41" s="56">
        <v>7.7700000000000002E-4</v>
      </c>
      <c r="M41" s="21">
        <f>Table1[[#This Row],[Position Size]]/Table1[[#This Row],[Entry ]]</f>
        <v>3999972.4558443879</v>
      </c>
      <c r="N41" s="20">
        <f>Table1[[#This Row],[Amount]]*Table1[[#This Row],[Exit]]</f>
        <v>3087.6531100100656</v>
      </c>
      <c r="O41" s="22">
        <f>IF(Table1[[#This Row],[Position]]="Long",(Table1[[#This Row],[Stop]]*Table1[[#This Row],[Amount]])-Table1[[#This Row],[Position Size]],-ABS((Table1[[#This Row],[Stop]]*Table1[[#This Row],[Amount]])-Table1[[#This Row],[Position Size]]))</f>
        <v>-93.252901808910792</v>
      </c>
      <c r="P41" s="19">
        <f>IF(Table1[[#This Row],[Position]]="Long",(Table1[[#This Row],[Exit]]-Table1[[#This Row],[Entry ]])*Table1[[#This Row],[Amount]],(Table1[[#This Row],[Entry ]]-Table1[[#This Row],[Exit]])*Table1[[#This Row],[Amount]])</f>
        <v>-113.57838998993489</v>
      </c>
      <c r="Q41" s="23">
        <f>Table1[[#This Row],[PNL]]/Table1[[#This Row],[Margin]]</f>
        <v>-0.70959185544647352</v>
      </c>
      <c r="R41" s="24">
        <f>IF(Table1[[#This Row],[PNL]]&lt;0,-ABS(Table1[[#This Row],[PNL]]/Table1[[#This Row],[Stop Loss]]),ABS(Table1[[#This Row],[PNL]]/Table1[[#This Row],[Stop Loss]]))</f>
        <v>-1.2179609190357858</v>
      </c>
      <c r="S41" s="28">
        <f>$C$4+SUM($P$14:P41)</f>
        <v>10306.772442767213</v>
      </c>
      <c r="T41" s="19">
        <f t="shared" si="0"/>
        <v>10420.350832757149</v>
      </c>
      <c r="U41" s="29">
        <f>(Table1[[#This Row],[Equity]]-Table1[[#This Row],[Peak Equity]])/Table1[[#This Row],[Peak Equity]]</f>
        <v>-1.0899670444194065E-2</v>
      </c>
      <c r="V41" s="30" t="s">
        <v>50</v>
      </c>
      <c r="W41" s="18" t="s">
        <v>50</v>
      </c>
      <c r="X41" s="30">
        <f>-(Table1[[#This Row],[Position Size]] * CHOOSE(MATCH(Table1[[#This Row],[Entry Type]],{"Taker Fees","Maker Fees","Reduced Taker Fees","Reduced Maker Fees","Spot Taker Fees","Spot Maker Fees"},0), $I$4,$I$5,$I$6,$I$7,$I$8,$I$9)+Table1[[#This Row],[Value]] * CHOOSE(MATCH(Table1[[#This Row],[Exit Type]], {"Taker Fees","Maker Fees","Reduced Taker Fees","Reduced Maker Fees","Spot Taker Fees","Spot Maker Fees"}, 0), $I$4,$I$5,$I$6,$I$7,$I$8,$I$9))</f>
        <v>-2.5155538440040264</v>
      </c>
    </row>
    <row r="42" spans="2:25" x14ac:dyDescent="0.25">
      <c r="B42" s="18">
        <v>29</v>
      </c>
      <c r="C42" s="41">
        <v>45824</v>
      </c>
      <c r="D42" s="41">
        <v>45824</v>
      </c>
      <c r="E42" s="18" t="s">
        <v>63</v>
      </c>
      <c r="F42" s="18" t="str">
        <f>_xlfn.XLOOKUP(Table1[[#This Row],[Trade ID]],Table3[Trade ID],Table3[Position],"Not Found ")</f>
        <v>Short</v>
      </c>
      <c r="G42" s="18">
        <f>_xlfn.XLOOKUP(Table1[[#This Row],[Trade ID]],Table3[Trade ID],Table3[Leverage], "Not Found")</f>
        <v>20</v>
      </c>
      <c r="H42" s="19">
        <f>_xlfn.XLOOKUP(Table1[[#This Row],[Trade ID]],Table3[Trade ID],Table3[Margin], "Not Found")</f>
        <v>152.14424000000002</v>
      </c>
      <c r="I42" s="20">
        <f>_xlfn.XLOOKUP(Table1[[#This Row],[Trade ID]],Table3[Trade ID],Table3[Position Size], "Not Found")</f>
        <v>3042.8848000000007</v>
      </c>
      <c r="J42" s="53">
        <f>_xlfn.XLOOKUP(Table1[[#This Row],[Trade ID]],Table3[Trade ID],Table3[Entry WAP], "Not Found")</f>
        <v>7.6074439689599789E-4</v>
      </c>
      <c r="K42" s="19">
        <f>_xlfn.XLOOKUP(Table1[[#This Row],[Trade ID]],Table3[Trade ID],Table3[Exit WAP], "Not Found")</f>
        <v>7.9222210080557751E-4</v>
      </c>
      <c r="L42" s="53">
        <v>7.8399999999999997E-4</v>
      </c>
      <c r="M42" s="21">
        <f>Table1[[#This Row],[Position Size]]/Table1[[#This Row],[Entry ]]</f>
        <v>3999878.0305390754</v>
      </c>
      <c r="N42" s="20">
        <f>Table1[[#This Row],[Amount]]*Table1[[#This Row],[Exit]]</f>
        <v>3168.7917763197424</v>
      </c>
      <c r="O42" s="22">
        <f>IF(Table1[[#This Row],[Position]]="Long",(Table1[[#This Row],[Stop]]*Table1[[#This Row],[Amount]])-Table1[[#This Row],[Position Size]],-ABS((Table1[[#This Row],[Stop]]*Table1[[#This Row],[Amount]])-Table1[[#This Row],[Position Size]]))</f>
        <v>-93.019575942634219</v>
      </c>
      <c r="P42" s="19">
        <f>IF(Table1[[#This Row],[Position]]="Long",(Table1[[#This Row],[Exit]]-Table1[[#This Row],[Entry ]])*Table1[[#This Row],[Amount]],(Table1[[#This Row],[Entry ]]-Table1[[#This Row],[Exit]])*Table1[[#This Row],[Amount]])</f>
        <v>-125.90697631974152</v>
      </c>
      <c r="Q42" s="23">
        <f>Table1[[#This Row],[PNL]]/Table1[[#This Row],[Margin]]</f>
        <v>-0.82755006906433981</v>
      </c>
      <c r="R42" s="24">
        <f>IF(Table1[[#This Row],[PNL]]&lt;0,-ABS(Table1[[#This Row],[PNL]]/Table1[[#This Row],[Stop Loss]]),ABS(Table1[[#This Row],[PNL]]/Table1[[#This Row],[Stop Loss]]))</f>
        <v>-1.3535535401428747</v>
      </c>
      <c r="S42" s="28">
        <f>$C$4+SUM($P$14:P42)</f>
        <v>10180.865466447472</v>
      </c>
      <c r="T42" s="19">
        <f t="shared" si="0"/>
        <v>10306.772442767213</v>
      </c>
      <c r="U42" s="29">
        <f>(Table1[[#This Row],[Equity]]-Table1[[#This Row],[Peak Equity]])/Table1[[#This Row],[Peak Equity]]</f>
        <v>-1.2215946070304065E-2</v>
      </c>
      <c r="V42" s="30" t="s">
        <v>50</v>
      </c>
      <c r="W42" s="18" t="s">
        <v>50</v>
      </c>
      <c r="X42" s="30">
        <f>-(Table1[[#This Row],[Position Size]] * CHOOSE(MATCH(Table1[[#This Row],[Entry Type]],{"Taker Fees","Maker Fees","Reduced Taker Fees","Reduced Maker Fees","Spot Taker Fees","Spot Maker Fees"},0), $I$4,$I$5,$I$6,$I$7,$I$8,$I$9)+Table1[[#This Row],[Value]] * CHOOSE(MATCH(Table1[[#This Row],[Exit Type]], {"Taker Fees","Maker Fees","Reduced Taker Fees","Reduced Maker Fees","Spot Taker Fees","Spot Maker Fees"}, 0), $I$4,$I$5,$I$6,$I$7,$I$8,$I$9))</f>
        <v>-2.4846706305278974</v>
      </c>
      <c r="Y42" s="13" t="s">
        <v>66</v>
      </c>
    </row>
    <row r="43" spans="2:25" x14ac:dyDescent="0.25">
      <c r="B43" s="18">
        <v>30</v>
      </c>
      <c r="C43" s="41">
        <v>45824</v>
      </c>
      <c r="D43" s="41">
        <v>45824</v>
      </c>
      <c r="E43" s="18" t="s">
        <v>63</v>
      </c>
      <c r="F43" s="18" t="str">
        <f>_xlfn.XLOOKUP(Table1[[#This Row],[Trade ID]],Table3[Trade ID],Table3[Position],"Not Found ")</f>
        <v>Long</v>
      </c>
      <c r="G43" s="18">
        <f>_xlfn.XLOOKUP(Table1[[#This Row],[Trade ID]],Table3[Trade ID],Table3[Leverage], "Not Found")</f>
        <v>20</v>
      </c>
      <c r="H43" s="19">
        <f>_xlfn.XLOOKUP(Table1[[#This Row],[Trade ID]],Table3[Trade ID],Table3[Margin], "Not Found")</f>
        <v>158.45848999999998</v>
      </c>
      <c r="I43" s="20">
        <f>_xlfn.XLOOKUP(Table1[[#This Row],[Trade ID]],Table3[Trade ID],Table3[Position Size], "Not Found")</f>
        <v>3169.1697999999997</v>
      </c>
      <c r="J43" s="53">
        <f>_xlfn.XLOOKUP(Table1[[#This Row],[Trade ID]],Table3[Trade ID],Table3[Entry WAP], "Not Found")</f>
        <v>7.9230359723862082E-4</v>
      </c>
      <c r="K43" s="19">
        <f>_xlfn.XLOOKUP(Table1[[#This Row],[Trade ID]],Table3[Trade ID],Table3[Exit WAP], "Not Found")</f>
        <v>7.7359822859277591E-4</v>
      </c>
      <c r="L43" s="53">
        <v>7.8299999999999995E-4</v>
      </c>
      <c r="M43" s="21">
        <f>Table1[[#This Row],[Position Size]]/Table1[[#This Row],[Entry ]]</f>
        <v>3999943.7223879346</v>
      </c>
      <c r="N43" s="20">
        <f>Table1[[#This Row],[Amount]]*Table1[[#This Row],[Exit]]</f>
        <v>3094.3493781101006</v>
      </c>
      <c r="O43" s="22">
        <f>IF(Table1[[#This Row],[Position]]="Long",(Table1[[#This Row],[Stop]]*Table1[[#This Row],[Amount]])-Table1[[#This Row],[Position Size]],-ABS((Table1[[#This Row],[Stop]]*Table1[[#This Row],[Amount]])-Table1[[#This Row],[Position Size]]))</f>
        <v>-37.213865370247277</v>
      </c>
      <c r="P43" s="19">
        <f>IF(Table1[[#This Row],[Position]]="Long",(Table1[[#This Row],[Exit]]-Table1[[#This Row],[Entry ]])*Table1[[#This Row],[Amount]],(Table1[[#This Row],[Entry ]]-Table1[[#This Row],[Exit]])*Table1[[#This Row],[Amount]])</f>
        <v>-74.820421889899436</v>
      </c>
      <c r="Q43" s="23">
        <f>Table1[[#This Row],[PNL]]/Table1[[#This Row],[Margin]]</f>
        <v>-0.47217679462867179</v>
      </c>
      <c r="R43" s="24">
        <f>IF(Table1[[#This Row],[PNL]]&lt;0,-ABS(Table1[[#This Row],[PNL]]/Table1[[#This Row],[Stop Loss]]),ABS(Table1[[#This Row],[PNL]]/Table1[[#This Row],[Stop Loss]]))</f>
        <v>-2.0105522805948248</v>
      </c>
      <c r="S43" s="28">
        <f>$C$4+SUM($P$14:P43)</f>
        <v>10106.045044557573</v>
      </c>
      <c r="T43" s="19">
        <f t="shared" si="0"/>
        <v>10180.865466447472</v>
      </c>
      <c r="U43" s="29">
        <f>(Table1[[#This Row],[Equity]]-Table1[[#This Row],[Peak Equity]])/Table1[[#This Row],[Peak Equity]]</f>
        <v>-7.3491219520069977E-3</v>
      </c>
      <c r="V43" s="30" t="s">
        <v>50</v>
      </c>
      <c r="W43" s="18" t="s">
        <v>50</v>
      </c>
      <c r="X43" s="30">
        <f>-(Table1[[#This Row],[Position Size]] * CHOOSE(MATCH(Table1[[#This Row],[Entry Type]],{"Taker Fees","Maker Fees","Reduced Taker Fees","Reduced Maker Fees","Spot Taker Fees","Spot Maker Fees"},0), $I$4,$I$5,$I$6,$I$7,$I$8,$I$9)+Table1[[#This Row],[Value]] * CHOOSE(MATCH(Table1[[#This Row],[Exit Type]], {"Taker Fees","Maker Fees","Reduced Taker Fees","Reduced Maker Fees","Spot Taker Fees","Spot Maker Fees"}, 0), $I$4,$I$5,$I$6,$I$7,$I$8,$I$9))</f>
        <v>-2.5054076712440398</v>
      </c>
    </row>
    <row r="44" spans="2:25" x14ac:dyDescent="0.25">
      <c r="B44" s="18">
        <v>31</v>
      </c>
      <c r="C44" s="41">
        <v>45824</v>
      </c>
      <c r="D44" s="41">
        <v>45824</v>
      </c>
      <c r="E44" s="18" t="s">
        <v>63</v>
      </c>
      <c r="F44" s="18" t="str">
        <f>_xlfn.XLOOKUP(Table1[[#This Row],[Trade ID]],Table3[Trade ID],Table3[Position],"Not Found ")</f>
        <v>Long</v>
      </c>
      <c r="G44" s="18">
        <f>_xlfn.XLOOKUP(Table1[[#This Row],[Trade ID]],Table3[Trade ID],Table3[Leverage], "Not Found")</f>
        <v>20</v>
      </c>
      <c r="H44" s="19">
        <f>_xlfn.XLOOKUP(Table1[[#This Row],[Trade ID]],Table3[Trade ID],Table3[Margin], "Not Found")</f>
        <v>161.23466500000001</v>
      </c>
      <c r="I44" s="20">
        <f>_xlfn.XLOOKUP(Table1[[#This Row],[Trade ID]],Table3[Trade ID],Table3[Position Size], "Not Found")</f>
        <v>3224.6933000000004</v>
      </c>
      <c r="J44" s="53">
        <f>_xlfn.XLOOKUP(Table1[[#This Row],[Trade ID]],Table3[Trade ID],Table3[Entry WAP], "Not Found")</f>
        <v>8.0617350273280253E-4</v>
      </c>
      <c r="K44" s="19">
        <f>_xlfn.XLOOKUP(Table1[[#This Row],[Trade ID]],Table3[Trade ID],Table3[Exit WAP], "Not Found")</f>
        <v>7.8707384310141963E-4</v>
      </c>
      <c r="L44" s="53">
        <v>7.9299999999999998E-4</v>
      </c>
      <c r="M44" s="21">
        <f>Table1[[#This Row],[Position Size]]/Table1[[#This Row],[Entry ]]</f>
        <v>3999999.118141185</v>
      </c>
      <c r="N44" s="20">
        <f>Table1[[#This Row],[Amount]]*Table1[[#This Row],[Exit]]</f>
        <v>3148.2946783176722</v>
      </c>
      <c r="O44" s="22">
        <f>IF(Table1[[#This Row],[Position]]="Long",(Table1[[#This Row],[Stop]]*Table1[[#This Row],[Amount]])-Table1[[#This Row],[Position Size]],-ABS((Table1[[#This Row],[Stop]]*Table1[[#This Row],[Amount]])-Table1[[#This Row],[Position Size]]))</f>
        <v>-52.693999314040866</v>
      </c>
      <c r="P44" s="19">
        <f>IF(Table1[[#This Row],[Position]]="Long",(Table1[[#This Row],[Exit]]-Table1[[#This Row],[Entry ]])*Table1[[#This Row],[Amount]],(Table1[[#This Row],[Entry ]]-Table1[[#This Row],[Exit]])*Table1[[#This Row],[Amount]])</f>
        <v>-76.398621682328383</v>
      </c>
      <c r="Q44" s="23">
        <f>Table1[[#This Row],[PNL]]/Table1[[#This Row],[Margin]]</f>
        <v>-0.47383496397830072</v>
      </c>
      <c r="R44" s="24">
        <f>IF(Table1[[#This Row],[PNL]]&lt;0,-ABS(Table1[[#This Row],[PNL]]/Table1[[#This Row],[Stop Loss]]),ABS(Table1[[#This Row],[PNL]]/Table1[[#This Row],[Stop Loss]]))</f>
        <v>-1.449854303656378</v>
      </c>
      <c r="S44" s="28">
        <f>$C$4+SUM($P$14:P44)</f>
        <v>10029.646422875245</v>
      </c>
      <c r="T44" s="19">
        <f t="shared" si="0"/>
        <v>10106.045044557573</v>
      </c>
      <c r="U44" s="29">
        <f>(Table1[[#This Row],[Equity]]-Table1[[#This Row],[Peak Equity]])/Table1[[#This Row],[Peak Equity]]</f>
        <v>-7.5596953452598901E-3</v>
      </c>
      <c r="V44" s="30" t="s">
        <v>50</v>
      </c>
      <c r="W44" s="18" t="s">
        <v>50</v>
      </c>
      <c r="X44" s="30">
        <f>-(Table1[[#This Row],[Position Size]] * CHOOSE(MATCH(Table1[[#This Row],[Entry Type]],{"Taker Fees","Maker Fees","Reduced Taker Fees","Reduced Maker Fees","Spot Taker Fees","Spot Maker Fees"},0), $I$4,$I$5,$I$6,$I$7,$I$8,$I$9)+Table1[[#This Row],[Value]] * CHOOSE(MATCH(Table1[[#This Row],[Exit Type]], {"Taker Fees","Maker Fees","Reduced Taker Fees","Reduced Maker Fees","Spot Taker Fees","Spot Maker Fees"}, 0), $I$4,$I$5,$I$6,$I$7,$I$8,$I$9))</f>
        <v>-2.549195191327069</v>
      </c>
    </row>
    <row r="45" spans="2:25" x14ac:dyDescent="0.25">
      <c r="B45" s="18">
        <v>32</v>
      </c>
      <c r="C45" s="41">
        <v>45824</v>
      </c>
      <c r="D45" s="41">
        <v>45824</v>
      </c>
      <c r="E45" s="18" t="s">
        <v>46</v>
      </c>
      <c r="F45" s="18" t="str">
        <f>_xlfn.XLOOKUP(Table1[[#This Row],[Trade ID]],Table3[Trade ID],Table3[Position],"Not Found ")</f>
        <v>Long</v>
      </c>
      <c r="G45" s="18">
        <f>_xlfn.XLOOKUP(Table1[[#This Row],[Trade ID]],Table3[Trade ID],Table3[Leverage], "Not Found")</f>
        <v>64</v>
      </c>
      <c r="H45" s="19">
        <f>_xlfn.XLOOKUP(Table1[[#This Row],[Trade ID]],Table3[Trade ID],Table3[Margin], "Not Found")</f>
        <v>1615.97989375</v>
      </c>
      <c r="I45" s="20">
        <f>_xlfn.XLOOKUP(Table1[[#This Row],[Trade ID]],Table3[Trade ID],Table3[Position Size], "Not Found")</f>
        <v>103422.7132</v>
      </c>
      <c r="J45" s="19">
        <f>_xlfn.XLOOKUP(Table1[[#This Row],[Trade ID]],Table3[Trade ID],Table3[Entry WAP], "Not Found")</f>
        <v>107776.9</v>
      </c>
      <c r="K45" s="19">
        <f>_xlfn.XLOOKUP(Table1[[#This Row],[Trade ID]],Table3[Trade ID],Table3[Exit WAP], "Not Found")</f>
        <v>107792.4</v>
      </c>
      <c r="L45" s="19">
        <v>107606.2</v>
      </c>
      <c r="M45" s="21">
        <f>Table1[[#This Row],[Position Size]]/Table1[[#This Row],[Entry ]]</f>
        <v>0.959599999628863</v>
      </c>
      <c r="N45" s="20">
        <f>Table1[[#This Row],[Amount]]*Table1[[#This Row],[Exit]]</f>
        <v>103437.58699999425</v>
      </c>
      <c r="O45" s="22">
        <f>IF(Table1[[#This Row],[Position]]="Long",(Table1[[#This Row],[Stop]]*Table1[[#This Row],[Amount]])-Table1[[#This Row],[Position Size]],-ABS((Table1[[#This Row],[Stop]]*Table1[[#This Row],[Amount]])-Table1[[#This Row],[Position Size]]))</f>
        <v>-163.80371993663721</v>
      </c>
      <c r="P45" s="19">
        <f>IF(Table1[[#This Row],[Position]]="Long",(Table1[[#This Row],[Exit]]-Table1[[#This Row],[Entry ]])*Table1[[#This Row],[Amount]],(Table1[[#This Row],[Entry ]]-Table1[[#This Row],[Exit]])*Table1[[#This Row],[Amount]])</f>
        <v>14.873799994247376</v>
      </c>
      <c r="Q45" s="23">
        <f>Table1[[#This Row],[PNL]]/Table1[[#This Row],[Margin]]</f>
        <v>9.204198673370639E-3</v>
      </c>
      <c r="R45" s="24">
        <f>IF(Table1[[#This Row],[PNL]]&lt;0,-ABS(Table1[[#This Row],[PNL]]/Table1[[#This Row],[Stop Loss]]),ABS(Table1[[#This Row],[PNL]]/Table1[[#This Row],[Stop Loss]]))</f>
        <v>9.0802577621563671E-2</v>
      </c>
      <c r="S45" s="28">
        <f>$C$4+SUM($P$14:P45)</f>
        <v>10044.520222869492</v>
      </c>
      <c r="T45" s="19">
        <f t="shared" si="0"/>
        <v>10044.520222869492</v>
      </c>
      <c r="U45" s="29">
        <f>(Table1[[#This Row],[Equity]]-Table1[[#This Row],[Peak Equity]])/Table1[[#This Row],[Peak Equity]]</f>
        <v>0</v>
      </c>
      <c r="V45" s="30" t="s">
        <v>50</v>
      </c>
      <c r="W45" s="18" t="s">
        <v>50</v>
      </c>
      <c r="X45" s="30">
        <f>-(Table1[[#This Row],[Position Size]] * CHOOSE(MATCH(Table1[[#This Row],[Entry Type]],{"Taker Fees","Maker Fees","Reduced Taker Fees","Reduced Maker Fees","Spot Taker Fees","Spot Maker Fees"},0), $I$4,$I$5,$I$6,$I$7,$I$8,$I$9)+Table1[[#This Row],[Value]] * CHOOSE(MATCH(Table1[[#This Row],[Exit Type]], {"Taker Fees","Maker Fees","Reduced Taker Fees","Reduced Maker Fees","Spot Taker Fees","Spot Maker Fees"}, 0), $I$4,$I$5,$I$6,$I$7,$I$8,$I$9))</f>
        <v>-82.7441200799977</v>
      </c>
    </row>
    <row r="46" spans="2:25" x14ac:dyDescent="0.25">
      <c r="B46" s="18">
        <v>33</v>
      </c>
      <c r="C46" s="41">
        <v>45824</v>
      </c>
      <c r="D46" s="41">
        <v>45824</v>
      </c>
      <c r="E46" s="18" t="s">
        <v>48</v>
      </c>
      <c r="F46" s="18" t="str">
        <f>_xlfn.XLOOKUP(Table1[[#This Row],[Trade ID]],Table3[Trade ID],Table3[Position],"Not Found ")</f>
        <v>Long</v>
      </c>
      <c r="G46" s="18">
        <f>_xlfn.XLOOKUP(Table1[[#This Row],[Trade ID]],Table3[Trade ID],Table3[Leverage], "Not Found")</f>
        <v>33</v>
      </c>
      <c r="H46" s="19">
        <f>_xlfn.XLOOKUP(Table1[[#This Row],[Trade ID]],Table3[Trade ID],Table3[Margin], "Not Found")</f>
        <v>538.92204545454547</v>
      </c>
      <c r="I46" s="20">
        <f>_xlfn.XLOOKUP(Table1[[#This Row],[Trade ID]],Table3[Trade ID],Table3[Position Size], "Not Found")</f>
        <v>17784.427500000002</v>
      </c>
      <c r="J46" s="19">
        <f>_xlfn.XLOOKUP(Table1[[#This Row],[Trade ID]],Table3[Trade ID],Table3[Entry WAP], "Not Found")</f>
        <v>2634.73</v>
      </c>
      <c r="K46" s="19">
        <f>_xlfn.XLOOKUP(Table1[[#This Row],[Trade ID]],Table3[Trade ID],Table3[Exit WAP], "Not Found")</f>
        <v>2633.91</v>
      </c>
      <c r="L46" s="19">
        <v>2619.15</v>
      </c>
      <c r="M46" s="21">
        <f>Table1[[#This Row],[Position Size]]/Table1[[#This Row],[Entry ]]</f>
        <v>6.7500000000000009</v>
      </c>
      <c r="N46" s="20">
        <f>Table1[[#This Row],[Amount]]*Table1[[#This Row],[Exit]]</f>
        <v>17778.892500000002</v>
      </c>
      <c r="O46" s="22">
        <f>IF(Table1[[#This Row],[Position]]="Long",(Table1[[#This Row],[Stop]]*Table1[[#This Row],[Amount]])-Table1[[#This Row],[Position Size]],-ABS((Table1[[#This Row],[Stop]]*Table1[[#This Row],[Amount]])-Table1[[#This Row],[Position Size]]))</f>
        <v>-105.16499999999724</v>
      </c>
      <c r="P46" s="19">
        <f>IF(Table1[[#This Row],[Position]]="Long",(Table1[[#This Row],[Exit]]-Table1[[#This Row],[Entry ]])*Table1[[#This Row],[Amount]],(Table1[[#This Row],[Entry ]]-Table1[[#This Row],[Exit]])*Table1[[#This Row],[Amount]])</f>
        <v>-5.5350000000011059</v>
      </c>
      <c r="Q46" s="23">
        <f>Table1[[#This Row],[PNL]]/Table1[[#This Row],[Margin]]</f>
        <v>-1.0270502100786573E-2</v>
      </c>
      <c r="R46" s="24">
        <f>IF(Table1[[#This Row],[PNL]]&lt;0,-ABS(Table1[[#This Row],[PNL]]/Table1[[#This Row],[Stop Loss]]),ABS(Table1[[#This Row],[PNL]]/Table1[[#This Row],[Stop Loss]]))</f>
        <v>-5.2631578947380318E-2</v>
      </c>
      <c r="S46" s="28">
        <f>$C$4+SUM($P$14:P46)</f>
        <v>10038.985222869491</v>
      </c>
      <c r="T46" s="19">
        <f t="shared" si="0"/>
        <v>10044.520222869492</v>
      </c>
      <c r="U46" s="29">
        <f>(Table1[[#This Row],[Equity]]-Table1[[#This Row],[Peak Equity]])/Table1[[#This Row],[Peak Equity]]</f>
        <v>-5.5104672768735278E-4</v>
      </c>
      <c r="V46" s="30" t="s">
        <v>50</v>
      </c>
      <c r="W46" s="18" t="s">
        <v>50</v>
      </c>
      <c r="X46" s="30">
        <f>-(Table1[[#This Row],[Position Size]] * CHOOSE(MATCH(Table1[[#This Row],[Entry Type]],{"Taker Fees","Maker Fees","Reduced Taker Fees","Reduced Maker Fees","Spot Taker Fees","Spot Maker Fees"},0), $I$4,$I$5,$I$6,$I$7,$I$8,$I$9)+Table1[[#This Row],[Value]] * CHOOSE(MATCH(Table1[[#This Row],[Exit Type]], {"Taker Fees","Maker Fees","Reduced Taker Fees","Reduced Maker Fees","Spot Taker Fees","Spot Maker Fees"}, 0), $I$4,$I$5,$I$6,$I$7,$I$8,$I$9))</f>
        <v>-14.225328000000001</v>
      </c>
    </row>
    <row r="47" spans="2:25" x14ac:dyDescent="0.25">
      <c r="B47" s="18">
        <v>34</v>
      </c>
      <c r="C47" s="41">
        <v>45824</v>
      </c>
      <c r="D47" s="41">
        <v>45824</v>
      </c>
      <c r="E47" s="18" t="s">
        <v>49</v>
      </c>
      <c r="F47" s="18" t="str">
        <f>_xlfn.XLOOKUP(Table1[[#This Row],[Trade ID]],Table3[Trade ID],Table3[Position],"Not Found ")</f>
        <v>Long</v>
      </c>
      <c r="G47" s="18">
        <f>_xlfn.XLOOKUP(Table1[[#This Row],[Trade ID]],Table3[Trade ID],Table3[Leverage], "Not Found")</f>
        <v>63</v>
      </c>
      <c r="H47" s="19">
        <f>_xlfn.XLOOKUP(Table1[[#This Row],[Trade ID]],Table3[Trade ID],Table3[Margin], "Not Found")</f>
        <v>527.29904761904754</v>
      </c>
      <c r="I47" s="20">
        <f>_xlfn.XLOOKUP(Table1[[#This Row],[Trade ID]],Table3[Trade ID],Table3[Position Size], "Not Found")</f>
        <v>33219.839999999997</v>
      </c>
      <c r="J47" s="19">
        <f>_xlfn.XLOOKUP(Table1[[#This Row],[Trade ID]],Table3[Trade ID],Table3[Entry WAP], "Not Found")</f>
        <v>157.44</v>
      </c>
      <c r="K47" s="19">
        <f>_xlfn.XLOOKUP(Table1[[#This Row],[Trade ID]],Table3[Trade ID],Table3[Exit WAP], "Not Found")</f>
        <v>157.21</v>
      </c>
      <c r="L47" s="19">
        <v>156.93</v>
      </c>
      <c r="M47" s="21">
        <f>Table1[[#This Row],[Position Size]]/Table1[[#This Row],[Entry ]]</f>
        <v>210.99999999999997</v>
      </c>
      <c r="N47" s="20">
        <f>Table1[[#This Row],[Amount]]*Table1[[#This Row],[Exit]]</f>
        <v>33171.31</v>
      </c>
      <c r="O47" s="22">
        <f>IF(Table1[[#This Row],[Position]]="Long",(Table1[[#This Row],[Stop]]*Table1[[#This Row],[Amount]])-Table1[[#This Row],[Position Size]],-ABS((Table1[[#This Row],[Stop]]*Table1[[#This Row],[Amount]])-Table1[[#This Row],[Position Size]]))</f>
        <v>-107.61000000000058</v>
      </c>
      <c r="P47" s="19">
        <f>IF(Table1[[#This Row],[Position]]="Long",(Table1[[#This Row],[Exit]]-Table1[[#This Row],[Entry ]])*Table1[[#This Row],[Amount]],(Table1[[#This Row],[Entry ]]-Table1[[#This Row],[Exit]])*Table1[[#This Row],[Amount]])</f>
        <v>-48.529999999997834</v>
      </c>
      <c r="Q47" s="23">
        <f>Table1[[#This Row],[PNL]]/Table1[[#This Row],[Margin]]</f>
        <v>-9.2035060975605668E-2</v>
      </c>
      <c r="R47" s="24">
        <f>IF(Table1[[#This Row],[PNL]]&lt;0,-ABS(Table1[[#This Row],[PNL]]/Table1[[#This Row],[Stop Loss]]),ABS(Table1[[#This Row],[PNL]]/Table1[[#This Row],[Stop Loss]]))</f>
        <v>-0.45098039215684016</v>
      </c>
      <c r="S47" s="28">
        <f>$C$4+SUM($P$14:P47)</f>
        <v>9990.455222869492</v>
      </c>
      <c r="T47" s="19">
        <f t="shared" si="0"/>
        <v>10038.985222869491</v>
      </c>
      <c r="U47" s="29">
        <f>(Table1[[#This Row],[Equity]]-Table1[[#This Row],[Peak Equity]])/Table1[[#This Row],[Peak Equity]]</f>
        <v>-4.8341539431141101E-3</v>
      </c>
      <c r="V47" s="30" t="s">
        <v>50</v>
      </c>
      <c r="W47" s="18" t="s">
        <v>50</v>
      </c>
      <c r="X47" s="30">
        <f>-(Table1[[#This Row],[Position Size]] * CHOOSE(MATCH(Table1[[#This Row],[Entry Type]],{"Taker Fees","Maker Fees","Reduced Taker Fees","Reduced Maker Fees","Spot Taker Fees","Spot Maker Fees"},0), $I$4,$I$5,$I$6,$I$7,$I$8,$I$9)+Table1[[#This Row],[Value]] * CHOOSE(MATCH(Table1[[#This Row],[Exit Type]], {"Taker Fees","Maker Fees","Reduced Taker Fees","Reduced Maker Fees","Spot Taker Fees","Spot Maker Fees"}, 0), $I$4,$I$5,$I$6,$I$7,$I$8,$I$9))</f>
        <v>-26.556459999999998</v>
      </c>
    </row>
    <row r="48" spans="2:25" x14ac:dyDescent="0.25">
      <c r="B48" s="18">
        <v>35</v>
      </c>
      <c r="C48" s="41">
        <v>45824</v>
      </c>
      <c r="D48" s="41">
        <v>45824</v>
      </c>
      <c r="E48" s="18" t="s">
        <v>49</v>
      </c>
      <c r="F48" s="18" t="str">
        <f>_xlfn.XLOOKUP(Table1[[#This Row],[Trade ID]],Table3[Trade ID],Table3[Position],"Not Found ")</f>
        <v>Short</v>
      </c>
      <c r="G48" s="18">
        <f>_xlfn.XLOOKUP(Table1[[#This Row],[Trade ID]],Table3[Trade ID],Table3[Leverage], "Not Found")</f>
        <v>63</v>
      </c>
      <c r="H48" s="19">
        <f>_xlfn.XLOOKUP(Table1[[#This Row],[Trade ID]],Table3[Trade ID],Table3[Margin], "Not Found")</f>
        <v>522.36977777777781</v>
      </c>
      <c r="I48" s="20">
        <f>_xlfn.XLOOKUP(Table1[[#This Row],[Trade ID]],Table3[Trade ID],Table3[Position Size], "Not Found")</f>
        <v>32909.296000000002</v>
      </c>
      <c r="J48" s="19">
        <f>_xlfn.XLOOKUP(Table1[[#This Row],[Trade ID]],Table3[Trade ID],Table3[Entry WAP], "Not Found")</f>
        <v>157.01</v>
      </c>
      <c r="K48" s="19">
        <f>_xlfn.XLOOKUP(Table1[[#This Row],[Trade ID]],Table3[Trade ID],Table3[Exit WAP], "Not Found")</f>
        <v>157.08000000000001</v>
      </c>
      <c r="L48" s="19">
        <v>157.63999999999999</v>
      </c>
      <c r="M48" s="21">
        <f>Table1[[#This Row],[Position Size]]/Table1[[#This Row],[Entry ]]</f>
        <v>209.60000000000002</v>
      </c>
      <c r="N48" s="20">
        <f>Table1[[#This Row],[Amount]]*Table1[[#This Row],[Exit]]</f>
        <v>32923.968000000008</v>
      </c>
      <c r="O48" s="22">
        <f>IF(Table1[[#This Row],[Position]]="Long",(Table1[[#This Row],[Stop]]*Table1[[#This Row],[Amount]])-Table1[[#This Row],[Position Size]],-ABS((Table1[[#This Row],[Stop]]*Table1[[#This Row],[Amount]])-Table1[[#This Row],[Position Size]]))</f>
        <v>-132.04799999999523</v>
      </c>
      <c r="P48" s="19">
        <f>IF(Table1[[#This Row],[Position]]="Long",(Table1[[#This Row],[Exit]]-Table1[[#This Row],[Entry ]])*Table1[[#This Row],[Amount]],(Table1[[#This Row],[Entry ]]-Table1[[#This Row],[Exit]])*Table1[[#This Row],[Amount]])</f>
        <v>-14.672000000004529</v>
      </c>
      <c r="Q48" s="23">
        <f>Table1[[#This Row],[PNL]]/Table1[[#This Row],[Margin]]</f>
        <v>-2.8087382969246295E-2</v>
      </c>
      <c r="R48" s="24">
        <f>IF(Table1[[#This Row],[PNL]]&lt;0,-ABS(Table1[[#This Row],[PNL]]/Table1[[#This Row],[Stop Loss]]),ABS(Table1[[#This Row],[PNL]]/Table1[[#This Row],[Stop Loss]]))</f>
        <v>-0.11111111111114942</v>
      </c>
      <c r="S48" s="28">
        <f>$C$4+SUM($P$14:P48)</f>
        <v>9975.7832228694879</v>
      </c>
      <c r="T48" s="19">
        <f t="shared" si="0"/>
        <v>9990.455222869492</v>
      </c>
      <c r="U48" s="29">
        <f>(Table1[[#This Row],[Equity]]-Table1[[#This Row],[Peak Equity]])/Table1[[#This Row],[Peak Equity]]</f>
        <v>-1.4686017476378797E-3</v>
      </c>
      <c r="V48" s="30" t="s">
        <v>50</v>
      </c>
      <c r="W48" s="18" t="s">
        <v>50</v>
      </c>
      <c r="X48" s="30">
        <f>-(Table1[[#This Row],[Position Size]] * CHOOSE(MATCH(Table1[[#This Row],[Entry Type]],{"Taker Fees","Maker Fees","Reduced Taker Fees","Reduced Maker Fees","Spot Taker Fees","Spot Maker Fees"},0), $I$4,$I$5,$I$6,$I$7,$I$8,$I$9)+Table1[[#This Row],[Value]] * CHOOSE(MATCH(Table1[[#This Row],[Exit Type]], {"Taker Fees","Maker Fees","Reduced Taker Fees","Reduced Maker Fees","Spot Taker Fees","Spot Maker Fees"}, 0), $I$4,$I$5,$I$6,$I$7,$I$8,$I$9))</f>
        <v>-26.333305600000006</v>
      </c>
    </row>
    <row r="49" spans="2:24" x14ac:dyDescent="0.25">
      <c r="B49" s="18">
        <v>36</v>
      </c>
      <c r="C49" s="41">
        <v>45824</v>
      </c>
      <c r="D49" s="41">
        <v>45824</v>
      </c>
      <c r="E49" s="18" t="s">
        <v>63</v>
      </c>
      <c r="F49" s="18" t="str">
        <f>_xlfn.XLOOKUP(Table1[[#This Row],[Trade ID]],Table3[Trade ID],Table3[Position],"Not Found ")</f>
        <v>Short</v>
      </c>
      <c r="G49" s="18">
        <f>_xlfn.XLOOKUP(Table1[[#This Row],[Trade ID]],Table3[Trade ID],Table3[Leverage], "Not Found")</f>
        <v>20</v>
      </c>
      <c r="H49" s="19">
        <f>_xlfn.XLOOKUP(Table1[[#This Row],[Trade ID]],Table3[Trade ID],Table3[Margin], "Not Found")</f>
        <v>146.497345</v>
      </c>
      <c r="I49" s="20">
        <f>_xlfn.XLOOKUP(Table1[[#This Row],[Trade ID]],Table3[Trade ID],Table3[Position Size], "Not Found")</f>
        <v>2929.9468999999999</v>
      </c>
      <c r="J49" s="53">
        <f>_xlfn.XLOOKUP(Table1[[#This Row],[Trade ID]],Table3[Trade ID],Table3[Entry WAP], "Not Found")</f>
        <v>7.3219060051907432E-4</v>
      </c>
      <c r="K49" s="19">
        <f>_xlfn.XLOOKUP(Table1[[#This Row],[Trade ID]],Table3[Trade ID],Table3[Exit WAP], "Not Found")</f>
        <v>7.495330496939404E-4</v>
      </c>
      <c r="L49" s="53">
        <v>7.4700000000000005E-4</v>
      </c>
      <c r="M49" s="21">
        <f>Table1[[#This Row],[Position Size]]/Table1[[#This Row],[Entry ]]</f>
        <v>4001617.7453286932</v>
      </c>
      <c r="N49" s="20">
        <f>Table1[[#This Row],[Amount]]*Table1[[#This Row],[Exit]]</f>
        <v>2999.344752365605</v>
      </c>
      <c r="O49" s="22">
        <f>IF(Table1[[#This Row],[Position]]="Long",(Table1[[#This Row],[Stop]]*Table1[[#This Row],[Amount]])-Table1[[#This Row],[Position Size]],-ABS((Table1[[#This Row],[Stop]]*Table1[[#This Row],[Amount]])-Table1[[#This Row],[Position Size]]))</f>
        <v>-59.261555760534065</v>
      </c>
      <c r="P49" s="19">
        <f>IF(Table1[[#This Row],[Position]]="Long",(Table1[[#This Row],[Exit]]-Table1[[#This Row],[Entry ]])*Table1[[#This Row],[Amount]],(Table1[[#This Row],[Entry ]]-Table1[[#This Row],[Exit]])*Table1[[#This Row],[Amount]])</f>
        <v>-69.397852365605061</v>
      </c>
      <c r="Q49" s="23">
        <f>Table1[[#This Row],[PNL]]/Table1[[#This Row],[Margin]]</f>
        <v>-0.47371406195521881</v>
      </c>
      <c r="R49" s="24">
        <f>IF(Table1[[#This Row],[PNL]]&lt;0,-ABS(Table1[[#This Row],[PNL]]/Table1[[#This Row],[Stop Loss]]),ABS(Table1[[#This Row],[PNL]]/Table1[[#This Row],[Stop Loss]]))</f>
        <v>-1.1710433766880852</v>
      </c>
      <c r="S49" s="28">
        <f>$C$4+SUM($P$14:P49)</f>
        <v>9906.3853705038837</v>
      </c>
      <c r="T49" s="19">
        <f t="shared" si="0"/>
        <v>9975.7832228694879</v>
      </c>
      <c r="U49" s="29">
        <f>(Table1[[#This Row],[Equity]]-Table1[[#This Row],[Peak Equity]])/Table1[[#This Row],[Peak Equity]]</f>
        <v>-6.9566319571288983E-3</v>
      </c>
      <c r="V49" s="30" t="s">
        <v>50</v>
      </c>
      <c r="W49" s="18" t="s">
        <v>50</v>
      </c>
      <c r="X49" s="30">
        <f>-(Table1[[#This Row],[Position Size]] * CHOOSE(MATCH(Table1[[#This Row],[Entry Type]],{"Taker Fees","Maker Fees","Reduced Taker Fees","Reduced Maker Fees","Spot Taker Fees","Spot Maker Fees"},0), $I$4,$I$5,$I$6,$I$7,$I$8,$I$9)+Table1[[#This Row],[Value]] * CHOOSE(MATCH(Table1[[#This Row],[Exit Type]], {"Taker Fees","Maker Fees","Reduced Taker Fees","Reduced Maker Fees","Spot Taker Fees","Spot Maker Fees"}, 0), $I$4,$I$5,$I$6,$I$7,$I$8,$I$9))</f>
        <v>-2.3717166609462419</v>
      </c>
    </row>
    <row r="50" spans="2:24" x14ac:dyDescent="0.25">
      <c r="B50" s="18">
        <v>37</v>
      </c>
      <c r="C50" s="41">
        <v>45824</v>
      </c>
      <c r="D50" s="41">
        <v>45824</v>
      </c>
      <c r="E50" s="18" t="s">
        <v>63</v>
      </c>
      <c r="F50" s="18" t="str">
        <f>_xlfn.XLOOKUP(Table1[[#This Row],[Trade ID]],Table3[Trade ID],Table3[Position],"Not Found ")</f>
        <v>Long</v>
      </c>
      <c r="G50" s="18">
        <f>_xlfn.XLOOKUP(Table1[[#This Row],[Trade ID]],Table3[Trade ID],Table3[Leverage], "Not Found")</f>
        <v>20</v>
      </c>
      <c r="H50" s="19">
        <f>_xlfn.XLOOKUP(Table1[[#This Row],[Trade ID]],Table3[Trade ID],Table3[Margin], "Not Found")</f>
        <v>157.779145</v>
      </c>
      <c r="I50" s="20">
        <f>_xlfn.XLOOKUP(Table1[[#This Row],[Trade ID]],Table3[Trade ID],Table3[Position Size], "Not Found")</f>
        <v>3155.5828999999999</v>
      </c>
      <c r="J50" s="53">
        <f>_xlfn.XLOOKUP(Table1[[#This Row],[Trade ID]],Table3[Trade ID],Table3[Entry WAP], "Not Found")</f>
        <v>7.8889621594159379E-4</v>
      </c>
      <c r="K50" s="19">
        <f>_xlfn.XLOOKUP(Table1[[#This Row],[Trade ID]],Table3[Trade ID],Table3[Exit WAP], "Not Found")</f>
        <v>7.6252486299208436E-4</v>
      </c>
      <c r="L50" s="53">
        <v>7.6999999999999996E-4</v>
      </c>
      <c r="M50" s="21">
        <f>Table1[[#This Row],[Position Size]]/Table1[[#This Row],[Entry ]]</f>
        <v>3999997.5107417991</v>
      </c>
      <c r="N50" s="20">
        <f>Table1[[#This Row],[Amount]]*Table1[[#This Row],[Exit]]</f>
        <v>3050.0975538470689</v>
      </c>
      <c r="O50" s="22">
        <f>IF(Table1[[#This Row],[Position]]="Long",(Table1[[#This Row],[Stop]]*Table1[[#This Row],[Amount]])-Table1[[#This Row],[Position Size]],-ABS((Table1[[#This Row],[Stop]]*Table1[[#This Row],[Amount]])-Table1[[#This Row],[Position Size]]))</f>
        <v>-75.584816728814531</v>
      </c>
      <c r="P50" s="19">
        <f>IF(Table1[[#This Row],[Position]]="Long",(Table1[[#This Row],[Exit]]-Table1[[#This Row],[Entry ]])*Table1[[#This Row],[Amount]],(Table1[[#This Row],[Entry ]]-Table1[[#This Row],[Exit]])*Table1[[#This Row],[Amount]])</f>
        <v>-105.48534615293113</v>
      </c>
      <c r="Q50" s="23">
        <f>Table1[[#This Row],[PNL]]/Table1[[#This Row],[Margin]]</f>
        <v>-0.66856330190489455</v>
      </c>
      <c r="R50" s="24">
        <f>IF(Table1[[#This Row],[PNL]]&lt;0,-ABS(Table1[[#This Row],[PNL]]/Table1[[#This Row],[Stop Loss]]),ABS(Table1[[#This Row],[PNL]]/Table1[[#This Row],[Stop Loss]]))</f>
        <v>-1.3955890973632259</v>
      </c>
      <c r="S50" s="28">
        <f>$C$4+SUM($P$14:P50)</f>
        <v>9800.9000243509527</v>
      </c>
      <c r="T50" s="19">
        <f t="shared" si="0"/>
        <v>9906.3853705038837</v>
      </c>
      <c r="U50" s="29">
        <f>(Table1[[#This Row],[Equity]]-Table1[[#This Row],[Peak Equity]])/Table1[[#This Row],[Peak Equity]]</f>
        <v>-1.064821750898285E-2</v>
      </c>
      <c r="V50" s="30" t="s">
        <v>50</v>
      </c>
      <c r="W50" s="18" t="s">
        <v>50</v>
      </c>
      <c r="X50" s="30">
        <f>-(Table1[[#This Row],[Position Size]] * CHOOSE(MATCH(Table1[[#This Row],[Entry Type]],{"Taker Fees","Maker Fees","Reduced Taker Fees","Reduced Maker Fees","Spot Taker Fees","Spot Maker Fees"},0), $I$4,$I$5,$I$6,$I$7,$I$8,$I$9)+Table1[[#This Row],[Value]] * CHOOSE(MATCH(Table1[[#This Row],[Exit Type]], {"Taker Fees","Maker Fees","Reduced Taker Fees","Reduced Maker Fees","Spot Taker Fees","Spot Maker Fees"}, 0), $I$4,$I$5,$I$6,$I$7,$I$8,$I$9))</f>
        <v>-2.4822721815388276</v>
      </c>
    </row>
    <row r="51" spans="2:24" x14ac:dyDescent="0.25">
      <c r="B51" s="18">
        <v>38</v>
      </c>
      <c r="C51" s="41">
        <v>45826</v>
      </c>
      <c r="D51" s="41">
        <v>45826</v>
      </c>
      <c r="E51" s="18" t="s">
        <v>72</v>
      </c>
      <c r="F51" s="73" t="str">
        <f>_xlfn.XLOOKUP(Table1[[#This Row],[Trade ID]],Table3[Trade ID],Table3[Position],"Not Found ")</f>
        <v>Long</v>
      </c>
      <c r="G51" s="73">
        <f>_xlfn.XLOOKUP(Table1[[#This Row],[Trade ID]],Table3[Trade ID],Table3[Leverage], "Not Found")</f>
        <v>1</v>
      </c>
      <c r="H51" s="72">
        <f>_xlfn.XLOOKUP(Table1[[#This Row],[Trade ID]],Table3[Trade ID],Table3[Margin], "Not Found")</f>
        <v>1262.1688300000001</v>
      </c>
      <c r="I51" s="20">
        <f>_xlfn.XLOOKUP(Table1[[#This Row],[Trade ID]],Table3[Trade ID],Table3[Position Size], "Not Found")</f>
        <v>1262.1688300000001</v>
      </c>
      <c r="J51" s="72">
        <f>_xlfn.XLOOKUP(Table1[[#This Row],[Trade ID]],Table3[Trade ID],Table3[Entry WAP], "Not Found")</f>
        <v>2.524338558836063</v>
      </c>
      <c r="K51" s="19">
        <f>_xlfn.XLOOKUP(Table1[[#This Row],[Trade ID]],Table3[Trade ID],Table3[Exit WAP], "Not Found")</f>
        <v>2.3882987461568042</v>
      </c>
      <c r="L51" s="19">
        <v>2.2999999999999998</v>
      </c>
      <c r="M51" s="21">
        <f>Table1[[#This Row],[Position Size]]/Table1[[#This Row],[Entry ]]</f>
        <v>499.9998219660236</v>
      </c>
      <c r="N51" s="20">
        <f>Table1[[#This Row],[Amount]]*Table1[[#This Row],[Exit]]</f>
        <v>1194.1489478800795</v>
      </c>
      <c r="O51" s="22">
        <f>IF(Table1[[#This Row],[Position]]="Long",(Table1[[#This Row],[Stop]]*Table1[[#This Row],[Amount]])-Table1[[#This Row],[Position Size]],-ABS((Table1[[#This Row],[Stop]]*Table1[[#This Row],[Amount]])-Table1[[#This Row],[Position Size]]))</f>
        <v>-112.16923947814598</v>
      </c>
      <c r="P51" s="19">
        <f>IF(Table1[[#This Row],[Position]]="Long",(Table1[[#This Row],[Exit]]-Table1[[#This Row],[Entry ]])*Table1[[#This Row],[Amount]],(Table1[[#This Row],[Entry ]]-Table1[[#This Row],[Exit]])*Table1[[#This Row],[Amount]])</f>
        <v>-68.019882119920595</v>
      </c>
      <c r="Q51" s="23">
        <f>Table1[[#This Row],[PNL]]/Table1[[#This Row],[Margin]]</f>
        <v>-5.3891270726373897E-2</v>
      </c>
      <c r="R51" s="24">
        <f>IF(Table1[[#This Row],[PNL]]&lt;0,-ABS(Table1[[#This Row],[PNL]]/Table1[[#This Row],[Stop Loss]]),ABS(Table1[[#This Row],[PNL]]/Table1[[#This Row],[Stop Loss]]))</f>
        <v>-0.60640405904840744</v>
      </c>
      <c r="S51" s="28">
        <f>$C$4+SUM($P$14:P51)</f>
        <v>9732.8801422310316</v>
      </c>
      <c r="T51" s="19">
        <f t="shared" si="0"/>
        <v>9800.9000243509527</v>
      </c>
      <c r="U51" s="29">
        <f>(Table1[[#This Row],[Equity]]-Table1[[#This Row],[Peak Equity]])/Table1[[#This Row],[Peak Equity]]</f>
        <v>-6.9401669184382397E-3</v>
      </c>
      <c r="V51" s="67" t="s">
        <v>57</v>
      </c>
      <c r="W51" s="18" t="s">
        <v>57</v>
      </c>
      <c r="X51" s="30">
        <f>-(Table1[[#This Row],[Position Size]] * CHOOSE(MATCH(Table1[[#This Row],[Entry Type]],{"Taker Fees","Maker Fees","Reduced Taker Fees","Reduced Maker Fees","Spot Taker Fees","Spot Maker Fees"},0), $I$4,$I$5,$I$6,$I$7,$I$8,$I$9)+Table1[[#This Row],[Value]] * CHOOSE(MATCH(Table1[[#This Row],[Exit Type]], {"Taker Fees","Maker Fees","Reduced Taker Fees","Reduced Maker Fees","Spot Taker Fees","Spot Maker Fees"}, 0), $I$4,$I$5,$I$6,$I$7,$I$8,$I$9))</f>
        <v>0</v>
      </c>
    </row>
    <row r="52" spans="2:24" x14ac:dyDescent="0.25">
      <c r="B52" s="18"/>
      <c r="C52" s="18"/>
      <c r="D52" s="18"/>
      <c r="E52" s="18"/>
      <c r="F52" s="18"/>
      <c r="G52" s="18"/>
      <c r="H52" s="19"/>
      <c r="I52" s="20"/>
      <c r="J52" s="19"/>
      <c r="K52" s="19"/>
      <c r="L52" s="19"/>
      <c r="M52" s="21"/>
      <c r="N52" s="20"/>
      <c r="O52" s="22"/>
      <c r="P52" s="19"/>
      <c r="Q52" s="23"/>
      <c r="R52" s="24"/>
      <c r="S52" s="14"/>
      <c r="T52" s="25"/>
      <c r="U52" s="29"/>
      <c r="V52" s="28"/>
      <c r="X52" s="44"/>
    </row>
    <row r="53" spans="2:24" x14ac:dyDescent="0.25">
      <c r="B53" s="18"/>
      <c r="C53" s="18"/>
      <c r="D53" s="18"/>
      <c r="E53" s="18"/>
      <c r="F53" s="18"/>
      <c r="G53" s="18"/>
      <c r="H53" s="19"/>
      <c r="I53" s="20"/>
      <c r="J53" s="19"/>
      <c r="K53" s="19"/>
      <c r="L53" s="19"/>
      <c r="M53" s="21"/>
      <c r="N53" s="20"/>
      <c r="O53" s="19"/>
      <c r="P53" s="19"/>
      <c r="Q53" s="23"/>
      <c r="R53" s="24"/>
      <c r="S53" s="22"/>
      <c r="T53" s="19"/>
      <c r="U53" s="23"/>
      <c r="V53" s="28"/>
      <c r="X53" s="44"/>
    </row>
    <row r="54" spans="2:24" x14ac:dyDescent="0.25">
      <c r="B54" s="18"/>
      <c r="C54" s="18"/>
      <c r="D54" s="18"/>
      <c r="F54" s="18"/>
      <c r="G54" s="18"/>
      <c r="H54" s="19"/>
      <c r="I54" s="20"/>
      <c r="J54" s="19"/>
      <c r="K54" s="19"/>
      <c r="L54" s="19"/>
      <c r="M54" s="21"/>
      <c r="N54" s="20"/>
      <c r="O54" s="19"/>
      <c r="P54" s="19"/>
      <c r="Q54" s="23"/>
      <c r="R54" s="24"/>
      <c r="S54" s="22"/>
      <c r="T54" s="19"/>
      <c r="U54" s="23"/>
      <c r="V54" s="28"/>
      <c r="X54" s="44"/>
    </row>
    <row r="55" spans="2:24" x14ac:dyDescent="0.25">
      <c r="B55" s="18"/>
      <c r="C55" s="18"/>
      <c r="D55" s="18"/>
      <c r="E55" s="18"/>
      <c r="F55" s="18"/>
      <c r="G55" s="18"/>
      <c r="H55" s="19"/>
      <c r="I55" s="20"/>
      <c r="J55" s="19"/>
      <c r="K55" s="19"/>
      <c r="L55" s="19"/>
      <c r="M55" s="21"/>
      <c r="N55" s="20"/>
      <c r="O55" s="19"/>
      <c r="P55" s="19"/>
      <c r="Q55" s="23"/>
      <c r="R55" s="24"/>
      <c r="S55" s="22"/>
      <c r="T55" s="19"/>
      <c r="U55" s="23"/>
      <c r="V55" s="28"/>
      <c r="X55" s="44"/>
    </row>
    <row r="56" spans="2:24" x14ac:dyDescent="0.25"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T56" s="18"/>
      <c r="U56" s="18"/>
      <c r="V56" s="18"/>
      <c r="X56" s="44"/>
    </row>
    <row r="57" spans="2:24" x14ac:dyDescent="0.25">
      <c r="T57" s="18"/>
      <c r="U57" s="18"/>
      <c r="V57" s="18"/>
      <c r="X57" s="44"/>
    </row>
    <row r="76" spans="18:18" x14ac:dyDescent="0.25">
      <c r="R76" s="20"/>
    </row>
  </sheetData>
  <mergeCells count="3">
    <mergeCell ref="B1:L1"/>
    <mergeCell ref="E11:I11"/>
    <mergeCell ref="AE11:AI11"/>
  </mergeCells>
  <dataValidations count="1">
    <dataValidation type="list" allowBlank="1" showInputMessage="1" showErrorMessage="1" sqref="V14:W51" xr:uid="{88F94AF5-D6DB-0847-9A11-118ADE92CF25}">
      <formula1>$H$4:$H$9</formula1>
    </dataValidation>
  </dataValidations>
  <pageMargins left="0.7" right="0.7" top="0.75" bottom="0.75" header="0.3" footer="0.3"/>
  <ignoredErrors>
    <ignoredError sqref="X14 I14 P14" calculatedColumn="1"/>
  </ignoredErrors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9DF15-5610-EF4B-9AEB-5BDB54B65873}">
  <dimension ref="A2:T247"/>
  <sheetViews>
    <sheetView zoomScaleNormal="100" workbookViewId="0">
      <pane xSplit="1" topLeftCell="B1" activePane="topRight" state="frozen"/>
      <selection pane="topRight" activeCell="M5" sqref="M5"/>
    </sheetView>
  </sheetViews>
  <sheetFormatPr defaultColWidth="11.42578125" defaultRowHeight="15" x14ac:dyDescent="0.25"/>
  <cols>
    <col min="1" max="1" width="13.140625" bestFit="1" customWidth="1"/>
    <col min="2" max="3" width="8.42578125" bestFit="1" customWidth="1"/>
    <col min="4" max="4" width="9.140625" bestFit="1" customWidth="1"/>
    <col min="5" max="5" width="18" bestFit="1" customWidth="1"/>
    <col min="6" max="6" width="16.5703125" bestFit="1" customWidth="1"/>
    <col min="7" max="7" width="12.5703125" bestFit="1" customWidth="1"/>
    <col min="8" max="8" width="10.5703125" bestFit="1" customWidth="1"/>
    <col min="9" max="10" width="15.7109375" bestFit="1" customWidth="1"/>
    <col min="11" max="12" width="12.5703125" bestFit="1" customWidth="1"/>
    <col min="13" max="13" width="13.7109375" bestFit="1" customWidth="1"/>
    <col min="14" max="14" width="12.5703125" bestFit="1" customWidth="1"/>
    <col min="15" max="15" width="16.140625" bestFit="1" customWidth="1"/>
    <col min="16" max="16" width="11.140625" bestFit="1" customWidth="1"/>
    <col min="17" max="18" width="11.7109375" bestFit="1" customWidth="1"/>
    <col min="19" max="19" width="7.42578125" bestFit="1" customWidth="1"/>
    <col min="20" max="20" width="10.140625" bestFit="1" customWidth="1"/>
    <col min="21" max="21" width="10.85546875" bestFit="1" customWidth="1"/>
    <col min="22" max="22" width="10" bestFit="1" customWidth="1"/>
    <col min="23" max="23" width="8.85546875" bestFit="1" customWidth="1"/>
    <col min="24" max="24" width="5.7109375" bestFit="1" customWidth="1"/>
    <col min="25" max="25" width="5.85546875" bestFit="1" customWidth="1"/>
    <col min="26" max="27" width="9.7109375" bestFit="1" customWidth="1"/>
    <col min="28" max="28" width="11.140625" bestFit="1" customWidth="1"/>
    <col min="29" max="29" width="15.140625" bestFit="1" customWidth="1"/>
    <col min="30" max="30" width="11.85546875" bestFit="1" customWidth="1"/>
    <col min="31" max="31" width="10.7109375" bestFit="1" customWidth="1"/>
    <col min="32" max="32" width="9.7109375" bestFit="1" customWidth="1"/>
    <col min="33" max="33" width="10.140625" bestFit="1" customWidth="1"/>
    <col min="34" max="34" width="9.140625" bestFit="1" customWidth="1"/>
    <col min="35" max="36" width="7.42578125" bestFit="1" customWidth="1"/>
  </cols>
  <sheetData>
    <row r="2" spans="2:20" ht="15" customHeight="1" x14ac:dyDescent="0.25">
      <c r="D2" s="81" t="s">
        <v>65</v>
      </c>
      <c r="E2" s="81"/>
      <c r="F2" s="81"/>
      <c r="G2" s="81"/>
      <c r="H2" s="81"/>
      <c r="I2" s="81"/>
      <c r="J2" s="81"/>
    </row>
    <row r="3" spans="2:20" ht="15" customHeight="1" x14ac:dyDescent="0.25">
      <c r="D3" s="81"/>
      <c r="E3" s="81"/>
      <c r="F3" s="81"/>
      <c r="G3" s="81"/>
      <c r="H3" s="81"/>
      <c r="I3" s="81"/>
      <c r="J3" s="81"/>
    </row>
    <row r="5" spans="2:20" x14ac:dyDescent="0.25">
      <c r="B5" s="18" t="s">
        <v>0</v>
      </c>
      <c r="C5" s="18" t="s">
        <v>27</v>
      </c>
      <c r="D5" s="18" t="s">
        <v>6</v>
      </c>
      <c r="E5" s="18" t="s">
        <v>70</v>
      </c>
      <c r="F5" s="18" t="s">
        <v>69</v>
      </c>
      <c r="G5" s="18" t="s">
        <v>26</v>
      </c>
      <c r="H5" s="18" t="s">
        <v>22</v>
      </c>
      <c r="I5" s="18" t="s">
        <v>20</v>
      </c>
      <c r="J5" s="18" t="s">
        <v>71</v>
      </c>
      <c r="K5" s="18" t="s">
        <v>67</v>
      </c>
      <c r="L5" s="18" t="s">
        <v>68</v>
      </c>
      <c r="M5" s="18"/>
      <c r="N5" s="18"/>
      <c r="O5" s="18"/>
      <c r="P5" s="18"/>
      <c r="Q5" s="18"/>
      <c r="R5" s="18"/>
      <c r="S5" s="18"/>
      <c r="T5" s="18"/>
    </row>
    <row r="6" spans="2:20" x14ac:dyDescent="0.25">
      <c r="B6" s="18">
        <v>1</v>
      </c>
      <c r="C6" s="63" t="s">
        <v>31</v>
      </c>
      <c r="D6" s="65">
        <v>100</v>
      </c>
      <c r="E6" s="60">
        <v>555221.59459999995</v>
      </c>
      <c r="F6" s="60">
        <v>555246.98690000002</v>
      </c>
      <c r="G6" s="31">
        <f>IF(Table3[[#This Row],[Trade ID]]&lt;&gt;"", IF(COUNTIF(INDEX(Table3[Trade ID],1):Table3[[#This Row],[Trade ID]], Table3[[#This Row],[Trade ID]])=1, SUMIFS(Table3[Entry Position Size], Table3[Trade ID], Table3[[#This Row],[Trade ID]]), ""), "")</f>
        <v>555221.59459999995</v>
      </c>
      <c r="H6" s="67">
        <f>Table3[[#This Row],[Position Size]]/Table3[[#This Row],[Leverage]]</f>
        <v>5552.2159459999993</v>
      </c>
      <c r="I6" s="30">
        <v>107142.2</v>
      </c>
      <c r="J6" s="30">
        <v>107147.1</v>
      </c>
      <c r="K6" s="30" cm="1">
        <f t="array" ref="K6">IFERROR(SUMPRODUCT((Table3[Entry]),(Table3[Entry Position Size]) * (Table3[Trade ID] = B6)) / SUMIF(Table3[Trade ID], B6, Table3[Entry Position Size]), "Check Data")</f>
        <v>107142.2</v>
      </c>
      <c r="L6" s="67" cm="1">
        <f t="array" ref="L6">IFERROR(SUMPRODUCT((Table3[[Exit ]]),(Table3[Exit Position Size]) * (Table3[Trade ID] = B6)) / SUMIF(Table3[Trade ID], B6, Table3[Exit Position Size]), "Check Data")</f>
        <v>107147.1</v>
      </c>
      <c r="M6" s="62"/>
      <c r="N6" s="30"/>
      <c r="O6" s="66"/>
      <c r="P6" s="30"/>
      <c r="Q6" s="30"/>
      <c r="R6" s="62"/>
      <c r="S6" s="62"/>
      <c r="T6" s="62"/>
    </row>
    <row r="7" spans="2:20" x14ac:dyDescent="0.25">
      <c r="B7" s="18">
        <v>2</v>
      </c>
      <c r="C7" s="63" t="s">
        <v>31</v>
      </c>
      <c r="D7" s="65">
        <v>50</v>
      </c>
      <c r="E7" s="60">
        <v>29177.186399999999</v>
      </c>
      <c r="F7" s="60">
        <v>29029.582900000001</v>
      </c>
      <c r="G7" s="30">
        <f>IF(Table3[[#This Row],[Trade ID]]&lt;&gt;"", IF(COUNTIF(INDEX(Table3[Trade ID],1):Table3[[#This Row],[Trade ID]], Table3[[#This Row],[Trade ID]])=1, SUMIFS(Table3[Entry Position Size], Table3[Trade ID], Table3[[#This Row],[Trade ID]]), ""), "")</f>
        <v>29177.186399999999</v>
      </c>
      <c r="H7" s="30">
        <f>Table3[[#This Row],[Position Size]]/Table3[[#This Row],[Leverage]]</f>
        <v>583.54372799999999</v>
      </c>
      <c r="I7" s="61">
        <v>10.872</v>
      </c>
      <c r="J7" s="61">
        <v>10.817</v>
      </c>
      <c r="K7" s="30" cm="1">
        <f t="array" ref="K7">IFERROR(SUMPRODUCT((Table3[Entry]),(Table3[Entry Position Size]) * (Table3[Trade ID] = B7)) / SUMIF(Table3[Trade ID], B7, Table3[Entry Position Size]), "Check Data")</f>
        <v>10.872</v>
      </c>
      <c r="L7" s="67" cm="1">
        <f t="array" ref="L7">IFERROR(SUMPRODUCT((Table3[[Exit ]]),(Table3[Exit Position Size]) * (Table3[Trade ID] = B7)) / SUMIF(Table3[Trade ID], B7, Table3[Exit Position Size]), "Check Data")</f>
        <v>10.817</v>
      </c>
      <c r="M7" s="62"/>
      <c r="N7" s="30"/>
      <c r="O7" s="66"/>
      <c r="P7" s="30"/>
      <c r="Q7" s="30"/>
      <c r="R7" s="62"/>
      <c r="S7" s="62"/>
      <c r="T7" s="62"/>
    </row>
    <row r="8" spans="2:20" x14ac:dyDescent="0.25">
      <c r="B8" s="18">
        <v>3</v>
      </c>
      <c r="C8" s="63" t="s">
        <v>31</v>
      </c>
      <c r="D8" s="65">
        <v>34</v>
      </c>
      <c r="E8" s="60">
        <v>32289.806799999998</v>
      </c>
      <c r="F8" s="60">
        <v>32951.528200000001</v>
      </c>
      <c r="G8" s="30">
        <f>IF(Table3[[#This Row],[Trade ID]]&lt;&gt;"", IF(COUNTIF(INDEX(Table3[Trade ID],1):Table3[[#This Row],[Trade ID]], Table3[[#This Row],[Trade ID]])=1, SUMIFS(Table3[Entry Position Size], Table3[Trade ID], Table3[[#This Row],[Trade ID]]), ""), "")</f>
        <v>32289.806799999998</v>
      </c>
      <c r="H8" s="30">
        <f>Table3[[#This Row],[Position Size]]/Table3[[#This Row],[Leverage]]</f>
        <v>949.7002</v>
      </c>
      <c r="I8" s="61">
        <v>2686.34</v>
      </c>
      <c r="J8" s="61">
        <v>2741.39</v>
      </c>
      <c r="K8" s="30" cm="1">
        <f t="array" ref="K8">IFERROR(SUMPRODUCT((Table3[Entry]),(Table3[Entry Position Size]) * (Table3[Trade ID] = B8)) / SUMIF(Table3[Trade ID], B8, Table3[Entry Position Size]), "Check Data")</f>
        <v>2686.34</v>
      </c>
      <c r="L8" s="67" cm="1">
        <f t="array" ref="L8">IFERROR(SUMPRODUCT((Table3[[Exit ]]),(Table3[Exit Position Size]) * (Table3[Trade ID] = B8)) / SUMIF(Table3[Trade ID], B8, Table3[Exit Position Size]), "Check Data")</f>
        <v>2741.39</v>
      </c>
      <c r="M8" s="62"/>
      <c r="N8" s="30"/>
      <c r="O8" s="66"/>
      <c r="P8" s="30"/>
      <c r="Q8" s="30"/>
      <c r="R8" s="62"/>
      <c r="S8" s="62"/>
      <c r="T8" s="62"/>
    </row>
    <row r="9" spans="2:20" x14ac:dyDescent="0.25">
      <c r="B9" s="18">
        <v>4</v>
      </c>
      <c r="C9" s="63" t="s">
        <v>31</v>
      </c>
      <c r="D9" s="65">
        <v>34</v>
      </c>
      <c r="E9" s="60">
        <v>31058.821499999998</v>
      </c>
      <c r="F9" s="60">
        <v>30961.545300000002</v>
      </c>
      <c r="G9" s="30">
        <f>IF(Table3[[#This Row],[Trade ID]]&lt;&gt;"", IF(COUNTIF(INDEX(Table3[Trade ID],1):Table3[[#This Row],[Trade ID]], Table3[[#This Row],[Trade ID]])=1, SUMIFS(Table3[Entry Position Size], Table3[Trade ID], Table3[[#This Row],[Trade ID]]), ""), "")</f>
        <v>31058.821499999998</v>
      </c>
      <c r="H9" s="30">
        <f>Table3[[#This Row],[Position Size]]/Table3[[#This Row],[Leverage]]</f>
        <v>913.49474999999995</v>
      </c>
      <c r="I9" s="61">
        <v>2790.55</v>
      </c>
      <c r="J9" s="61">
        <v>2781.81</v>
      </c>
      <c r="K9" s="30" cm="1">
        <f t="array" ref="K9">IFERROR(SUMPRODUCT((Table3[Entry]),(Table3[Entry Position Size]) * (Table3[Trade ID] = B9)) / SUMIF(Table3[Trade ID], B9, Table3[Entry Position Size]), "Check Data")</f>
        <v>2790.55</v>
      </c>
      <c r="L9" s="67" cm="1">
        <f t="array" ref="L9">IFERROR(SUMPRODUCT((Table3[[Exit ]]),(Table3[Exit Position Size]) * (Table3[Trade ID] = B9)) / SUMIF(Table3[Trade ID], B9, Table3[Exit Position Size]), "Check Data")</f>
        <v>2781.81</v>
      </c>
      <c r="M9" s="62"/>
      <c r="N9" s="30"/>
      <c r="O9" s="66"/>
      <c r="P9" s="30"/>
      <c r="Q9" s="30"/>
      <c r="R9" s="62"/>
      <c r="S9" s="62"/>
      <c r="T9" s="62"/>
    </row>
    <row r="10" spans="2:20" x14ac:dyDescent="0.25">
      <c r="B10" s="18">
        <v>5</v>
      </c>
      <c r="C10" s="63" t="s">
        <v>31</v>
      </c>
      <c r="D10" s="65">
        <v>34</v>
      </c>
      <c r="E10" s="60">
        <v>30602.143</v>
      </c>
      <c r="F10" s="60">
        <v>30510.798999999999</v>
      </c>
      <c r="G10" s="30">
        <f>IF(Table3[[#This Row],[Trade ID]]&lt;&gt;"", IF(COUNTIF(INDEX(Table3[Trade ID],1):Table3[[#This Row],[Trade ID]], Table3[[#This Row],[Trade ID]])=1, SUMIFS(Table3[Entry Position Size], Table3[Trade ID], Table3[[#This Row],[Trade ID]]), ""), "")</f>
        <v>30602.143</v>
      </c>
      <c r="H10" s="30">
        <f>Table3[[#This Row],[Position Size]]/Table3[[#This Row],[Leverage]]</f>
        <v>900.06302941176466</v>
      </c>
      <c r="I10" s="61">
        <v>160.81</v>
      </c>
      <c r="J10" s="61">
        <v>160.33000000000001</v>
      </c>
      <c r="K10" s="30" cm="1">
        <f t="array" ref="K10">IFERROR(SUMPRODUCT((Table3[Entry]),(Table3[Entry Position Size]) * (Table3[Trade ID] = B10)) / SUMIF(Table3[Trade ID], B10, Table3[Entry Position Size]), "Check Data")</f>
        <v>160.81</v>
      </c>
      <c r="L10" s="67" cm="1">
        <f t="array" ref="L10">IFERROR(SUMPRODUCT((Table3[[Exit ]]),(Table3[Exit Position Size]) * (Table3[Trade ID] = B10)) / SUMIF(Table3[Trade ID], B10, Table3[Exit Position Size]), "Check Data")</f>
        <v>160.33000000000001</v>
      </c>
      <c r="M10" s="62"/>
      <c r="N10" s="30"/>
      <c r="O10" s="66"/>
      <c r="P10" s="30"/>
      <c r="Q10" s="30"/>
      <c r="R10" s="62"/>
      <c r="S10" s="62"/>
      <c r="T10" s="62"/>
    </row>
    <row r="11" spans="2:20" x14ac:dyDescent="0.25">
      <c r="B11" s="18">
        <v>6</v>
      </c>
      <c r="C11" s="63" t="s">
        <v>31</v>
      </c>
      <c r="D11" s="65">
        <v>34</v>
      </c>
      <c r="E11" s="60">
        <v>32986.067900000002</v>
      </c>
      <c r="F11" s="60">
        <v>33030.880799999999</v>
      </c>
      <c r="G11" s="30">
        <f>IF(Table3[[#This Row],[Trade ID]]&lt;&gt;"", IF(COUNTIF(INDEX(Table3[Trade ID],1):Table3[[#This Row],[Trade ID]], Table3[[#This Row],[Trade ID]])=1, SUMIFS(Table3[Entry Position Size], Table3[Trade ID], Table3[[#This Row],[Trade ID]]), ""), "")</f>
        <v>32986.067900000002</v>
      </c>
      <c r="H11" s="30">
        <f>Table3[[#This Row],[Position Size]]/Table3[[#This Row],[Leverage]]</f>
        <v>970.17846764705882</v>
      </c>
      <c r="I11" s="61">
        <v>108793.1</v>
      </c>
      <c r="J11" s="61">
        <v>108940.9</v>
      </c>
      <c r="K11" s="30" cm="1">
        <f t="array" ref="K11">IFERROR(SUMPRODUCT((Table3[Entry]),(Table3[Entry Position Size]) * (Table3[Trade ID] = B11)) / SUMIF(Table3[Trade ID], B11, Table3[Entry Position Size]), "Check Data")</f>
        <v>108793.1</v>
      </c>
      <c r="L11" s="67" cm="1">
        <f t="array" ref="L11">IFERROR(SUMPRODUCT((Table3[[Exit ]]),(Table3[Exit Position Size]) * (Table3[Trade ID] = B11)) / SUMIF(Table3[Trade ID], B11, Table3[Exit Position Size]), "Check Data")</f>
        <v>108940.9</v>
      </c>
      <c r="M11" s="62"/>
      <c r="N11" s="30"/>
      <c r="O11" s="66"/>
      <c r="P11" s="30"/>
      <c r="Q11" s="30"/>
      <c r="R11" s="62"/>
      <c r="S11" s="62"/>
      <c r="T11" s="62"/>
    </row>
    <row r="12" spans="2:20" x14ac:dyDescent="0.25">
      <c r="B12" s="18">
        <v>7</v>
      </c>
      <c r="C12" s="63" t="s">
        <v>31</v>
      </c>
      <c r="D12" s="65">
        <v>20</v>
      </c>
      <c r="E12" s="60">
        <v>2559.3087999999998</v>
      </c>
      <c r="F12" s="60">
        <v>7437.6827999999996</v>
      </c>
      <c r="G12" s="30">
        <f>IF(Table3[[#This Row],[Trade ID]]&lt;&gt;"", IF(COUNTIF(INDEX(Table3[Trade ID],1):Table3[[#This Row],[Trade ID]], Table3[[#This Row],[Trade ID]])=1, SUMIFS(Table3[Entry Position Size], Table3[Trade ID], Table3[[#This Row],[Trade ID]]), ""), "")</f>
        <v>19842.280700000003</v>
      </c>
      <c r="H12" s="30">
        <f>Table3[[#This Row],[Position Size]]/Table3[[#This Row],[Leverage]]</f>
        <v>992.11403500000017</v>
      </c>
      <c r="I12" s="61">
        <v>3.1119999999999998E-2</v>
      </c>
      <c r="J12" s="61">
        <v>3.0839999999999999E-2</v>
      </c>
      <c r="K12" s="67" cm="1">
        <f t="array" ref="K12">IFERROR(SUMPRODUCT((Table3[Entry]),(Table3[Entry Position Size]) * (Table3[Trade ID] = B12)) / SUMIF(Table3[Trade ID], B12, Table3[Entry Position Size]), "Check Data")</f>
        <v>3.110075669209739E-2</v>
      </c>
      <c r="L12" s="67" cm="1">
        <f t="array" ref="L12">IFERROR(SUMPRODUCT((Table3[[Exit ]]),(Table3[Exit Position Size]) * (Table3[Trade ID] = B12)) / SUMIF(Table3[Trade ID], B12, Table3[Exit Position Size]), "Check Data")</f>
        <v>3.0849812262450392E-2</v>
      </c>
      <c r="M12" s="62"/>
      <c r="N12" s="67"/>
      <c r="O12" s="67"/>
      <c r="P12" s="30"/>
      <c r="Q12" s="30"/>
      <c r="R12" s="62"/>
      <c r="S12" s="62"/>
      <c r="T12" s="62"/>
    </row>
    <row r="13" spans="2:20" x14ac:dyDescent="0.25">
      <c r="B13" s="18">
        <v>7</v>
      </c>
      <c r="C13" s="31"/>
      <c r="D13" s="65"/>
      <c r="E13" s="60">
        <v>1283.2874999999999</v>
      </c>
      <c r="F13" s="60">
        <v>5176.3215</v>
      </c>
      <c r="G13" s="30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13" s="30"/>
      <c r="I13" s="61">
        <v>3.1109999999999999E-2</v>
      </c>
      <c r="J13" s="61">
        <v>3.0849999999999999E-2</v>
      </c>
      <c r="K13" s="67" cm="1">
        <f t="array" ref="K13">IFERROR(SUMPRODUCT((Table3[Entry]),(Table3[Entry Position Size]) * (Table3[Trade ID] = B13)) / SUMIF(Table3[Trade ID], B13, Table3[Entry Position Size]), "Check Data")</f>
        <v>3.110075669209739E-2</v>
      </c>
      <c r="L13" s="67" cm="1">
        <f t="array" ref="L13">IFERROR(SUMPRODUCT((Table3[[Exit ]]),(Table3[Exit Position Size]) * (Table3[Trade ID] = B13)) / SUMIF(Table3[Trade ID], B13, Table3[Exit Position Size]), "Check Data")</f>
        <v>3.0849812262450392E-2</v>
      </c>
      <c r="M13" s="62"/>
      <c r="N13" s="67"/>
      <c r="O13" s="67"/>
      <c r="P13" s="30"/>
      <c r="Q13" s="30"/>
      <c r="R13" s="62"/>
      <c r="S13" s="62"/>
      <c r="T13" s="62"/>
    </row>
    <row r="14" spans="2:20" x14ac:dyDescent="0.25">
      <c r="B14" s="18">
        <v>7</v>
      </c>
      <c r="C14" s="31"/>
      <c r="D14" s="65"/>
      <c r="E14" s="60">
        <v>1857.2670000000001</v>
      </c>
      <c r="F14" s="60">
        <v>3394.6</v>
      </c>
      <c r="G14" s="30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14" s="30"/>
      <c r="I14" s="61">
        <v>3.1109999999999999E-2</v>
      </c>
      <c r="J14" s="61">
        <v>3.0859999999999999E-2</v>
      </c>
      <c r="K14" s="67" cm="1">
        <f t="array" ref="K14">IFERROR(SUMPRODUCT((Table3[Entry]),(Table3[Entry Position Size]) * (Table3[Trade ID] = B14)) / SUMIF(Table3[Trade ID], B14, Table3[Entry Position Size]), "Check Data")</f>
        <v>3.110075669209739E-2</v>
      </c>
      <c r="L14" s="67" cm="1">
        <f t="array" ref="L14">IFERROR(SUMPRODUCT((Table3[[Exit ]]),(Table3[Exit Position Size]) * (Table3[Trade ID] = B14)) / SUMIF(Table3[Trade ID], B14, Table3[Exit Position Size]), "Check Data")</f>
        <v>3.0849812262450392E-2</v>
      </c>
      <c r="M14" s="62"/>
      <c r="N14" s="67"/>
      <c r="O14" s="67"/>
      <c r="P14" s="30"/>
      <c r="Q14" s="30"/>
      <c r="R14" s="62"/>
      <c r="S14" s="62"/>
      <c r="T14" s="62"/>
    </row>
    <row r="15" spans="2:20" x14ac:dyDescent="0.25">
      <c r="B15" s="18">
        <v>7</v>
      </c>
      <c r="C15" s="31"/>
      <c r="D15" s="65"/>
      <c r="E15" s="60">
        <v>1413.4949999999999</v>
      </c>
      <c r="F15" s="60">
        <v>3673.5744</v>
      </c>
      <c r="G15" s="30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15" s="30"/>
      <c r="I15" s="61">
        <v>3.1099999999999999E-2</v>
      </c>
      <c r="J15" s="61">
        <v>3.0859999999999999E-2</v>
      </c>
      <c r="K15" s="67" cm="1">
        <f t="array" ref="K15">IFERROR(SUMPRODUCT((Table3[Entry]),(Table3[Entry Position Size]) * (Table3[Trade ID] = B15)) / SUMIF(Table3[Trade ID], B15, Table3[Entry Position Size]), "Check Data")</f>
        <v>3.110075669209739E-2</v>
      </c>
      <c r="L15" s="67" cm="1">
        <f t="array" ref="L15">IFERROR(SUMPRODUCT((Table3[[Exit ]]),(Table3[Exit Position Size]) * (Table3[Trade ID] = B15)) / SUMIF(Table3[Trade ID], B15, Table3[Exit Position Size]), "Check Data")</f>
        <v>3.0849812262450392E-2</v>
      </c>
      <c r="M15" s="62"/>
      <c r="N15" s="67"/>
      <c r="O15" s="67"/>
      <c r="P15" s="30"/>
      <c r="Q15" s="30"/>
      <c r="R15" s="62"/>
      <c r="S15" s="62"/>
      <c r="T15" s="62"/>
    </row>
    <row r="16" spans="2:20" x14ac:dyDescent="0.25">
      <c r="B16" s="18">
        <v>7</v>
      </c>
      <c r="C16" s="31"/>
      <c r="D16" s="65"/>
      <c r="E16" s="60">
        <v>5971.2</v>
      </c>
      <c r="F16" s="60"/>
      <c r="G16" s="30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16" s="30"/>
      <c r="I16" s="61">
        <v>3.1099999999999999E-2</v>
      </c>
      <c r="J16" s="61"/>
      <c r="K16" s="67" cm="1">
        <f t="array" ref="K16">IFERROR(SUMPRODUCT((Table3[Entry]),(Table3[Entry Position Size]) * (Table3[Trade ID] = B16)) / SUMIF(Table3[Trade ID], B16, Table3[Entry Position Size]), "Check Data")</f>
        <v>3.110075669209739E-2</v>
      </c>
      <c r="L16" s="67" cm="1">
        <f t="array" ref="L16">IFERROR(SUMPRODUCT((Table3[[Exit ]]),(Table3[Exit Position Size]) * (Table3[Trade ID] = B16)) / SUMIF(Table3[Trade ID], B16, Table3[Exit Position Size]), "Check Data")</f>
        <v>3.0849812262450392E-2</v>
      </c>
      <c r="M16" s="62"/>
      <c r="N16" s="67"/>
      <c r="O16" s="67"/>
      <c r="P16" s="30"/>
      <c r="Q16" s="30"/>
      <c r="R16" s="62"/>
      <c r="S16" s="62"/>
      <c r="T16" s="62"/>
    </row>
    <row r="17" spans="1:20" x14ac:dyDescent="0.25">
      <c r="B17" s="18">
        <v>7</v>
      </c>
      <c r="C17" s="31"/>
      <c r="D17" s="65"/>
      <c r="E17" s="60">
        <v>3419.9</v>
      </c>
      <c r="F17" s="60"/>
      <c r="G17" s="30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17" s="30"/>
      <c r="I17" s="61">
        <v>3.109E-2</v>
      </c>
      <c r="J17" s="61"/>
      <c r="K17" s="67" cm="1">
        <f t="array" ref="K17">IFERROR(SUMPRODUCT((Table3[Entry]),(Table3[Entry Position Size]) * (Table3[Trade ID] = B17)) / SUMIF(Table3[Trade ID], B17, Table3[Entry Position Size]), "Check Data")</f>
        <v>3.110075669209739E-2</v>
      </c>
      <c r="L17" s="67" cm="1">
        <f t="array" ref="L17">IFERROR(SUMPRODUCT((Table3[[Exit ]]),(Table3[Exit Position Size]) * (Table3[Trade ID] = B17)) / SUMIF(Table3[Trade ID], B17, Table3[Exit Position Size]), "Check Data")</f>
        <v>3.0849812262450392E-2</v>
      </c>
      <c r="M17" s="62"/>
      <c r="N17" s="67"/>
      <c r="O17" s="67"/>
      <c r="P17" s="30"/>
      <c r="Q17" s="30"/>
      <c r="R17" s="62"/>
      <c r="S17" s="62"/>
      <c r="T17" s="62"/>
    </row>
    <row r="18" spans="1:20" x14ac:dyDescent="0.25">
      <c r="A18" s="59"/>
      <c r="B18" s="18">
        <v>7</v>
      </c>
      <c r="C18" s="31"/>
      <c r="D18" s="65"/>
      <c r="E18" s="60">
        <v>3337.8224</v>
      </c>
      <c r="F18" s="60"/>
      <c r="G18" s="30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18" s="30"/>
      <c r="I18" s="61">
        <v>3.109E-2</v>
      </c>
      <c r="J18" s="61"/>
      <c r="K18" s="67" cm="1">
        <f t="array" ref="K18">IFERROR(SUMPRODUCT((Table3[Entry]),(Table3[Entry Position Size]) * (Table3[Trade ID] = B18)) / SUMIF(Table3[Trade ID], B18, Table3[Entry Position Size]), "Check Data")</f>
        <v>3.110075669209739E-2</v>
      </c>
      <c r="L18" s="67" cm="1">
        <f t="array" ref="L18">IFERROR(SUMPRODUCT((Table3[[Exit ]]),(Table3[Exit Position Size]) * (Table3[Trade ID] = B18)) / SUMIF(Table3[Trade ID], B18, Table3[Exit Position Size]), "Check Data")</f>
        <v>3.0849812262450392E-2</v>
      </c>
      <c r="M18" s="62"/>
      <c r="N18" s="67"/>
      <c r="O18" s="77"/>
      <c r="P18" s="30"/>
      <c r="Q18" s="30"/>
      <c r="R18" s="62"/>
      <c r="S18" s="62"/>
      <c r="T18" s="62"/>
    </row>
    <row r="19" spans="1:20" x14ac:dyDescent="0.25">
      <c r="B19" s="18">
        <v>8</v>
      </c>
      <c r="C19" s="61" t="s">
        <v>59</v>
      </c>
      <c r="D19" s="65">
        <v>20</v>
      </c>
      <c r="E19" s="60">
        <v>5608.8576000000003</v>
      </c>
      <c r="F19" s="60">
        <v>593.81759999999997</v>
      </c>
      <c r="G19" s="67">
        <f>IF(Table3[[#This Row],[Trade ID]]&lt;&gt;"", IF(COUNTIF(INDEX(Table3[Trade ID],1):Table3[[#This Row],[Trade ID]], Table3[[#This Row],[Trade ID]])=1, SUMIFS(Table3[Entry Position Size], Table3[Trade ID], Table3[[#This Row],[Trade ID]]), ""), "")</f>
        <v>18927.854200000002</v>
      </c>
      <c r="H19" s="67">
        <f>Table3[[#This Row],[Position Size]]/Table3[[#This Row],[Leverage]]</f>
        <v>946.39271000000008</v>
      </c>
      <c r="I19" s="61">
        <v>3.0720000000000001E-2</v>
      </c>
      <c r="J19" s="61">
        <v>3.0720000000000001E-2</v>
      </c>
      <c r="K19" s="30" cm="1">
        <f t="array" ref="K19">IFERROR(SUMPRODUCT((Table3[Entry]),(Table3[Entry Position Size]) * (Table3[Trade ID] = B19)) / SUMIF(Table3[Trade ID], B19, Table3[Entry Position Size]), "Check Data")</f>
        <v>3.072703671766449E-2</v>
      </c>
      <c r="L19" s="67" cm="1">
        <f t="array" ref="L19">IFERROR(SUMPRODUCT((Table3[[Exit ]]),(Table3[Exit Position Size]) * (Table3[Trade ID] = B19)) / SUMIF(Table3[Trade ID], B19, Table3[Exit Position Size]), "Check Data")</f>
        <v>3.0713537107860938E-2</v>
      </c>
      <c r="M19" s="62"/>
      <c r="N19" s="67"/>
      <c r="O19" s="67"/>
      <c r="P19" s="30"/>
      <c r="Q19" s="30"/>
      <c r="R19" s="64"/>
      <c r="S19" s="18"/>
    </row>
    <row r="20" spans="1:20" x14ac:dyDescent="0.25">
      <c r="B20" s="18">
        <v>8</v>
      </c>
      <c r="C20" s="31"/>
      <c r="D20" s="65"/>
      <c r="E20" s="60">
        <v>3380.3</v>
      </c>
      <c r="F20" s="60">
        <v>6098.2272000000003</v>
      </c>
      <c r="G20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20" s="67"/>
      <c r="I20" s="61">
        <v>3.073E-2</v>
      </c>
      <c r="J20" s="61">
        <v>3.0720000000000001E-2</v>
      </c>
      <c r="K20" s="30" cm="1">
        <f t="array" ref="K20">IFERROR(SUMPRODUCT((Table3[Entry]),(Table3[Entry Position Size]) * (Table3[Trade ID] = B20)) / SUMIF(Table3[Trade ID], B20, Table3[Entry Position Size]), "Check Data")</f>
        <v>3.072703671766449E-2</v>
      </c>
      <c r="L20" s="67" cm="1">
        <f t="array" ref="L20">IFERROR(SUMPRODUCT((Table3[[Exit ]]),(Table3[Exit Position Size]) * (Table3[Trade ID] = B20)) / SUMIF(Table3[Trade ID], B20, Table3[Exit Position Size]), "Check Data")</f>
        <v>3.0713537107860938E-2</v>
      </c>
      <c r="M20" s="62"/>
      <c r="N20" s="67"/>
      <c r="O20" s="67"/>
      <c r="P20" s="30"/>
      <c r="Q20" s="30"/>
      <c r="R20" s="18"/>
    </row>
    <row r="21" spans="1:20" x14ac:dyDescent="0.25">
      <c r="B21" s="18">
        <v>8</v>
      </c>
      <c r="C21" s="31"/>
      <c r="D21" s="65"/>
      <c r="E21" s="60">
        <v>9938.6965999999993</v>
      </c>
      <c r="F21" s="60">
        <v>12227.4936</v>
      </c>
      <c r="G21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21" s="67"/>
      <c r="I21" s="61">
        <v>3.073E-2</v>
      </c>
      <c r="J21" s="61">
        <v>3.0710000000000001E-2</v>
      </c>
      <c r="K21" s="30" cm="1">
        <f t="array" ref="K21">IFERROR(SUMPRODUCT((Table3[Entry]),(Table3[Entry Position Size]) * (Table3[Trade ID] = B21)) / SUMIF(Table3[Trade ID], B21, Table3[Entry Position Size]), "Check Data")</f>
        <v>3.072703671766449E-2</v>
      </c>
      <c r="L21" s="67" cm="1">
        <f t="array" ref="L21">IFERROR(SUMPRODUCT((Table3[[Exit ]]),(Table3[Exit Position Size]) * (Table3[Trade ID] = B21)) / SUMIF(Table3[Trade ID], B21, Table3[Exit Position Size]), "Check Data")</f>
        <v>3.0713537107860938E-2</v>
      </c>
      <c r="M21" s="62"/>
      <c r="N21" s="67"/>
      <c r="O21" s="67"/>
      <c r="P21" s="30"/>
      <c r="Q21" s="30"/>
      <c r="R21" s="18"/>
    </row>
    <row r="22" spans="1:20" x14ac:dyDescent="0.25">
      <c r="B22" s="18">
        <v>9</v>
      </c>
      <c r="C22" s="61" t="s">
        <v>59</v>
      </c>
      <c r="D22" s="65">
        <v>20</v>
      </c>
      <c r="E22" s="60">
        <v>8896.4814000000006</v>
      </c>
      <c r="F22" s="61">
        <v>8200.1337000000003</v>
      </c>
      <c r="G22" s="67">
        <f>IF(Table3[[#This Row],[Trade ID]]&lt;&gt;"", IF(COUNTIF(INDEX(Table3[Trade ID],1):Table3[[#This Row],[Trade ID]], Table3[[#This Row],[Trade ID]])=1, SUMIFS(Table3[Entry Position Size], Table3[Trade ID], Table3[[#This Row],[Trade ID]]), ""), "")</f>
        <v>19845.166400000002</v>
      </c>
      <c r="H22" s="67">
        <f>Table3[[#This Row],[Position Size]]/Table3[[#This Row],[Leverage]]</f>
        <v>992.25832000000014</v>
      </c>
      <c r="I22" s="61">
        <v>3.057E-2</v>
      </c>
      <c r="J22" s="61">
        <v>3.039E-2</v>
      </c>
      <c r="K22" s="30" cm="1">
        <f t="array" ref="K22">IFERROR(SUMPRODUCT((Table3[Entry]),(Table3[Entry Position Size]) * (Table3[Trade ID] = B22)) / SUMIF(Table3[Trade ID], B22, Table3[Entry Position Size]), "Check Data")</f>
        <v>3.0578070592141772E-2</v>
      </c>
      <c r="L22" s="67" cm="1">
        <f t="array" ref="L22">IFERROR(SUMPRODUCT((Table3[[Exit ]]),(Table3[Exit Position Size]) * (Table3[Trade ID] = B22)) / SUMIF(Table3[Trade ID], B22, Table3[Exit Position Size]), "Check Data")</f>
        <v>3.0384158426561832E-2</v>
      </c>
      <c r="M22" s="62"/>
      <c r="N22" s="67"/>
      <c r="O22" s="67"/>
      <c r="P22" s="30"/>
      <c r="Q22" s="30"/>
      <c r="R22" s="18"/>
    </row>
    <row r="23" spans="1:20" x14ac:dyDescent="0.25">
      <c r="B23" s="18">
        <v>9</v>
      </c>
      <c r="C23" s="31"/>
      <c r="D23" s="65"/>
      <c r="E23" s="60">
        <v>5881.1455999999998</v>
      </c>
      <c r="F23" s="61">
        <v>3341.8</v>
      </c>
      <c r="G23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23" s="67"/>
      <c r="I23" s="61">
        <v>3.058E-2</v>
      </c>
      <c r="J23" s="61">
        <v>3.0380000000000001E-2</v>
      </c>
      <c r="K23" s="30" cm="1">
        <f t="array" ref="K23">IFERROR(SUMPRODUCT((Table3[Entry]),(Table3[Entry Position Size]) * (Table3[Trade ID] = B23)) / SUMIF(Table3[Trade ID], B23, Table3[Entry Position Size]), "Check Data")</f>
        <v>3.0578070592141772E-2</v>
      </c>
      <c r="L23" s="67" cm="1">
        <f t="array" ref="L23">IFERROR(SUMPRODUCT((Table3[[Exit ]]),(Table3[Exit Position Size]) * (Table3[Trade ID] = B23)) / SUMIF(Table3[Trade ID], B23, Table3[Exit Position Size]), "Check Data")</f>
        <v>3.0384158426561832E-2</v>
      </c>
      <c r="M23" s="62"/>
      <c r="N23" s="67"/>
      <c r="O23" s="67"/>
      <c r="P23" s="30"/>
      <c r="Q23" s="62"/>
      <c r="R23" s="18"/>
    </row>
    <row r="24" spans="1:20" x14ac:dyDescent="0.25">
      <c r="B24" s="18">
        <v>9</v>
      </c>
      <c r="C24" s="31"/>
      <c r="D24" s="65"/>
      <c r="E24" s="60">
        <v>3364.9</v>
      </c>
      <c r="F24" s="61">
        <v>8177.3846000000003</v>
      </c>
      <c r="G24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24" s="67"/>
      <c r="I24" s="61">
        <v>3.0589999999999999E-2</v>
      </c>
      <c r="J24" s="61">
        <v>3.0380000000000001E-2</v>
      </c>
      <c r="K24" s="30" cm="1">
        <f t="array" ref="K24">IFERROR(SUMPRODUCT((Table3[Entry]),(Table3[Entry Position Size]) * (Table3[Trade ID] = B24)) / SUMIF(Table3[Trade ID], B24, Table3[Entry Position Size]), "Check Data")</f>
        <v>3.0578070592141772E-2</v>
      </c>
      <c r="L24" s="67" cm="1">
        <f t="array" ref="L24">IFERROR(SUMPRODUCT((Table3[[Exit ]]),(Table3[Exit Position Size]) * (Table3[Trade ID] = B24)) / SUMIF(Table3[Trade ID], B24, Table3[Exit Position Size]), "Check Data")</f>
        <v>3.0384158426561832E-2</v>
      </c>
      <c r="M24" s="62"/>
      <c r="N24" s="67"/>
      <c r="O24" s="67"/>
      <c r="P24" s="30"/>
      <c r="Q24" s="62"/>
      <c r="R24" s="18"/>
    </row>
    <row r="25" spans="1:20" x14ac:dyDescent="0.25">
      <c r="B25" s="18">
        <v>9</v>
      </c>
      <c r="C25" s="31"/>
      <c r="D25" s="65"/>
      <c r="E25" s="60">
        <v>1702.6394</v>
      </c>
      <c r="F25" s="60"/>
      <c r="G25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25" s="67"/>
      <c r="I25" s="61">
        <v>3.0589999999999999E-2</v>
      </c>
      <c r="J25" s="61"/>
      <c r="K25" s="30" cm="1">
        <f t="array" ref="K25">IFERROR(SUMPRODUCT((Table3[Entry]),(Table3[Entry Position Size]) * (Table3[Trade ID] = B25)) / SUMIF(Table3[Trade ID], B25, Table3[Entry Position Size]), "Check Data")</f>
        <v>3.0578070592141772E-2</v>
      </c>
      <c r="L25" s="67" cm="1">
        <f t="array" ref="L25">IFERROR(SUMPRODUCT((Table3[[Exit ]]),(Table3[Exit Position Size]) * (Table3[Trade ID] = B25)) / SUMIF(Table3[Trade ID], B25, Table3[Exit Position Size]), "Check Data")</f>
        <v>3.0384158426561832E-2</v>
      </c>
      <c r="M25" s="62"/>
      <c r="N25" s="78"/>
      <c r="O25" s="67"/>
      <c r="P25" s="30"/>
      <c r="Q25" s="62"/>
      <c r="R25" s="18"/>
    </row>
    <row r="26" spans="1:20" x14ac:dyDescent="0.25">
      <c r="B26" s="18">
        <v>10</v>
      </c>
      <c r="C26" s="18" t="s">
        <v>31</v>
      </c>
      <c r="D26" s="65">
        <v>34</v>
      </c>
      <c r="E26" s="60">
        <v>32743.936000000002</v>
      </c>
      <c r="F26" s="60">
        <v>33669.987200000003</v>
      </c>
      <c r="G26" s="67">
        <f>IF(Table3[[#This Row],[Trade ID]]&lt;&gt;"", IF(COUNTIF(INDEX(Table3[Trade ID],1):Table3[[#This Row],[Trade ID]], Table3[[#This Row],[Trade ID]])=1, SUMIFS(Table3[Entry Position Size], Table3[Trade ID], Table3[[#This Row],[Trade ID]]), ""), "")</f>
        <v>33639.277999999998</v>
      </c>
      <c r="H26" s="67">
        <f>Table3[[#This Row],[Position Size]]/Table3[[#This Row],[Leverage]]</f>
        <v>989.39052941176465</v>
      </c>
      <c r="I26" s="61">
        <v>2558.12</v>
      </c>
      <c r="J26" s="61">
        <v>2566.31</v>
      </c>
      <c r="K26" s="30" cm="1">
        <f t="array" ref="K26">IFERROR(SUMPRODUCT((Table3[Entry]),(Table3[Entry Position Size]) * (Table3[Trade ID] = B26)) / SUMIF(Table3[Trade ID], B26, Table3[Entry Position Size]), "Check Data")</f>
        <v>2558.1200000000003</v>
      </c>
      <c r="L26" s="67" cm="1">
        <f t="array" ref="L26">IFERROR(SUMPRODUCT((Table3[[Exit ]]),(Table3[Exit Position Size]) * (Table3[Trade ID] = B26)) / SUMIF(Table3[Trade ID], B26, Table3[Exit Position Size]), "Check Data")</f>
        <v>2566.3101140713698</v>
      </c>
      <c r="M26" s="62"/>
      <c r="N26" s="67"/>
      <c r="O26" s="67"/>
      <c r="P26" s="30"/>
      <c r="Q26" s="28"/>
      <c r="R26" s="18"/>
    </row>
    <row r="27" spans="1:20" x14ac:dyDescent="0.25">
      <c r="B27" s="18">
        <v>10</v>
      </c>
      <c r="C27" s="18"/>
      <c r="D27" s="65"/>
      <c r="E27" s="60">
        <v>895.34199999999998</v>
      </c>
      <c r="F27" s="60">
        <v>51.326799999999999</v>
      </c>
      <c r="G27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27" s="67"/>
      <c r="I27" s="61">
        <v>2558.12</v>
      </c>
      <c r="J27" s="61">
        <v>2566.34</v>
      </c>
      <c r="K27" s="30" cm="1">
        <f t="array" ref="K27">IFERROR(SUMPRODUCT((Table3[Entry]),(Table3[Entry Position Size]) * (Table3[Trade ID] = B27)) / SUMIF(Table3[Trade ID], B27, Table3[Entry Position Size]), "Check Data")</f>
        <v>2558.1200000000003</v>
      </c>
      <c r="L27" s="67" cm="1">
        <f t="array" ref="L27">IFERROR(SUMPRODUCT((Table3[[Exit ]]),(Table3[Exit Position Size]) * (Table3[Trade ID] = B27)) / SUMIF(Table3[Trade ID], B27, Table3[Exit Position Size]), "Check Data")</f>
        <v>2566.3101140713698</v>
      </c>
      <c r="M27" s="62"/>
      <c r="N27" s="67"/>
      <c r="O27" s="67"/>
      <c r="P27" s="30"/>
      <c r="Q27" s="28"/>
      <c r="R27" s="18"/>
    </row>
    <row r="28" spans="1:20" x14ac:dyDescent="0.25">
      <c r="B28" s="18">
        <v>10</v>
      </c>
      <c r="C28" s="18"/>
      <c r="D28" s="65"/>
      <c r="E28" s="60"/>
      <c r="F28" s="60">
        <v>25.664000000000001</v>
      </c>
      <c r="G28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28" s="67"/>
      <c r="I28" s="61"/>
      <c r="J28" s="61">
        <v>2566.4</v>
      </c>
      <c r="K28" s="30" cm="1">
        <f t="array" ref="K28">IFERROR(SUMPRODUCT((Table3[Entry]),(Table3[Entry Position Size]) * (Table3[Trade ID] = B28)) / SUMIF(Table3[Trade ID], B28, Table3[Entry Position Size]), "Check Data")</f>
        <v>2558.1200000000003</v>
      </c>
      <c r="L28" s="67" cm="1">
        <f t="array" ref="L28">IFERROR(SUMPRODUCT((Table3[[Exit ]]),(Table3[Exit Position Size]) * (Table3[Trade ID] = B28)) / SUMIF(Table3[Trade ID], B28, Table3[Exit Position Size]), "Check Data")</f>
        <v>2566.3101140713698</v>
      </c>
      <c r="M28" s="62"/>
      <c r="N28" s="67"/>
      <c r="O28" s="67"/>
      <c r="P28" s="30"/>
      <c r="Q28" s="28"/>
      <c r="R28" s="18"/>
    </row>
    <row r="29" spans="1:20" x14ac:dyDescent="0.25">
      <c r="B29" s="18">
        <v>11</v>
      </c>
      <c r="C29" s="18" t="s">
        <v>31</v>
      </c>
      <c r="D29" s="65">
        <v>20</v>
      </c>
      <c r="E29" s="60">
        <v>2466.1055999999999</v>
      </c>
      <c r="F29" s="60">
        <v>6423.8585999999996</v>
      </c>
      <c r="G29" s="67">
        <f>IF(Table3[[#This Row],[Trade ID]]&lt;&gt;"", IF(COUNTIF(INDEX(Table3[Trade ID],1):Table3[[#This Row],[Trade ID]], Table3[[#This Row],[Trade ID]])=1, SUMIFS(Table3[Entry Position Size], Table3[Trade ID], Table3[[#This Row],[Trade ID]]), ""), "")</f>
        <v>18880.770500000002</v>
      </c>
      <c r="H29" s="67">
        <f>Table3[[#This Row],[Position Size]]/Table3[[#This Row],[Leverage]]</f>
        <v>944.03852500000016</v>
      </c>
      <c r="I29" s="61">
        <v>3.304E-2</v>
      </c>
      <c r="J29" s="61">
        <v>3.2820000000000002E-2</v>
      </c>
      <c r="K29" s="30" cm="1">
        <f t="array" ref="K29">IFERROR(SUMPRODUCT((Table3[Entry]),(Table3[Entry Position Size]) * (Table3[Trade ID] = B29)) / SUMIF(Table3[Trade ID], B29, Table3[Entry Position Size]), "Check Data")</f>
        <v>3.300834813436241E-2</v>
      </c>
      <c r="L29" s="67" cm="1">
        <f t="array" ref="L29">IFERROR(SUMPRODUCT((Table3[[Exit ]]),(Table3[Exit Position Size]) * (Table3[Trade ID] = B29)) / SUMIF(Table3[Trade ID], B29, Table3[Exit Position Size]), "Check Data")</f>
        <v>3.2826578832561307E-2</v>
      </c>
      <c r="M29" s="62"/>
      <c r="N29" s="67"/>
      <c r="O29" s="66"/>
      <c r="P29" s="30"/>
      <c r="Q29" s="28"/>
      <c r="R29" s="18"/>
    </row>
    <row r="30" spans="1:20" x14ac:dyDescent="0.25">
      <c r="B30" s="18">
        <v>11</v>
      </c>
      <c r="C30" s="18"/>
      <c r="D30" s="65"/>
      <c r="E30" s="60">
        <v>253.00980000000001</v>
      </c>
      <c r="F30" s="60">
        <v>3611.3</v>
      </c>
      <c r="G30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30" s="67"/>
      <c r="I30" s="61">
        <v>3.3029999999999997E-2</v>
      </c>
      <c r="J30" s="61">
        <v>3.2829999999999998E-2</v>
      </c>
      <c r="K30" s="30" cm="1">
        <f t="array" ref="K30">IFERROR(SUMPRODUCT((Table3[Entry]),(Table3[Entry Position Size]) * (Table3[Trade ID] = B30)) / SUMIF(Table3[Trade ID], B30, Table3[Entry Position Size]), "Check Data")</f>
        <v>3.300834813436241E-2</v>
      </c>
      <c r="L30" s="67" cm="1">
        <f t="array" ref="L30">IFERROR(SUMPRODUCT((Table3[[Exit ]]),(Table3[Exit Position Size]) * (Table3[Trade ID] = B30)) / SUMIF(Table3[Trade ID], B30, Table3[Exit Position Size]), "Check Data")</f>
        <v>3.2826578832561307E-2</v>
      </c>
      <c r="M30" s="62"/>
      <c r="N30" s="67"/>
      <c r="O30" s="66"/>
      <c r="P30" s="30"/>
      <c r="Q30" s="28"/>
      <c r="R30" s="18"/>
    </row>
    <row r="31" spans="1:20" x14ac:dyDescent="0.25">
      <c r="B31" s="18">
        <v>11</v>
      </c>
      <c r="C31" s="18"/>
      <c r="D31" s="65"/>
      <c r="E31" s="60">
        <v>4232.8338000000003</v>
      </c>
      <c r="F31" s="60">
        <v>8741.6440999999995</v>
      </c>
      <c r="G31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31" s="67"/>
      <c r="I31" s="61">
        <v>3.3020000000000001E-2</v>
      </c>
      <c r="J31" s="61">
        <v>3.2829999999999998E-2</v>
      </c>
      <c r="K31" s="30" cm="1">
        <f t="array" ref="K31">IFERROR(SUMPRODUCT((Table3[Entry]),(Table3[Entry Position Size]) * (Table3[Trade ID] = B31)) / SUMIF(Table3[Trade ID], B31, Table3[Entry Position Size]), "Check Data")</f>
        <v>3.300834813436241E-2</v>
      </c>
      <c r="L31" s="67" cm="1">
        <f t="array" ref="L31">IFERROR(SUMPRODUCT((Table3[[Exit ]]),(Table3[Exit Position Size]) * (Table3[Trade ID] = B31)) / SUMIF(Table3[Trade ID], B31, Table3[Exit Position Size]), "Check Data")</f>
        <v>3.2826578832561307E-2</v>
      </c>
      <c r="M31" s="62"/>
      <c r="N31" s="67"/>
      <c r="O31" s="66"/>
      <c r="P31" s="30"/>
      <c r="Q31" s="28"/>
      <c r="R31" s="18"/>
    </row>
    <row r="32" spans="1:20" x14ac:dyDescent="0.25">
      <c r="B32" s="18">
        <v>11</v>
      </c>
      <c r="C32" s="18"/>
      <c r="D32" s="65"/>
      <c r="E32" s="60">
        <v>829.87139999999999</v>
      </c>
      <c r="F32" s="60"/>
      <c r="G32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32" s="67"/>
      <c r="I32" s="61">
        <v>3.3009999999999998E-2</v>
      </c>
      <c r="J32" s="61"/>
      <c r="K32" s="30" cm="1">
        <f t="array" ref="K32">IFERROR(SUMPRODUCT((Table3[Entry]),(Table3[Entry Position Size]) * (Table3[Trade ID] = B32)) / SUMIF(Table3[Trade ID], B32, Table3[Entry Position Size]), "Check Data")</f>
        <v>3.300834813436241E-2</v>
      </c>
      <c r="L32" s="67" cm="1">
        <f t="array" ref="L32">IFERROR(SUMPRODUCT((Table3[[Exit ]]),(Table3[Exit Position Size]) * (Table3[Trade ID] = B32)) / SUMIF(Table3[Trade ID], B32, Table3[Exit Position Size]), "Check Data")</f>
        <v>3.2826578832561307E-2</v>
      </c>
      <c r="M32" s="62"/>
      <c r="N32" s="67"/>
      <c r="O32" s="66"/>
      <c r="P32" s="30"/>
      <c r="Q32" s="28"/>
      <c r="R32" s="18"/>
    </row>
    <row r="33" spans="2:18" x14ac:dyDescent="0.25">
      <c r="B33" s="18">
        <v>11</v>
      </c>
      <c r="C33" s="18"/>
      <c r="D33" s="65"/>
      <c r="E33" s="60">
        <v>6941.88</v>
      </c>
      <c r="F33" s="60"/>
      <c r="G33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33" s="67"/>
      <c r="I33" s="61">
        <v>3.3000000000000002E-2</v>
      </c>
      <c r="J33" s="61"/>
      <c r="K33" s="30" cm="1">
        <f t="array" ref="K33">IFERROR(SUMPRODUCT((Table3[Entry]),(Table3[Entry Position Size]) * (Table3[Trade ID] = B33)) / SUMIF(Table3[Trade ID], B33, Table3[Entry Position Size]), "Check Data")</f>
        <v>3.300834813436241E-2</v>
      </c>
      <c r="L33" s="67" cm="1">
        <f t="array" ref="L33">IFERROR(SUMPRODUCT((Table3[[Exit ]]),(Table3[Exit Position Size]) * (Table3[Trade ID] = B33)) / SUMIF(Table3[Trade ID], B33, Table3[Exit Position Size]), "Check Data")</f>
        <v>3.2826578832561307E-2</v>
      </c>
      <c r="M33" s="62"/>
      <c r="N33" s="67"/>
      <c r="O33" s="66"/>
      <c r="P33" s="30"/>
      <c r="Q33" s="28"/>
      <c r="R33" s="18"/>
    </row>
    <row r="34" spans="2:18" x14ac:dyDescent="0.25">
      <c r="B34" s="18">
        <v>11</v>
      </c>
      <c r="C34" s="18"/>
      <c r="D34" s="65"/>
      <c r="E34" s="60">
        <v>3628.9</v>
      </c>
      <c r="F34" s="60"/>
      <c r="G34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34" s="67"/>
      <c r="I34" s="61">
        <v>3.2989999999999998E-2</v>
      </c>
      <c r="J34" s="61"/>
      <c r="K34" s="30" cm="1">
        <f t="array" ref="K34">IFERROR(SUMPRODUCT((Table3[Entry]),(Table3[Entry Position Size]) * (Table3[Trade ID] = B34)) / SUMIF(Table3[Trade ID], B34, Table3[Entry Position Size]), "Check Data")</f>
        <v>3.300834813436241E-2</v>
      </c>
      <c r="L34" s="67" cm="1">
        <f t="array" ref="L34">IFERROR(SUMPRODUCT((Table3[[Exit ]]),(Table3[Exit Position Size]) * (Table3[Trade ID] = B34)) / SUMIF(Table3[Trade ID], B34, Table3[Exit Position Size]), "Check Data")</f>
        <v>3.2826578832561307E-2</v>
      </c>
      <c r="M34" s="62"/>
      <c r="N34" s="67"/>
      <c r="O34" s="66"/>
      <c r="P34" s="30"/>
      <c r="Q34" s="28"/>
      <c r="R34" s="18"/>
    </row>
    <row r="35" spans="2:18" x14ac:dyDescent="0.25">
      <c r="B35" s="18">
        <v>11</v>
      </c>
      <c r="C35" s="18"/>
      <c r="D35" s="65"/>
      <c r="E35" s="60">
        <v>528.16989999999998</v>
      </c>
      <c r="F35" s="60"/>
      <c r="G35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35" s="67"/>
      <c r="I35" s="61">
        <v>3.2989999999999998E-2</v>
      </c>
      <c r="J35" s="61"/>
      <c r="K35" s="30" cm="1">
        <f t="array" ref="K35">IFERROR(SUMPRODUCT((Table3[Entry]),(Table3[Entry Position Size]) * (Table3[Trade ID] = B35)) / SUMIF(Table3[Trade ID], B35, Table3[Entry Position Size]), "Check Data")</f>
        <v>3.300834813436241E-2</v>
      </c>
      <c r="L35" s="67" cm="1">
        <f t="array" ref="L35">IFERROR(SUMPRODUCT((Table3[[Exit ]]),(Table3[Exit Position Size]) * (Table3[Trade ID] = B35)) / SUMIF(Table3[Trade ID], B35, Table3[Exit Position Size]), "Check Data")</f>
        <v>3.2826578832561307E-2</v>
      </c>
      <c r="M35" s="62"/>
      <c r="N35" s="67"/>
      <c r="O35" s="66"/>
      <c r="P35" s="30"/>
      <c r="Q35" s="28"/>
      <c r="R35" s="18"/>
    </row>
    <row r="36" spans="2:18" x14ac:dyDescent="0.25">
      <c r="B36" s="18">
        <v>12</v>
      </c>
      <c r="C36" s="18" t="s">
        <v>31</v>
      </c>
      <c r="D36" s="65">
        <v>34</v>
      </c>
      <c r="E36" s="60">
        <v>2408.6741000000002</v>
      </c>
      <c r="F36" s="60">
        <v>5989.835</v>
      </c>
      <c r="G36" s="67">
        <f>IF(Table3[[#This Row],[Trade ID]]&lt;&gt;"", IF(COUNTIF(INDEX(Table3[Trade ID],1):Table3[[#This Row],[Trade ID]], Table3[[#This Row],[Trade ID]])=1, SUMIFS(Table3[Entry Position Size], Table3[Trade ID], Table3[[#This Row],[Trade ID]]), ""), "")</f>
        <v>31678.1823</v>
      </c>
      <c r="H36" s="67">
        <f>Table3[[#This Row],[Position Size]]/Table3[[#This Row],[Leverage]]</f>
        <v>931.71124411764708</v>
      </c>
      <c r="I36" s="61">
        <v>0.57609999999999995</v>
      </c>
      <c r="J36" s="61">
        <v>0.57650000000000001</v>
      </c>
      <c r="K36" s="30" cm="1">
        <f t="array" ref="K36">IFERROR(SUMPRODUCT((Table3[Entry]),(Table3[Entry Position Size]) * (Table3[Trade ID] = B36)) / SUMIF(Table3[Trade ID], B36, Table3[Entry Position Size]), "Check Data")</f>
        <v>0.57596695739041825</v>
      </c>
      <c r="L36" s="67" cm="1">
        <f t="array" ref="L36">IFERROR(SUMPRODUCT((Table3[[Exit ]]),(Table3[Exit Position Size]) * (Table3[Trade ID] = B36)) / SUMIF(Table3[Trade ID], B36, Table3[Exit Position Size]), "Check Data")</f>
        <v>0.57668818678519007</v>
      </c>
      <c r="M36" s="62"/>
      <c r="N36" s="67"/>
      <c r="O36" s="66"/>
      <c r="P36" s="30"/>
      <c r="Q36" s="28"/>
      <c r="R36" s="18"/>
    </row>
    <row r="37" spans="2:18" x14ac:dyDescent="0.25">
      <c r="B37" s="18">
        <v>12</v>
      </c>
      <c r="C37" s="18"/>
      <c r="D37" s="65"/>
      <c r="E37" s="60">
        <v>676.22400000000005</v>
      </c>
      <c r="F37" s="60">
        <v>6464.8392000000003</v>
      </c>
      <c r="G37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37" s="67"/>
      <c r="I37" s="61">
        <v>0.57599999999999996</v>
      </c>
      <c r="J37" s="61">
        <v>0.5766</v>
      </c>
      <c r="K37" s="30" cm="1">
        <f t="array" ref="K37">IFERROR(SUMPRODUCT((Table3[Entry]),(Table3[Entry Position Size]) * (Table3[Trade ID] = B37)) / SUMIF(Table3[Trade ID], B37, Table3[Entry Position Size]), "Check Data")</f>
        <v>0.57596695739041825</v>
      </c>
      <c r="L37" s="67" cm="1">
        <f t="array" ref="L37">IFERROR(SUMPRODUCT((Table3[[Exit ]]),(Table3[Exit Position Size]) * (Table3[Trade ID] = B37)) / SUMIF(Table3[Trade ID], B37, Table3[Exit Position Size]), "Check Data")</f>
        <v>0.57668818678519007</v>
      </c>
      <c r="M37" s="62"/>
      <c r="N37" s="67"/>
      <c r="O37" s="66"/>
      <c r="P37" s="30"/>
      <c r="Q37" s="28"/>
      <c r="R37" s="18"/>
    </row>
    <row r="38" spans="2:18" x14ac:dyDescent="0.25">
      <c r="B38" s="18">
        <v>12</v>
      </c>
      <c r="C38" s="18"/>
      <c r="D38" s="65"/>
      <c r="E38" s="60">
        <v>15717.312</v>
      </c>
      <c r="F38" s="60">
        <v>8385.7947000000004</v>
      </c>
      <c r="G38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38" s="67"/>
      <c r="I38" s="61">
        <v>0.57599999999999996</v>
      </c>
      <c r="J38" s="61">
        <v>0.57669999999999999</v>
      </c>
      <c r="K38" s="30" cm="1">
        <f t="array" ref="K38">IFERROR(SUMPRODUCT((Table3[Entry]),(Table3[Entry Position Size]) * (Table3[Trade ID] = B38)) / SUMIF(Table3[Trade ID], B38, Table3[Entry Position Size]), "Check Data")</f>
        <v>0.57596695739041825</v>
      </c>
      <c r="L38" s="67" cm="1">
        <f t="array" ref="L38">IFERROR(SUMPRODUCT((Table3[[Exit ]]),(Table3[Exit Position Size]) * (Table3[Trade ID] = B38)) / SUMIF(Table3[Trade ID], B38, Table3[Exit Position Size]), "Check Data")</f>
        <v>0.57668818678519007</v>
      </c>
      <c r="M38" s="62"/>
      <c r="N38" s="67"/>
      <c r="O38" s="66"/>
      <c r="P38" s="30"/>
      <c r="Q38" s="28"/>
      <c r="R38" s="18"/>
    </row>
    <row r="39" spans="2:18" x14ac:dyDescent="0.25">
      <c r="B39" s="18">
        <v>12</v>
      </c>
      <c r="C39" s="18"/>
      <c r="D39" s="65"/>
      <c r="E39" s="60">
        <v>12875.9722</v>
      </c>
      <c r="F39" s="60">
        <v>7057.1480000000001</v>
      </c>
      <c r="G39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39" s="67"/>
      <c r="I39" s="61">
        <v>0.57589999999999997</v>
      </c>
      <c r="J39" s="61">
        <v>0.57679999999999998</v>
      </c>
      <c r="K39" s="30" cm="1">
        <f t="array" ref="K39">IFERROR(SUMPRODUCT((Table3[Entry]),(Table3[Entry Position Size]) * (Table3[Trade ID] = B39)) / SUMIF(Table3[Trade ID], B39, Table3[Entry Position Size]), "Check Data")</f>
        <v>0.57596695739041825</v>
      </c>
      <c r="L39" s="67" cm="1">
        <f t="array" ref="L39">IFERROR(SUMPRODUCT((Table3[[Exit ]]),(Table3[Exit Position Size]) * (Table3[Trade ID] = B39)) / SUMIF(Table3[Trade ID], B39, Table3[Exit Position Size]), "Check Data")</f>
        <v>0.57668818678519007</v>
      </c>
      <c r="M39" s="62"/>
      <c r="N39" s="67"/>
      <c r="O39" s="66"/>
      <c r="P39" s="30"/>
      <c r="Q39" s="28"/>
      <c r="R39" s="18"/>
    </row>
    <row r="40" spans="2:18" x14ac:dyDescent="0.25">
      <c r="B40" s="18">
        <v>12</v>
      </c>
      <c r="C40" s="18"/>
      <c r="D40" s="65"/>
      <c r="E40" s="60"/>
      <c r="F40" s="60">
        <v>3820.2318</v>
      </c>
      <c r="G40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40" s="67"/>
      <c r="I40" s="61"/>
      <c r="J40" s="61">
        <v>0.57689999999999997</v>
      </c>
      <c r="K40" s="30" cm="1">
        <f t="array" ref="K40">IFERROR(SUMPRODUCT((Table3[Entry]),(Table3[Entry Position Size]) * (Table3[Trade ID] = B40)) / SUMIF(Table3[Trade ID], B40, Table3[Entry Position Size]), "Check Data")</f>
        <v>0.57596695739041825</v>
      </c>
      <c r="L40" s="67" cm="1">
        <f t="array" ref="L40">IFERROR(SUMPRODUCT((Table3[[Exit ]]),(Table3[Exit Position Size]) * (Table3[Trade ID] = B40)) / SUMIF(Table3[Trade ID], B40, Table3[Exit Position Size]), "Check Data")</f>
        <v>0.57668818678519007</v>
      </c>
      <c r="M40" s="62"/>
      <c r="N40" s="67"/>
      <c r="O40" s="66"/>
      <c r="P40" s="30"/>
      <c r="Q40" s="28"/>
      <c r="R40" s="18"/>
    </row>
    <row r="41" spans="2:18" x14ac:dyDescent="0.25">
      <c r="B41" s="18">
        <v>13</v>
      </c>
      <c r="C41" s="18" t="s">
        <v>31</v>
      </c>
      <c r="D41" s="65">
        <v>34</v>
      </c>
      <c r="E41" s="60">
        <v>33511.936000000002</v>
      </c>
      <c r="F41" s="60">
        <v>33453.254000000001</v>
      </c>
      <c r="G41" s="67">
        <f>IF(Table3[[#This Row],[Trade ID]]&lt;&gt;"", IF(COUNTIF(INDEX(Table3[Trade ID],1):Table3[[#This Row],[Trade ID]], Table3[[#This Row],[Trade ID]])=1, SUMIFS(Table3[Entry Position Size], Table3[Trade ID], Table3[[#This Row],[Trade ID]]), ""), "")</f>
        <v>33511.936000000002</v>
      </c>
      <c r="H41" s="67">
        <f>Table3[[#This Row],[Position Size]]/Table3[[#This Row],[Leverage]]</f>
        <v>985.64517647058824</v>
      </c>
      <c r="I41" s="61">
        <v>148.47999999999999</v>
      </c>
      <c r="J41" s="61">
        <v>148.22</v>
      </c>
      <c r="K41" s="30" cm="1">
        <f t="array" ref="K41">IFERROR(SUMPRODUCT((Table3[Entry]),(Table3[Entry Position Size]) * (Table3[Trade ID] = B41)) / SUMIF(Table3[Trade ID], B41, Table3[Entry Position Size]), "Check Data")</f>
        <v>148.47999999999999</v>
      </c>
      <c r="L41" s="67" cm="1">
        <f t="array" ref="L41">IFERROR(SUMPRODUCT((Table3[[Exit ]]),(Table3[Exit Position Size]) * (Table3[Trade ID] = B41)) / SUMIF(Table3[Trade ID], B41, Table3[Exit Position Size]), "Check Data")</f>
        <v>148.22</v>
      </c>
      <c r="M41" s="62"/>
      <c r="N41" s="67"/>
      <c r="O41" s="66"/>
      <c r="P41" s="30"/>
      <c r="Q41" s="28"/>
      <c r="R41" s="18"/>
    </row>
    <row r="42" spans="2:18" x14ac:dyDescent="0.25">
      <c r="B42" s="18">
        <v>14</v>
      </c>
      <c r="C42" s="18" t="s">
        <v>59</v>
      </c>
      <c r="D42" s="65">
        <v>34</v>
      </c>
      <c r="E42" s="60">
        <v>33459</v>
      </c>
      <c r="F42" s="60">
        <v>33540</v>
      </c>
      <c r="G42" s="67">
        <f>IF(Table3[[#This Row],[Trade ID]]&lt;&gt;"", IF(COUNTIF(INDEX(Table3[Trade ID],1):Table3[[#This Row],[Trade ID]], Table3[[#This Row],[Trade ID]])=1, SUMIFS(Table3[Entry Position Size], Table3[Trade ID], Table3[[#This Row],[Trade ID]]), ""), "")</f>
        <v>33459</v>
      </c>
      <c r="H42" s="67">
        <f>Table3[[#This Row],[Position Size]]/Table3[[#This Row],[Leverage]]</f>
        <v>984.08823529411768</v>
      </c>
      <c r="I42" s="61">
        <v>1.1153E-5</v>
      </c>
      <c r="J42" s="61">
        <v>1.118E-5</v>
      </c>
      <c r="K42" s="30" cm="1">
        <f t="array" ref="K42">IFERROR(SUMPRODUCT((Table3[Entry]),(Table3[Entry Position Size]) * (Table3[Trade ID] = B42)) / SUMIF(Table3[Trade ID], B42, Table3[Entry Position Size]), "Check Data")</f>
        <v>1.1153E-5</v>
      </c>
      <c r="L42" s="67" cm="1">
        <f t="array" ref="L42">IFERROR(SUMPRODUCT((Table3[[Exit ]]),(Table3[Exit Position Size]) * (Table3[Trade ID] = B42)) / SUMIF(Table3[Trade ID], B42, Table3[Exit Position Size]), "Check Data")</f>
        <v>1.118E-5</v>
      </c>
      <c r="M42" s="62"/>
      <c r="N42" s="67"/>
      <c r="O42" s="66"/>
      <c r="P42" s="30"/>
      <c r="Q42" s="28"/>
      <c r="R42" s="18"/>
    </row>
    <row r="43" spans="2:18" x14ac:dyDescent="0.25">
      <c r="B43" s="18">
        <v>15</v>
      </c>
      <c r="C43" s="18" t="s">
        <v>31</v>
      </c>
      <c r="D43" s="65">
        <v>34</v>
      </c>
      <c r="E43" s="60">
        <v>32251.467100000002</v>
      </c>
      <c r="F43" s="60">
        <v>32156.369500000001</v>
      </c>
      <c r="G43" s="67">
        <f>IF(Table3[[#This Row],[Trade ID]]&lt;&gt;"", IF(COUNTIF(INDEX(Table3[Trade ID],1):Table3[[#This Row],[Trade ID]], Table3[[#This Row],[Trade ID]])=1, SUMIFS(Table3[Entry Position Size], Table3[Trade ID], Table3[[#This Row],[Trade ID]]), ""), "")</f>
        <v>32251.467100000002</v>
      </c>
      <c r="H43" s="67">
        <f>Table3[[#This Row],[Position Size]]/Table3[[#This Row],[Leverage]]</f>
        <v>948.57256176470594</v>
      </c>
      <c r="I43" s="61">
        <v>105811.9</v>
      </c>
      <c r="J43" s="61">
        <v>105499.9</v>
      </c>
      <c r="K43" s="30" cm="1">
        <f t="array" ref="K43">IFERROR(SUMPRODUCT((Table3[Entry]),(Table3[Entry Position Size]) * (Table3[Trade ID] = B43)) / SUMIF(Table3[Trade ID], B43, Table3[Entry Position Size]), "Check Data")</f>
        <v>105811.9</v>
      </c>
      <c r="L43" s="67" cm="1">
        <f t="array" ref="L43">IFERROR(SUMPRODUCT((Table3[[Exit ]]),(Table3[Exit Position Size]) * (Table3[Trade ID] = B43)) / SUMIF(Table3[Trade ID], B43, Table3[Exit Position Size]), "Check Data")</f>
        <v>105499.9</v>
      </c>
      <c r="M43" s="62"/>
      <c r="N43" s="67"/>
      <c r="O43" s="66"/>
    </row>
    <row r="44" spans="2:18" x14ac:dyDescent="0.25">
      <c r="B44" s="18">
        <v>16</v>
      </c>
      <c r="C44" s="18" t="s">
        <v>59</v>
      </c>
      <c r="D44" s="65">
        <v>20</v>
      </c>
      <c r="E44" s="60">
        <v>7309.6607999999997</v>
      </c>
      <c r="F44" s="60">
        <v>8310.3780000000006</v>
      </c>
      <c r="G44" s="67">
        <f>IF(Table3[[#This Row],[Trade ID]]&lt;&gt;"", IF(COUNTIF(INDEX(Table3[Trade ID],1):Table3[[#This Row],[Trade ID]], Table3[[#This Row],[Trade ID]])=1, SUMIFS(Table3[Entry Position Size], Table3[Trade ID], Table3[[#This Row],[Trade ID]]), ""), "")</f>
        <v>19688.3622</v>
      </c>
      <c r="H44" s="67">
        <f>Table3[[#This Row],[Position Size]]/Table3[[#This Row],[Leverage]]</f>
        <v>984.41810999999996</v>
      </c>
      <c r="I44" s="61">
        <v>2.886E-2</v>
      </c>
      <c r="J44" s="61">
        <v>2.9100000000000001E-2</v>
      </c>
      <c r="K44" s="30" cm="1">
        <f t="array" ref="K44">IFERROR(SUMPRODUCT((Table3[Entry]),(Table3[Entry Position Size]) * (Table3[Trade ID] = B44)) / SUMIF(Table3[Trade ID], B44, Table3[Entry Position Size]), "Check Data")</f>
        <v>2.8868568280707479E-2</v>
      </c>
      <c r="L44" s="67" cm="1">
        <f t="array" ref="L44">IFERROR(SUMPRODUCT((Table3[[Exit ]]),(Table3[Exit Position Size]) * (Table3[Trade ID] = B44)) / SUMIF(Table3[Trade ID], B44, Table3[Exit Position Size]), "Check Data")</f>
        <v>2.909421242149008E-2</v>
      </c>
      <c r="M44" s="62"/>
      <c r="N44" s="67"/>
      <c r="O44" s="66"/>
    </row>
    <row r="45" spans="2:18" x14ac:dyDescent="0.25">
      <c r="B45" s="18">
        <v>16</v>
      </c>
      <c r="C45" s="18"/>
      <c r="D45" s="65"/>
      <c r="E45" s="60">
        <v>7887.8613999999998</v>
      </c>
      <c r="F45" s="60">
        <v>48.015000000000001</v>
      </c>
      <c r="G45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45" s="67"/>
      <c r="I45" s="61">
        <v>2.887E-2</v>
      </c>
      <c r="J45" s="61">
        <v>2.9100000000000001E-2</v>
      </c>
      <c r="K45" s="30" cm="1">
        <f t="array" ref="K45">IFERROR(SUMPRODUCT((Table3[Entry]),(Table3[Entry Position Size]) * (Table3[Trade ID] = B45)) / SUMIF(Table3[Trade ID], B45, Table3[Entry Position Size]), "Check Data")</f>
        <v>2.8868568280707479E-2</v>
      </c>
      <c r="L45" s="67" cm="1">
        <f t="array" ref="L45">IFERROR(SUMPRODUCT((Table3[[Exit ]]),(Table3[Exit Position Size]) * (Table3[Trade ID] = B45)) / SUMIF(Table3[Trade ID], B45, Table3[Exit Position Size]), "Check Data")</f>
        <v>2.909421242149008E-2</v>
      </c>
      <c r="M45" s="62"/>
      <c r="N45" s="67"/>
      <c r="O45" s="66"/>
    </row>
    <row r="46" spans="2:18" x14ac:dyDescent="0.25">
      <c r="B46" s="18">
        <v>16</v>
      </c>
      <c r="C46" s="18"/>
      <c r="D46" s="65"/>
      <c r="E46" s="60">
        <v>3176.8</v>
      </c>
      <c r="F46" s="60">
        <v>3199.9</v>
      </c>
      <c r="G46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46" s="67"/>
      <c r="I46" s="61">
        <v>2.8879999999999999E-2</v>
      </c>
      <c r="J46" s="61">
        <v>2.9090000000000001E-2</v>
      </c>
      <c r="K46" s="30" cm="1">
        <f t="array" ref="K46">IFERROR(SUMPRODUCT((Table3[Entry]),(Table3[Entry Position Size]) * (Table3[Trade ID] = B46)) / SUMIF(Table3[Trade ID], B46, Table3[Entry Position Size]), "Check Data")</f>
        <v>2.8868568280707479E-2</v>
      </c>
      <c r="L46" s="67" cm="1">
        <f t="array" ref="L46">IFERROR(SUMPRODUCT((Table3[[Exit ]]),(Table3[Exit Position Size]) * (Table3[Trade ID] = B46)) / SUMIF(Table3[Trade ID], B46, Table3[Exit Position Size]), "Check Data")</f>
        <v>2.909421242149008E-2</v>
      </c>
      <c r="M46" s="62"/>
      <c r="N46" s="67"/>
      <c r="O46" s="66"/>
    </row>
    <row r="47" spans="2:18" x14ac:dyDescent="0.25">
      <c r="B47" s="18">
        <v>16</v>
      </c>
      <c r="C47" s="18"/>
      <c r="D47" s="65"/>
      <c r="E47" s="60">
        <v>1314.04</v>
      </c>
      <c r="F47" s="60">
        <v>8283.9593000000004</v>
      </c>
      <c r="G47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47" s="67"/>
      <c r="I47" s="61">
        <v>2.8879999999999999E-2</v>
      </c>
      <c r="J47" s="61">
        <v>2.9090000000000001E-2</v>
      </c>
      <c r="K47" s="30" cm="1">
        <f t="array" ref="K47">IFERROR(SUMPRODUCT((Table3[Entry]),(Table3[Entry Position Size]) * (Table3[Trade ID] = B47)) / SUMIF(Table3[Trade ID], B47, Table3[Entry Position Size]), "Check Data")</f>
        <v>2.8868568280707479E-2</v>
      </c>
      <c r="L47" s="67" cm="1">
        <f t="array" ref="L47">IFERROR(SUMPRODUCT((Table3[[Exit ]]),(Table3[Exit Position Size]) * (Table3[Trade ID] = B47)) / SUMIF(Table3[Trade ID], B47, Table3[Exit Position Size]), "Check Data")</f>
        <v>2.909421242149008E-2</v>
      </c>
      <c r="M47" s="62"/>
      <c r="N47" s="67"/>
      <c r="O47" s="66"/>
    </row>
    <row r="48" spans="2:18" x14ac:dyDescent="0.25">
      <c r="B48" s="18">
        <v>17</v>
      </c>
      <c r="C48" s="18" t="s">
        <v>31</v>
      </c>
      <c r="D48" s="65">
        <v>34</v>
      </c>
      <c r="E48" s="60">
        <v>41494.982400000001</v>
      </c>
      <c r="F48" s="60">
        <v>41394.224999999999</v>
      </c>
      <c r="G48" s="67">
        <f>IF(Table3[[#This Row],[Trade ID]]&lt;&gt;"", IF(COUNTIF(INDEX(Table3[Trade ID],1):Table3[[#This Row],[Trade ID]], Table3[[#This Row],[Trade ID]])=1, SUMIFS(Table3[Entry Position Size], Table3[Trade ID], Table3[[#This Row],[Trade ID]]), ""), "")</f>
        <v>41494.982400000001</v>
      </c>
      <c r="H48" s="67">
        <f>Table3[[#This Row],[Position Size]]/Table3[[#This Row],[Leverage]]</f>
        <v>1220.4406588235295</v>
      </c>
      <c r="I48" s="61">
        <v>2528.64</v>
      </c>
      <c r="J48" s="61">
        <v>2522.5</v>
      </c>
      <c r="K48" s="30" cm="1">
        <f t="array" ref="K48">IFERROR(SUMPRODUCT((Table3[Entry]),(Table3[Entry Position Size]) * (Table3[Trade ID] = B48)) / SUMIF(Table3[Trade ID], B48, Table3[Entry Position Size]), "Check Data")</f>
        <v>2528.64</v>
      </c>
      <c r="L48" s="67" cm="1">
        <f t="array" ref="L48">IFERROR(SUMPRODUCT((Table3[[Exit ]]),(Table3[Exit Position Size]) * (Table3[Trade ID] = B48)) / SUMIF(Table3[Trade ID], B48, Table3[Exit Position Size]), "Check Data")</f>
        <v>2522.5</v>
      </c>
      <c r="M48" s="62"/>
      <c r="N48" s="67"/>
      <c r="O48" s="66"/>
    </row>
    <row r="49" spans="2:15" x14ac:dyDescent="0.25">
      <c r="B49" s="18">
        <v>18</v>
      </c>
      <c r="C49" s="18" t="s">
        <v>59</v>
      </c>
      <c r="D49" s="65">
        <v>34</v>
      </c>
      <c r="E49" s="60">
        <v>31466.9313</v>
      </c>
      <c r="F49" s="60">
        <v>31215.6325</v>
      </c>
      <c r="G49" s="67">
        <f>IF(Table3[[#This Row],[Trade ID]]&lt;&gt;"", IF(COUNTIF(INDEX(Table3[Trade ID],1):Table3[[#This Row],[Trade ID]], Table3[[#This Row],[Trade ID]])=1, SUMIFS(Table3[Entry Position Size], Table3[Trade ID], Table3[[#This Row],[Trade ID]]), ""), "")</f>
        <v>31466.9313</v>
      </c>
      <c r="H49" s="67">
        <f>Table3[[#This Row],[Position Size]]/Table3[[#This Row],[Leverage]]</f>
        <v>925.49797941176473</v>
      </c>
      <c r="I49" s="61">
        <v>2519.37</v>
      </c>
      <c r="J49" s="61">
        <v>2499.25</v>
      </c>
      <c r="K49" s="30" cm="1">
        <f t="array" ref="K49">IFERROR(SUMPRODUCT((Table3[Entry]),(Table3[Entry Position Size]) * (Table3[Trade ID] = B49)) / SUMIF(Table3[Trade ID], B49, Table3[Entry Position Size]), "Check Data")</f>
        <v>2519.37</v>
      </c>
      <c r="L49" s="67" cm="1">
        <f t="array" ref="L49">IFERROR(SUMPRODUCT((Table3[[Exit ]]),(Table3[Exit Position Size]) * (Table3[Trade ID] = B49)) / SUMIF(Table3[Trade ID], B49, Table3[Exit Position Size]), "Check Data")</f>
        <v>2499.25</v>
      </c>
      <c r="M49" s="62"/>
      <c r="N49" s="67"/>
      <c r="O49" s="66"/>
    </row>
    <row r="50" spans="2:15" x14ac:dyDescent="0.25">
      <c r="B50" s="18">
        <v>19</v>
      </c>
      <c r="C50" s="18" t="s">
        <v>59</v>
      </c>
      <c r="D50" s="65">
        <v>64</v>
      </c>
      <c r="E50" s="60">
        <v>11762.751200000001</v>
      </c>
      <c r="F50" s="60">
        <v>56043.518700000001</v>
      </c>
      <c r="G50" s="67">
        <f>IF(Table3[[#This Row],[Trade ID]]&lt;&gt;"", IF(COUNTIF(INDEX(Table3[Trade ID],1):Table3[[#This Row],[Trade ID]], Table3[[#This Row],[Trade ID]])=1, SUMIFS(Table3[Entry Position Size], Table3[Trade ID], Table3[[#This Row],[Trade ID]]), ""), "")</f>
        <v>56153.258399999999</v>
      </c>
      <c r="H50" s="67">
        <f>Table3[[#This Row],[Position Size]]/Table3[[#This Row],[Leverage]]</f>
        <v>877.39466249999998</v>
      </c>
      <c r="I50" s="61">
        <v>104744</v>
      </c>
      <c r="J50" s="61">
        <v>104539.3</v>
      </c>
      <c r="K50" s="30" cm="1">
        <f t="array" ref="K50">IFERROR(SUMPRODUCT((Table3[Entry]),(Table3[Entry Position Size]) * (Table3[Trade ID] = B50)) / SUMIF(Table3[Trade ID], B50, Table3[Entry Position Size]), "Check Data")</f>
        <v>104744</v>
      </c>
      <c r="L50" s="67" cm="1">
        <f t="array" ref="L50">IFERROR(SUMPRODUCT((Table3[[Exit ]]),(Table3[Exit Position Size]) * (Table3[Trade ID] = B50)) / SUMIF(Table3[Trade ID], B50, Table3[Exit Position Size]), "Check Data")</f>
        <v>104539.3</v>
      </c>
      <c r="M50" s="62"/>
      <c r="N50" s="67"/>
      <c r="O50" s="66"/>
    </row>
    <row r="51" spans="2:15" x14ac:dyDescent="0.25">
      <c r="B51" s="18">
        <v>19</v>
      </c>
      <c r="C51" s="18"/>
      <c r="D51" s="65"/>
      <c r="E51" s="60">
        <v>44390.5072</v>
      </c>
      <c r="F51" s="60"/>
      <c r="G51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51" s="67"/>
      <c r="I51" s="61">
        <v>104744</v>
      </c>
      <c r="J51" s="61"/>
      <c r="K51" s="30" cm="1">
        <f t="array" ref="K51">IFERROR(SUMPRODUCT((Table3[Entry]),(Table3[Entry Position Size]) * (Table3[Trade ID] = B51)) / SUMIF(Table3[Trade ID], B51, Table3[Entry Position Size]), "Check Data")</f>
        <v>104744</v>
      </c>
      <c r="L51" s="67" cm="1">
        <f t="array" ref="L51">IFERROR(SUMPRODUCT((Table3[[Exit ]]),(Table3[Exit Position Size]) * (Table3[Trade ID] = B51)) / SUMIF(Table3[Trade ID], B51, Table3[Exit Position Size]), "Check Data")</f>
        <v>104539.3</v>
      </c>
      <c r="M51" s="62"/>
      <c r="N51" s="67"/>
      <c r="O51" s="66"/>
    </row>
    <row r="52" spans="2:15" x14ac:dyDescent="0.25">
      <c r="B52" s="18">
        <v>20</v>
      </c>
      <c r="C52" s="18" t="s">
        <v>31</v>
      </c>
      <c r="D52" s="65">
        <v>34</v>
      </c>
      <c r="E52" s="60">
        <v>2348.2076999999999</v>
      </c>
      <c r="F52" s="60">
        <v>3251.7</v>
      </c>
      <c r="G52" s="67">
        <f>IF(Table3[[#This Row],[Trade ID]]&lt;&gt;"", IF(COUNTIF(INDEX(Table3[Trade ID],1):Table3[[#This Row],[Trade ID]], Table3[[#This Row],[Trade ID]])=1, SUMIFS(Table3[Entry Position Size], Table3[Trade ID], Table3[[#This Row],[Trade ID]]), ""), "")</f>
        <v>3349.6956999999998</v>
      </c>
      <c r="H52" s="67">
        <f>Table3[[#This Row],[Position Size]]/Table3[[#This Row],[Leverage]]</f>
        <v>98.520461764705871</v>
      </c>
      <c r="I52" s="61">
        <v>3.7229999999999999E-2</v>
      </c>
      <c r="J52" s="61">
        <v>3.6130000000000002E-2</v>
      </c>
      <c r="K52" s="30" cm="1">
        <f t="array" ref="K52">IFERROR(SUMPRODUCT((Table3[Entry]),(Table3[Entry Position Size]) * (Table3[Trade ID] = B52)) / SUMIF(Table3[Trade ID], B52, Table3[Entry Position Size]), "Check Data")</f>
        <v>3.7218852642644525E-2</v>
      </c>
      <c r="L52" s="67" cm="1">
        <f t="array" ref="L52">IFERROR(SUMPRODUCT((Table3[[Exit ]]),(Table3[Exit Position Size]) * (Table3[Trade ID] = B52)) / SUMIF(Table3[Trade ID], B52, Table3[Exit Position Size]), "Check Data")</f>
        <v>3.6130000000000002E-2</v>
      </c>
      <c r="M52" s="62"/>
      <c r="N52" s="67"/>
      <c r="O52" s="66"/>
    </row>
    <row r="53" spans="2:15" x14ac:dyDescent="0.25">
      <c r="B53" s="18">
        <v>20</v>
      </c>
      <c r="C53" s="18"/>
      <c r="D53" s="65"/>
      <c r="E53" s="60">
        <v>59.8125</v>
      </c>
      <c r="F53" s="60"/>
      <c r="G53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53" s="67"/>
      <c r="I53" s="61">
        <v>3.7220000000000003E-2</v>
      </c>
      <c r="J53" s="61"/>
      <c r="K53" s="30" cm="1">
        <f t="array" ref="K53">IFERROR(SUMPRODUCT((Table3[Entry]),(Table3[Entry Position Size]) * (Table3[Trade ID] = B53)) / SUMIF(Table3[Trade ID], B53, Table3[Entry Position Size]), "Check Data")</f>
        <v>3.7218852642644525E-2</v>
      </c>
      <c r="L53" s="67" cm="1">
        <f t="array" ref="L53">IFERROR(SUMPRODUCT((Table3[[Exit ]]),(Table3[Exit Position Size]) * (Table3[Trade ID] = B53)) / SUMIF(Table3[Trade ID], B53, Table3[Exit Position Size]), "Check Data")</f>
        <v>3.6130000000000002E-2</v>
      </c>
      <c r="M53" s="62"/>
      <c r="N53" s="67"/>
      <c r="O53" s="66"/>
    </row>
    <row r="54" spans="2:15" x14ac:dyDescent="0.25">
      <c r="B54" s="18">
        <v>20</v>
      </c>
      <c r="C54" s="18"/>
      <c r="D54" s="65"/>
      <c r="E54" s="60">
        <v>119.97</v>
      </c>
      <c r="F54" s="60"/>
      <c r="G54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54" s="67"/>
      <c r="I54" s="61">
        <v>3.7199999999999997E-2</v>
      </c>
      <c r="J54" s="61"/>
      <c r="K54" s="30" cm="1">
        <f t="array" ref="K54">IFERROR(SUMPRODUCT((Table3[Entry]),(Table3[Entry Position Size]) * (Table3[Trade ID] = B54)) / SUMIF(Table3[Trade ID], B54, Table3[Entry Position Size]), "Check Data")</f>
        <v>3.7218852642644525E-2</v>
      </c>
      <c r="L54" s="67" cm="1">
        <f t="array" ref="L54">IFERROR(SUMPRODUCT((Table3[[Exit ]]),(Table3[Exit Position Size]) * (Table3[Trade ID] = B54)) / SUMIF(Table3[Trade ID], B54, Table3[Exit Position Size]), "Check Data")</f>
        <v>3.6130000000000002E-2</v>
      </c>
      <c r="M54" s="62"/>
      <c r="N54" s="67"/>
      <c r="O54" s="66"/>
    </row>
    <row r="55" spans="2:15" x14ac:dyDescent="0.25">
      <c r="B55" s="18">
        <v>20</v>
      </c>
      <c r="C55" s="18"/>
      <c r="D55" s="65"/>
      <c r="E55" s="60">
        <v>515.10839999999996</v>
      </c>
      <c r="F55" s="60"/>
      <c r="G55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55" s="67"/>
      <c r="I55" s="61">
        <v>3.7199999999999997E-2</v>
      </c>
      <c r="J55" s="61"/>
      <c r="K55" s="30" cm="1">
        <f t="array" ref="K55">IFERROR(SUMPRODUCT((Table3[Entry]),(Table3[Entry Position Size]) * (Table3[Trade ID] = B55)) / SUMIF(Table3[Trade ID], B55, Table3[Entry Position Size]), "Check Data")</f>
        <v>3.7218852642644525E-2</v>
      </c>
      <c r="L55" s="67" cm="1">
        <f t="array" ref="L55">IFERROR(SUMPRODUCT((Table3[[Exit ]]),(Table3[Exit Position Size]) * (Table3[Trade ID] = B55)) / SUMIF(Table3[Trade ID], B55, Table3[Exit Position Size]), "Check Data")</f>
        <v>3.6130000000000002E-2</v>
      </c>
      <c r="M55" s="62"/>
      <c r="N55" s="67"/>
      <c r="O55" s="66"/>
    </row>
    <row r="56" spans="2:15" x14ac:dyDescent="0.25">
      <c r="B56" s="18">
        <v>20</v>
      </c>
      <c r="C56" s="18"/>
      <c r="D56" s="65"/>
      <c r="E56" s="60">
        <v>70.604799999999997</v>
      </c>
      <c r="F56" s="60"/>
      <c r="G56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56" s="67"/>
      <c r="I56" s="61">
        <v>3.7179999999999998E-2</v>
      </c>
      <c r="J56" s="61"/>
      <c r="K56" s="30" cm="1">
        <f t="array" ref="K56">IFERROR(SUMPRODUCT((Table3[Entry]),(Table3[Entry Position Size]) * (Table3[Trade ID] = B56)) / SUMIF(Table3[Trade ID], B56, Table3[Entry Position Size]), "Check Data")</f>
        <v>3.7218852642644525E-2</v>
      </c>
      <c r="L56" s="67" cm="1">
        <f t="array" ref="L56">IFERROR(SUMPRODUCT((Table3[[Exit ]]),(Table3[Exit Position Size]) * (Table3[Trade ID] = B56)) / SUMIF(Table3[Trade ID], B56, Table3[Exit Position Size]), "Check Data")</f>
        <v>3.6130000000000002E-2</v>
      </c>
      <c r="M56" s="62"/>
      <c r="N56" s="67"/>
      <c r="O56" s="66"/>
    </row>
    <row r="57" spans="2:15" x14ac:dyDescent="0.25">
      <c r="B57" s="18">
        <v>20</v>
      </c>
      <c r="C57" s="18"/>
      <c r="D57" s="65"/>
      <c r="E57" s="60">
        <v>235.9923</v>
      </c>
      <c r="F57" s="60"/>
      <c r="G57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57" s="67"/>
      <c r="I57" s="61">
        <v>3.7170000000000002E-2</v>
      </c>
      <c r="J57" s="61"/>
      <c r="K57" s="30" cm="1">
        <f t="array" ref="K57">IFERROR(SUMPRODUCT((Table3[Entry]),(Table3[Entry Position Size]) * (Table3[Trade ID] = B57)) / SUMIF(Table3[Trade ID], B57, Table3[Entry Position Size]), "Check Data")</f>
        <v>3.7218852642644525E-2</v>
      </c>
      <c r="L57" s="67" cm="1">
        <f t="array" ref="L57">IFERROR(SUMPRODUCT((Table3[[Exit ]]),(Table3[Exit Position Size]) * (Table3[Trade ID] = B57)) / SUMIF(Table3[Trade ID], B57, Table3[Exit Position Size]), "Check Data")</f>
        <v>3.6130000000000002E-2</v>
      </c>
      <c r="M57" s="62"/>
      <c r="N57" s="67"/>
      <c r="O57" s="66"/>
    </row>
    <row r="58" spans="2:15" x14ac:dyDescent="0.25">
      <c r="B58" s="18">
        <v>21</v>
      </c>
      <c r="C58" s="18" t="s">
        <v>31</v>
      </c>
      <c r="D58" s="65">
        <v>100</v>
      </c>
      <c r="E58" s="60">
        <v>46604.200499999999</v>
      </c>
      <c r="F58" s="60">
        <v>46512.18</v>
      </c>
      <c r="G58" s="67">
        <f>IF(Table3[[#This Row],[Trade ID]]&lt;&gt;"", IF(COUNTIF(INDEX(Table3[Trade ID],1):Table3[[#This Row],[Trade ID]], Table3[[#This Row],[Trade ID]])=1, SUMIFS(Table3[Entry Position Size], Table3[Trade ID], Table3[[#This Row],[Trade ID]]), ""), "")</f>
        <v>46604.200499999999</v>
      </c>
      <c r="H58" s="67">
        <f>Table3[[#This Row],[Position Size]]/Table3[[#This Row],[Leverage]]</f>
        <v>466.04200500000002</v>
      </c>
      <c r="I58" s="61">
        <v>2506.9499999999998</v>
      </c>
      <c r="J58" s="61">
        <v>2502</v>
      </c>
      <c r="K58" s="30" cm="1">
        <f t="array" ref="K58">IFERROR(SUMPRODUCT((Table3[Entry]),(Table3[Entry Position Size]) * (Table3[Trade ID] = B58)) / SUMIF(Table3[Trade ID], B58, Table3[Entry Position Size]), "Check Data")</f>
        <v>2506.9499999999998</v>
      </c>
      <c r="L58" s="67" cm="1">
        <f t="array" ref="L58">IFERROR(SUMPRODUCT((Table3[[Exit ]]),(Table3[Exit Position Size]) * (Table3[Trade ID] = B58)) / SUMIF(Table3[Trade ID], B58, Table3[Exit Position Size]), "Check Data")</f>
        <v>2502</v>
      </c>
      <c r="M58" s="62"/>
      <c r="N58" s="67"/>
      <c r="O58" s="66"/>
    </row>
    <row r="59" spans="2:15" x14ac:dyDescent="0.25">
      <c r="B59" s="18">
        <v>22</v>
      </c>
      <c r="C59" s="18" t="s">
        <v>59</v>
      </c>
      <c r="D59" s="65">
        <v>100</v>
      </c>
      <c r="E59" s="60">
        <v>45977.112000000001</v>
      </c>
      <c r="F59" s="60">
        <v>46079.744400000003</v>
      </c>
      <c r="G59" s="67">
        <f>IF(Table3[[#This Row],[Trade ID]]&lt;&gt;"", IF(COUNTIF(INDEX(Table3[Trade ID],1):Table3[[#This Row],[Trade ID]], Table3[[#This Row],[Trade ID]])=1, SUMIFS(Table3[Entry Position Size], Table3[Trade ID], Table3[[#This Row],[Trade ID]]), ""), "")</f>
        <v>45977.112000000001</v>
      </c>
      <c r="H59" s="67">
        <f>Table3[[#This Row],[Position Size]]/Table3[[#This Row],[Leverage]]</f>
        <v>459.77112</v>
      </c>
      <c r="I59" s="61">
        <v>2504.1999999999998</v>
      </c>
      <c r="J59" s="61">
        <v>2509.79</v>
      </c>
      <c r="K59" s="30" cm="1">
        <f t="array" ref="K59">IFERROR(SUMPRODUCT((Table3[Entry]),(Table3[Entry Position Size]) * (Table3[Trade ID] = B59)) / SUMIF(Table3[Trade ID], B59, Table3[Entry Position Size]), "Check Data")</f>
        <v>2504.1999999999998</v>
      </c>
      <c r="L59" s="67" cm="1">
        <f t="array" ref="L59">IFERROR(SUMPRODUCT((Table3[[Exit ]]),(Table3[Exit Position Size]) * (Table3[Trade ID] = B59)) / SUMIF(Table3[Trade ID], B59, Table3[Exit Position Size]), "Check Data")</f>
        <v>2509.79</v>
      </c>
      <c r="M59" s="62"/>
      <c r="N59" s="67"/>
      <c r="O59" s="66"/>
    </row>
    <row r="60" spans="2:15" x14ac:dyDescent="0.25">
      <c r="B60" s="18">
        <v>23</v>
      </c>
      <c r="C60" s="18" t="s">
        <v>31</v>
      </c>
      <c r="D60" s="65">
        <v>64</v>
      </c>
      <c r="E60" s="60">
        <v>33761.578500000003</v>
      </c>
      <c r="F60" s="60">
        <v>33932.1106</v>
      </c>
      <c r="G60" s="67">
        <f>IF(Table3[[#This Row],[Trade ID]]&lt;&gt;"", IF(COUNTIF(INDEX(Table3[Trade ID],1):Table3[[#This Row],[Trade ID]], Table3[[#This Row],[Trade ID]])=1, SUMIFS(Table3[Entry Position Size], Table3[Trade ID], Table3[[#This Row],[Trade ID]]), ""), "")</f>
        <v>33761.578500000003</v>
      </c>
      <c r="H60" s="67">
        <f>Table3[[#This Row],[Position Size]]/Table3[[#This Row],[Leverage]]</f>
        <v>527.52466406250005</v>
      </c>
      <c r="I60" s="61">
        <v>107145.60000000001</v>
      </c>
      <c r="J60" s="61">
        <v>107686.8</v>
      </c>
      <c r="K60" s="30" cm="1">
        <f t="array" ref="K60">IFERROR(SUMPRODUCT((Table3[Entry]),(Table3[Entry Position Size]) * (Table3[Trade ID] = B60)) / SUMIF(Table3[Trade ID], B60, Table3[Entry Position Size]), "Check Data")</f>
        <v>107145.60000000001</v>
      </c>
      <c r="L60" s="67" cm="1">
        <f t="array" ref="L60">IFERROR(SUMPRODUCT((Table3[[Exit ]]),(Table3[Exit Position Size]) * (Table3[Trade ID] = B60)) / SUMIF(Table3[Trade ID], B60, Table3[Exit Position Size]), "Check Data")</f>
        <v>107686.8</v>
      </c>
      <c r="M60" s="62"/>
      <c r="N60" s="67"/>
      <c r="O60" s="66"/>
    </row>
    <row r="61" spans="2:15" x14ac:dyDescent="0.25">
      <c r="B61" s="18">
        <v>24</v>
      </c>
      <c r="C61" s="18" t="s">
        <v>31</v>
      </c>
      <c r="D61" s="65">
        <v>64</v>
      </c>
      <c r="E61" s="60">
        <v>32927.980799999998</v>
      </c>
      <c r="F61" s="60">
        <v>32823.2736</v>
      </c>
      <c r="G61" s="67">
        <f>IF(Table3[[#This Row],[Trade ID]]&lt;&gt;"", IF(COUNTIF(INDEX(Table3[Trade ID],1):Table3[[#This Row],[Trade ID]], Table3[[#This Row],[Trade ID]])=1, SUMIFS(Table3[Entry Position Size], Table3[Trade ID], Table3[[#This Row],[Trade ID]]), ""), "")</f>
        <v>32927.980799999998</v>
      </c>
      <c r="H61" s="67">
        <f>Table3[[#This Row],[Position Size]]/Table3[[#This Row],[Leverage]]</f>
        <v>514.49969999999996</v>
      </c>
      <c r="I61" s="61">
        <v>2638.46</v>
      </c>
      <c r="J61" s="61">
        <v>2630.07</v>
      </c>
      <c r="K61" s="30" cm="1">
        <f t="array" ref="K61">IFERROR(SUMPRODUCT((Table3[Entry]),(Table3[Entry Position Size]) * (Table3[Trade ID] = B61)) / SUMIF(Table3[Trade ID], B61, Table3[Entry Position Size]), "Check Data")</f>
        <v>2638.46</v>
      </c>
      <c r="L61" s="67" cm="1">
        <f t="array" ref="L61">IFERROR(SUMPRODUCT((Table3[[Exit ]]),(Table3[Exit Position Size]) * (Table3[Trade ID] = B61)) / SUMIF(Table3[Trade ID], B61, Table3[Exit Position Size]), "Check Data")</f>
        <v>2630.07</v>
      </c>
      <c r="M61" s="62"/>
      <c r="N61" s="67"/>
      <c r="O61" s="66"/>
    </row>
    <row r="62" spans="2:15" x14ac:dyDescent="0.25">
      <c r="B62" s="18">
        <v>25</v>
      </c>
      <c r="C62" s="18" t="s">
        <v>31</v>
      </c>
      <c r="D62" s="65">
        <v>33</v>
      </c>
      <c r="E62" s="60">
        <v>16797.197</v>
      </c>
      <c r="F62" s="60">
        <v>16828.198</v>
      </c>
      <c r="G62" s="67">
        <f>IF(Table3[[#This Row],[Trade ID]]&lt;&gt;"", IF(COUNTIF(INDEX(Table3[Trade ID],1):Table3[[#This Row],[Trade ID]], Table3[[#This Row],[Trade ID]])=1, SUMIFS(Table3[Entry Position Size], Table3[Trade ID], Table3[[#This Row],[Trade ID]]), ""), "")</f>
        <v>16797.197</v>
      </c>
      <c r="H62" s="67">
        <f>Table3[[#This Row],[Position Size]]/Table3[[#This Row],[Leverage]]</f>
        <v>509.00596969696971</v>
      </c>
      <c r="I62" s="61">
        <v>157.13</v>
      </c>
      <c r="J62" s="61">
        <v>157.41999999999999</v>
      </c>
      <c r="K62" s="30" cm="1">
        <f t="array" ref="K62">IFERROR(SUMPRODUCT((Table3[Entry]),(Table3[Entry Position Size]) * (Table3[Trade ID] = B62)) / SUMIF(Table3[Trade ID], B62, Table3[Entry Position Size]), "Check Data")</f>
        <v>157.13</v>
      </c>
      <c r="L62" s="67" cm="1">
        <f t="array" ref="L62">IFERROR(SUMPRODUCT((Table3[[Exit ]]),(Table3[Exit Position Size]) * (Table3[Trade ID] = B62)) / SUMIF(Table3[Trade ID], B62, Table3[Exit Position Size]), "Check Data")</f>
        <v>157.41999999999999</v>
      </c>
      <c r="M62" s="62"/>
      <c r="N62" s="67"/>
      <c r="O62" s="66"/>
    </row>
    <row r="63" spans="2:15" x14ac:dyDescent="0.25">
      <c r="B63" s="18">
        <v>26</v>
      </c>
      <c r="C63" s="18" t="s">
        <v>31</v>
      </c>
      <c r="D63" s="65">
        <v>20</v>
      </c>
      <c r="E63" s="60">
        <v>306.51870000000002</v>
      </c>
      <c r="F63" s="60">
        <v>209.43199999999999</v>
      </c>
      <c r="G63" s="67">
        <f>IF(Table3[[#This Row],[Trade ID]]&lt;&gt;"", IF(COUNTIF(INDEX(Table3[Trade ID],1):Table3[[#This Row],[Trade ID]], Table3[[#This Row],[Trade ID]])=1, SUMIFS(Table3[Entry Position Size], Table3[Trade ID], Table3[[#This Row],[Trade ID]]), ""), "")</f>
        <v>2836.5098999999996</v>
      </c>
      <c r="H63" s="67">
        <f>Table3[[#This Row],[Position Size]]/Table3[[#This Row],[Leverage]]</f>
        <v>141.82549499999999</v>
      </c>
      <c r="I63" s="68">
        <v>7.1299999999999998E-4</v>
      </c>
      <c r="J63" s="68">
        <v>7.5199999999999996E-4</v>
      </c>
      <c r="K63" s="67" cm="1">
        <f t="array" ref="K63">IFERROR(SUMPRODUCT((Table3[Entry]),(Table3[Entry Position Size]) * (Table3[Trade ID] = B63)) / SUMIF(Table3[Trade ID], B63, Table3[Entry Position Size]), "Check Data")</f>
        <v>7.0913178695410171E-4</v>
      </c>
      <c r="L63" s="67" cm="1">
        <f t="array" ref="L63">IFERROR(SUMPRODUCT((Table3[[Exit ]]),(Table3[Exit Position Size]) * (Table3[Trade ID] = B63)) / SUMIF(Table3[Trade ID], B63, Table3[Exit Position Size]), "Check Data")</f>
        <v>7.5574853301450481E-4</v>
      </c>
      <c r="M63" s="62"/>
      <c r="N63" s="67"/>
      <c r="O63" s="66"/>
    </row>
    <row r="64" spans="2:15" x14ac:dyDescent="0.25">
      <c r="B64" s="18">
        <v>26</v>
      </c>
      <c r="C64" s="18"/>
      <c r="D64" s="65"/>
      <c r="E64" s="60">
        <v>49.982399999999998</v>
      </c>
      <c r="F64" s="60">
        <v>759.68100000000004</v>
      </c>
      <c r="G64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64" s="67"/>
      <c r="I64" s="68">
        <v>7.1199999999999996E-4</v>
      </c>
      <c r="J64" s="68">
        <v>7.5500000000000003E-4</v>
      </c>
      <c r="K64" s="30" cm="1">
        <f t="array" ref="K64">IFERROR(SUMPRODUCT((Table3[Entry]),(Table3[Entry Position Size]) * (Table3[Trade ID] = B64)) / SUMIF(Table3[Trade ID], B64, Table3[Entry Position Size]), "Check Data")</f>
        <v>7.0913178695410171E-4</v>
      </c>
      <c r="L64" s="67" cm="1">
        <f t="array" ref="L64">IFERROR(SUMPRODUCT((Table3[[Exit ]]),(Table3[Exit Position Size]) * (Table3[Trade ID] = B64)) / SUMIF(Table3[Trade ID], B64, Table3[Exit Position Size]), "Check Data")</f>
        <v>7.5574853301450481E-4</v>
      </c>
      <c r="M64" s="62"/>
      <c r="N64" s="67"/>
      <c r="O64" s="66"/>
    </row>
    <row r="65" spans="2:15" x14ac:dyDescent="0.25">
      <c r="B65" s="18">
        <v>26</v>
      </c>
      <c r="C65" s="18"/>
      <c r="D65" s="65"/>
      <c r="E65" s="60">
        <v>99.9666</v>
      </c>
      <c r="F65" s="60">
        <v>251.9435</v>
      </c>
      <c r="G65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65" s="67"/>
      <c r="I65" s="68">
        <v>7.1100000000000004E-4</v>
      </c>
      <c r="J65" s="68">
        <v>7.5500000000000003E-4</v>
      </c>
      <c r="K65" s="30" cm="1">
        <f t="array" ref="K65">IFERROR(SUMPRODUCT((Table3[Entry]),(Table3[Entry Position Size]) * (Table3[Trade ID] = B65)) / SUMIF(Table3[Trade ID], B65, Table3[Entry Position Size]), "Check Data")</f>
        <v>7.0913178695410171E-4</v>
      </c>
      <c r="L65" s="67" cm="1">
        <f t="array" ref="L65">IFERROR(SUMPRODUCT((Table3[[Exit ]]),(Table3[Exit Position Size]) * (Table3[Trade ID] = B65)) / SUMIF(Table3[Trade ID], B65, Table3[Exit Position Size]), "Check Data")</f>
        <v>7.5574853301450481E-4</v>
      </c>
      <c r="M65" s="62"/>
      <c r="N65" s="67"/>
      <c r="O65" s="66"/>
    </row>
    <row r="66" spans="2:15" x14ac:dyDescent="0.25">
      <c r="B66" s="18">
        <v>26</v>
      </c>
      <c r="C66" s="18"/>
      <c r="D66" s="65"/>
      <c r="E66" s="60">
        <v>78.138900000000007</v>
      </c>
      <c r="F66" s="60">
        <v>712.7568</v>
      </c>
      <c r="G66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66" s="67"/>
      <c r="I66" s="68">
        <v>7.1100000000000004E-4</v>
      </c>
      <c r="J66" s="68">
        <v>7.5600000000000005E-4</v>
      </c>
      <c r="K66" s="30" cm="1">
        <f t="array" ref="K66">IFERROR(SUMPRODUCT((Table3[Entry]),(Table3[Entry Position Size]) * (Table3[Trade ID] = B66)) / SUMIF(Table3[Trade ID], B66, Table3[Entry Position Size]), "Check Data")</f>
        <v>7.0913178695410171E-4</v>
      </c>
      <c r="L66" s="67" cm="1">
        <f t="array" ref="L66">IFERROR(SUMPRODUCT((Table3[[Exit ]]),(Table3[Exit Position Size]) * (Table3[Trade ID] = B66)) / SUMIF(Table3[Trade ID], B66, Table3[Exit Position Size]), "Check Data")</f>
        <v>7.5574853301450481E-4</v>
      </c>
      <c r="M66" s="62"/>
      <c r="N66" s="67"/>
      <c r="O66" s="66"/>
    </row>
    <row r="67" spans="2:15" x14ac:dyDescent="0.25">
      <c r="B67" s="18">
        <v>26</v>
      </c>
      <c r="C67" s="18"/>
      <c r="D67" s="65"/>
      <c r="E67" s="60">
        <v>0.28439999999999999</v>
      </c>
      <c r="F67" s="60">
        <v>1089.1715999999999</v>
      </c>
      <c r="G67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67" s="67"/>
      <c r="I67" s="68">
        <v>7.1100000000000004E-4</v>
      </c>
      <c r="J67" s="68">
        <v>7.5699999999999997E-4</v>
      </c>
      <c r="K67" s="30" cm="1">
        <f t="array" ref="K67">IFERROR(SUMPRODUCT((Table3[Entry]),(Table3[Entry Position Size]) * (Table3[Trade ID] = B67)) / SUMIF(Table3[Trade ID], B67, Table3[Entry Position Size]), "Check Data")</f>
        <v>7.0913178695410171E-4</v>
      </c>
      <c r="L67" s="67" cm="1">
        <f t="array" ref="L67">IFERROR(SUMPRODUCT((Table3[[Exit ]]),(Table3[Exit Position Size]) * (Table3[Trade ID] = B67)) / SUMIF(Table3[Trade ID], B67, Table3[Exit Position Size]), "Check Data")</f>
        <v>7.5574853301450481E-4</v>
      </c>
      <c r="M67" s="62"/>
      <c r="N67" s="67"/>
      <c r="O67" s="66"/>
    </row>
    <row r="68" spans="2:15" x14ac:dyDescent="0.25">
      <c r="B68" s="18">
        <v>26</v>
      </c>
      <c r="C68" s="18"/>
      <c r="D68" s="65"/>
      <c r="E68" s="60">
        <v>49.984000000000002</v>
      </c>
      <c r="F68" s="60"/>
      <c r="G68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68" s="67"/>
      <c r="I68" s="68">
        <v>7.1000000000000002E-4</v>
      </c>
      <c r="J68" s="61"/>
      <c r="K68" s="30" cm="1">
        <f t="array" ref="K68">IFERROR(SUMPRODUCT((Table3[Entry]),(Table3[Entry Position Size]) * (Table3[Trade ID] = B68)) / SUMIF(Table3[Trade ID], B68, Table3[Entry Position Size]), "Check Data")</f>
        <v>7.0913178695410171E-4</v>
      </c>
      <c r="L68" s="67" cm="1">
        <f t="array" ref="L68">IFERROR(SUMPRODUCT((Table3[[Exit ]]),(Table3[Exit Position Size]) * (Table3[Trade ID] = B68)) / SUMIF(Table3[Trade ID], B68, Table3[Exit Position Size]), "Check Data")</f>
        <v>7.5574853301450481E-4</v>
      </c>
      <c r="M68" s="62"/>
      <c r="N68" s="67"/>
      <c r="O68" s="66"/>
    </row>
    <row r="69" spans="2:15" x14ac:dyDescent="0.25">
      <c r="B69" s="18">
        <v>26</v>
      </c>
      <c r="C69" s="18"/>
      <c r="D69" s="65"/>
      <c r="E69" s="60">
        <v>14.91</v>
      </c>
      <c r="F69" s="60"/>
      <c r="G69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69" s="67"/>
      <c r="I69" s="68">
        <v>7.1000000000000002E-4</v>
      </c>
      <c r="J69" s="61"/>
      <c r="K69" s="30" cm="1">
        <f t="array" ref="K69">IFERROR(SUMPRODUCT((Table3[Entry]),(Table3[Entry Position Size]) * (Table3[Trade ID] = B69)) / SUMIF(Table3[Trade ID], B69, Table3[Entry Position Size]), "Check Data")</f>
        <v>7.0913178695410171E-4</v>
      </c>
      <c r="L69" s="67" cm="1">
        <f t="array" ref="L69">IFERROR(SUMPRODUCT((Table3[[Exit ]]),(Table3[Exit Position Size]) * (Table3[Trade ID] = B69)) / SUMIF(Table3[Trade ID], B69, Table3[Exit Position Size]), "Check Data")</f>
        <v>7.5574853301450481E-4</v>
      </c>
      <c r="M69" s="62"/>
      <c r="N69" s="67"/>
      <c r="O69" s="66"/>
    </row>
    <row r="70" spans="2:15" x14ac:dyDescent="0.25">
      <c r="B70" s="18">
        <v>26</v>
      </c>
      <c r="C70" s="18"/>
      <c r="D70" s="65"/>
      <c r="E70" s="60">
        <v>9.0169999999999995</v>
      </c>
      <c r="F70" s="60"/>
      <c r="G70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70" s="67"/>
      <c r="I70" s="68">
        <v>7.1000000000000002E-4</v>
      </c>
      <c r="J70" s="61"/>
      <c r="K70" s="30" cm="1">
        <f t="array" ref="K70">IFERROR(SUMPRODUCT((Table3[Entry]),(Table3[Entry Position Size]) * (Table3[Trade ID] = B70)) / SUMIF(Table3[Trade ID], B70, Table3[Entry Position Size]), "Check Data")</f>
        <v>7.0913178695410171E-4</v>
      </c>
      <c r="L70" s="67" cm="1">
        <f t="array" ref="L70">IFERROR(SUMPRODUCT((Table3[[Exit ]]),(Table3[Exit Position Size]) * (Table3[Trade ID] = B70)) / SUMIF(Table3[Trade ID], B70, Table3[Exit Position Size]), "Check Data")</f>
        <v>7.5574853301450481E-4</v>
      </c>
      <c r="M70" s="62"/>
      <c r="N70" s="67"/>
      <c r="O70" s="66"/>
    </row>
    <row r="71" spans="2:15" x14ac:dyDescent="0.25">
      <c r="B71" s="18">
        <v>26</v>
      </c>
      <c r="C71" s="18"/>
      <c r="D71" s="65"/>
      <c r="E71" s="60">
        <v>13.987</v>
      </c>
      <c r="F71" s="60"/>
      <c r="G71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71" s="67"/>
      <c r="I71" s="68">
        <v>7.1000000000000002E-4</v>
      </c>
      <c r="J71" s="61"/>
      <c r="K71" s="30" cm="1">
        <f t="array" ref="K71">IFERROR(SUMPRODUCT((Table3[Entry]),(Table3[Entry Position Size]) * (Table3[Trade ID] = B71)) / SUMIF(Table3[Trade ID], B71, Table3[Entry Position Size]), "Check Data")</f>
        <v>7.0913178695410171E-4</v>
      </c>
      <c r="L71" s="67" cm="1">
        <f t="array" ref="L71">IFERROR(SUMPRODUCT((Table3[[Exit ]]),(Table3[Exit Position Size]) * (Table3[Trade ID] = B71)) / SUMIF(Table3[Trade ID], B71, Table3[Exit Position Size]), "Check Data")</f>
        <v>7.5574853301450481E-4</v>
      </c>
      <c r="M71" s="62"/>
      <c r="N71" s="67"/>
      <c r="O71" s="66"/>
    </row>
    <row r="72" spans="2:15" x14ac:dyDescent="0.25">
      <c r="B72" s="18">
        <v>26</v>
      </c>
      <c r="C72" s="18"/>
      <c r="D72" s="65"/>
      <c r="E72" s="60">
        <v>38.624000000000002</v>
      </c>
      <c r="F72" s="60"/>
      <c r="G72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72" s="67"/>
      <c r="I72" s="68">
        <v>7.1000000000000002E-4</v>
      </c>
      <c r="J72" s="61"/>
      <c r="K72" s="30" cm="1">
        <f t="array" ref="K72">IFERROR(SUMPRODUCT((Table3[Entry]),(Table3[Entry Position Size]) * (Table3[Trade ID] = B72)) / SUMIF(Table3[Trade ID], B72, Table3[Entry Position Size]), "Check Data")</f>
        <v>7.0913178695410171E-4</v>
      </c>
      <c r="L72" s="67" cm="1">
        <f t="array" ref="L72">IFERROR(SUMPRODUCT((Table3[[Exit ]]),(Table3[Exit Position Size]) * (Table3[Trade ID] = B72)) / SUMIF(Table3[Trade ID], B72, Table3[Exit Position Size]), "Check Data")</f>
        <v>7.5574853301450481E-4</v>
      </c>
      <c r="M72" s="62"/>
      <c r="N72" s="67"/>
      <c r="O72" s="66"/>
    </row>
    <row r="73" spans="2:15" x14ac:dyDescent="0.25">
      <c r="B73" s="18">
        <v>26</v>
      </c>
      <c r="C73" s="18"/>
      <c r="D73" s="65"/>
      <c r="E73" s="60">
        <v>2.911</v>
      </c>
      <c r="F73" s="60"/>
      <c r="G73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73" s="67"/>
      <c r="I73" s="68">
        <v>7.1000000000000002E-4</v>
      </c>
      <c r="J73" s="61"/>
      <c r="K73" s="30" cm="1">
        <f t="array" ref="K73">IFERROR(SUMPRODUCT((Table3[Entry]),(Table3[Entry Position Size]) * (Table3[Trade ID] = B73)) / SUMIF(Table3[Trade ID], B73, Table3[Entry Position Size]), "Check Data")</f>
        <v>7.0913178695410171E-4</v>
      </c>
      <c r="L73" s="67" cm="1">
        <f t="array" ref="L73">IFERROR(SUMPRODUCT((Table3[[Exit ]]),(Table3[Exit Position Size]) * (Table3[Trade ID] = B73)) / SUMIF(Table3[Trade ID], B73, Table3[Exit Position Size]), "Check Data")</f>
        <v>7.5574853301450481E-4</v>
      </c>
      <c r="M73" s="62"/>
      <c r="N73" s="67"/>
      <c r="O73" s="66"/>
    </row>
    <row r="74" spans="2:15" x14ac:dyDescent="0.25">
      <c r="B74" s="18">
        <v>26</v>
      </c>
      <c r="C74" s="18"/>
      <c r="D74" s="65"/>
      <c r="E74" s="60">
        <v>49.131999999999998</v>
      </c>
      <c r="F74" s="60"/>
      <c r="G74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74" s="67"/>
      <c r="I74" s="68">
        <v>7.1000000000000002E-4</v>
      </c>
      <c r="J74" s="61"/>
      <c r="K74" s="30" cm="1">
        <f t="array" ref="K74">IFERROR(SUMPRODUCT((Table3[Entry]),(Table3[Entry Position Size]) * (Table3[Trade ID] = B74)) / SUMIF(Table3[Trade ID], B74, Table3[Entry Position Size]), "Check Data")</f>
        <v>7.0913178695410171E-4</v>
      </c>
      <c r="L74" s="67" cm="1">
        <f t="array" ref="L74">IFERROR(SUMPRODUCT((Table3[[Exit ]]),(Table3[Exit Position Size]) * (Table3[Trade ID] = B74)) / SUMIF(Table3[Trade ID], B74, Table3[Exit Position Size]), "Check Data")</f>
        <v>7.5574853301450481E-4</v>
      </c>
      <c r="M74" s="62"/>
      <c r="N74" s="67"/>
      <c r="O74" s="66"/>
    </row>
    <row r="75" spans="2:15" x14ac:dyDescent="0.25">
      <c r="B75" s="18">
        <v>26</v>
      </c>
      <c r="C75" s="18"/>
      <c r="D75" s="65"/>
      <c r="E75" s="60">
        <v>19.951000000000001</v>
      </c>
      <c r="F75" s="60"/>
      <c r="G75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75" s="67"/>
      <c r="I75" s="68">
        <v>7.1000000000000002E-4</v>
      </c>
      <c r="J75" s="61"/>
      <c r="K75" s="30" cm="1">
        <f t="array" ref="K75">IFERROR(SUMPRODUCT((Table3[Entry]),(Table3[Entry Position Size]) * (Table3[Trade ID] = B75)) / SUMIF(Table3[Trade ID], B75, Table3[Entry Position Size]), "Check Data")</f>
        <v>7.0913178695410171E-4</v>
      </c>
      <c r="L75" s="67" cm="1">
        <f t="array" ref="L75">IFERROR(SUMPRODUCT((Table3[[Exit ]]),(Table3[Exit Position Size]) * (Table3[Trade ID] = B75)) / SUMIF(Table3[Trade ID], B75, Table3[Exit Position Size]), "Check Data")</f>
        <v>7.5574853301450481E-4</v>
      </c>
      <c r="M75" s="62"/>
      <c r="N75" s="67"/>
      <c r="O75" s="66"/>
    </row>
    <row r="76" spans="2:15" x14ac:dyDescent="0.25">
      <c r="B76" s="18">
        <v>26</v>
      </c>
      <c r="C76" s="18"/>
      <c r="D76" s="65"/>
      <c r="E76" s="60">
        <v>0.99399999999999999</v>
      </c>
      <c r="F76" s="60"/>
      <c r="G76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76" s="67"/>
      <c r="I76" s="68">
        <v>7.1000000000000002E-4</v>
      </c>
      <c r="J76" s="61"/>
      <c r="K76" s="30" cm="1">
        <f t="array" ref="K76">IFERROR(SUMPRODUCT((Table3[Entry]),(Table3[Entry Position Size]) * (Table3[Trade ID] = B76)) / SUMIF(Table3[Trade ID], B76, Table3[Entry Position Size]), "Check Data")</f>
        <v>7.0913178695410171E-4</v>
      </c>
      <c r="L76" s="67" cm="1">
        <f t="array" ref="L76">IFERROR(SUMPRODUCT((Table3[[Exit ]]),(Table3[Exit Position Size]) * (Table3[Trade ID] = B76)) / SUMIF(Table3[Trade ID], B76, Table3[Exit Position Size]), "Check Data")</f>
        <v>7.5574853301450481E-4</v>
      </c>
      <c r="M76" s="62"/>
      <c r="N76" s="67"/>
      <c r="O76" s="66"/>
    </row>
    <row r="77" spans="2:15" x14ac:dyDescent="0.25">
      <c r="B77" s="18">
        <v>26</v>
      </c>
      <c r="C77" s="18"/>
      <c r="D77" s="65"/>
      <c r="E77" s="60">
        <v>857.67729999999995</v>
      </c>
      <c r="F77" s="60"/>
      <c r="G77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77" s="67"/>
      <c r="I77" s="68">
        <v>7.0899999999999999E-4</v>
      </c>
      <c r="J77" s="61"/>
      <c r="K77" s="30" cm="1">
        <f t="array" ref="K77">IFERROR(SUMPRODUCT((Table3[Entry]),(Table3[Entry Position Size]) * (Table3[Trade ID] = B77)) / SUMIF(Table3[Trade ID], B77, Table3[Entry Position Size]), "Check Data")</f>
        <v>7.0913178695410171E-4</v>
      </c>
      <c r="L77" s="67" cm="1">
        <f t="array" ref="L77">IFERROR(SUMPRODUCT((Table3[[Exit ]]),(Table3[Exit Position Size]) * (Table3[Trade ID] = B77)) / SUMIF(Table3[Trade ID], B77, Table3[Exit Position Size]), "Check Data")</f>
        <v>7.5574853301450481E-4</v>
      </c>
      <c r="M77" s="62"/>
      <c r="N77" s="67"/>
      <c r="O77" s="66"/>
    </row>
    <row r="78" spans="2:15" x14ac:dyDescent="0.25">
      <c r="B78" s="18">
        <v>26</v>
      </c>
      <c r="C78" s="18"/>
      <c r="D78" s="65"/>
      <c r="E78" s="60">
        <v>112.37649999999999</v>
      </c>
      <c r="F78" s="60"/>
      <c r="G78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78" s="67"/>
      <c r="I78" s="68">
        <v>7.0899999999999999E-4</v>
      </c>
      <c r="J78" s="61"/>
      <c r="K78" s="30" cm="1">
        <f t="array" ref="K78">IFERROR(SUMPRODUCT((Table3[Entry]),(Table3[Entry Position Size]) * (Table3[Trade ID] = B78)) / SUMIF(Table3[Trade ID], B78, Table3[Entry Position Size]), "Check Data")</f>
        <v>7.0913178695410171E-4</v>
      </c>
      <c r="L78" s="67" cm="1">
        <f t="array" ref="L78">IFERROR(SUMPRODUCT((Table3[[Exit ]]),(Table3[Exit Position Size]) * (Table3[Trade ID] = B78)) / SUMIF(Table3[Trade ID], B78, Table3[Exit Position Size]), "Check Data")</f>
        <v>7.5574853301450481E-4</v>
      </c>
      <c r="M78" s="62"/>
      <c r="N78" s="67"/>
      <c r="O78" s="66"/>
    </row>
    <row r="79" spans="2:15" x14ac:dyDescent="0.25">
      <c r="B79" s="18">
        <v>26</v>
      </c>
      <c r="C79" s="18"/>
      <c r="D79" s="65"/>
      <c r="E79" s="60">
        <v>32.401299999999999</v>
      </c>
      <c r="F79" s="60"/>
      <c r="G79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79" s="67"/>
      <c r="I79" s="68">
        <v>7.0899999999999999E-4</v>
      </c>
      <c r="J79" s="61"/>
      <c r="K79" s="30" cm="1">
        <f t="array" ref="K79">IFERROR(SUMPRODUCT((Table3[Entry]),(Table3[Entry Position Size]) * (Table3[Trade ID] = B79)) / SUMIF(Table3[Trade ID], B79, Table3[Entry Position Size]), "Check Data")</f>
        <v>7.0913178695410171E-4</v>
      </c>
      <c r="L79" s="67" cm="1">
        <f t="array" ref="L79">IFERROR(SUMPRODUCT((Table3[[Exit ]]),(Table3[Exit Position Size]) * (Table3[Trade ID] = B79)) / SUMIF(Table3[Trade ID], B79, Table3[Exit Position Size]), "Check Data")</f>
        <v>7.5574853301450481E-4</v>
      </c>
      <c r="M79" s="62"/>
      <c r="N79" s="67"/>
      <c r="O79" s="66"/>
    </row>
    <row r="80" spans="2:15" x14ac:dyDescent="0.25">
      <c r="B80" s="18">
        <v>26</v>
      </c>
      <c r="C80" s="18"/>
      <c r="D80" s="65"/>
      <c r="E80" s="60">
        <v>19.965599999999998</v>
      </c>
      <c r="F80" s="60"/>
      <c r="G80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80" s="67"/>
      <c r="I80" s="68">
        <v>7.0799999999999997E-4</v>
      </c>
      <c r="J80" s="61"/>
      <c r="K80" s="30" cm="1">
        <f t="array" ref="K80">IFERROR(SUMPRODUCT((Table3[Entry]),(Table3[Entry Position Size]) * (Table3[Trade ID] = B80)) / SUMIF(Table3[Trade ID], B80, Table3[Entry Position Size]), "Check Data")</f>
        <v>7.0913178695410171E-4</v>
      </c>
      <c r="L80" s="67" cm="1">
        <f t="array" ref="L80">IFERROR(SUMPRODUCT((Table3[[Exit ]]),(Table3[Exit Position Size]) * (Table3[Trade ID] = B80)) / SUMIF(Table3[Trade ID], B80, Table3[Exit Position Size]), "Check Data")</f>
        <v>7.5574853301450481E-4</v>
      </c>
      <c r="M80" s="62"/>
      <c r="N80" s="67"/>
      <c r="O80" s="66"/>
    </row>
    <row r="81" spans="2:15" x14ac:dyDescent="0.25">
      <c r="B81" s="18">
        <v>26</v>
      </c>
      <c r="C81" s="18"/>
      <c r="D81" s="65"/>
      <c r="E81" s="60">
        <v>0.63719999999999999</v>
      </c>
      <c r="F81" s="60"/>
      <c r="G81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81" s="67"/>
      <c r="I81" s="68">
        <v>7.0799999999999997E-4</v>
      </c>
      <c r="J81" s="61"/>
      <c r="K81" s="30" cm="1">
        <f t="array" ref="K81">IFERROR(SUMPRODUCT((Table3[Entry]),(Table3[Entry Position Size]) * (Table3[Trade ID] = B81)) / SUMIF(Table3[Trade ID], B81, Table3[Entry Position Size]), "Check Data")</f>
        <v>7.0913178695410171E-4</v>
      </c>
      <c r="L81" s="67" cm="1">
        <f t="array" ref="L81">IFERROR(SUMPRODUCT((Table3[[Exit ]]),(Table3[Exit Position Size]) * (Table3[Trade ID] = B81)) / SUMIF(Table3[Trade ID], B81, Table3[Exit Position Size]), "Check Data")</f>
        <v>7.5574853301450481E-4</v>
      </c>
      <c r="M81" s="62"/>
      <c r="N81" s="67"/>
      <c r="O81" s="66"/>
    </row>
    <row r="82" spans="2:15" x14ac:dyDescent="0.25">
      <c r="B82" s="18">
        <v>26</v>
      </c>
      <c r="C82" s="18"/>
      <c r="D82" s="65"/>
      <c r="E82" s="60">
        <v>310.10399999999998</v>
      </c>
      <c r="F82" s="60"/>
      <c r="G82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82" s="67"/>
      <c r="I82" s="68">
        <v>7.0799999999999997E-4</v>
      </c>
      <c r="J82" s="61"/>
      <c r="K82" s="30" cm="1">
        <f t="array" ref="K82">IFERROR(SUMPRODUCT((Table3[Entry]),(Table3[Entry Position Size]) * (Table3[Trade ID] = B82)) / SUMIF(Table3[Trade ID], B82, Table3[Entry Position Size]), "Check Data")</f>
        <v>7.0913178695410171E-4</v>
      </c>
      <c r="L82" s="67" cm="1">
        <f t="array" ref="L82">IFERROR(SUMPRODUCT((Table3[[Exit ]]),(Table3[Exit Position Size]) * (Table3[Trade ID] = B82)) / SUMIF(Table3[Trade ID], B82, Table3[Exit Position Size]), "Check Data")</f>
        <v>7.5574853301450481E-4</v>
      </c>
      <c r="M82" s="62"/>
      <c r="N82" s="67"/>
      <c r="O82" s="66"/>
    </row>
    <row r="83" spans="2:15" x14ac:dyDescent="0.25">
      <c r="B83" s="18">
        <v>26</v>
      </c>
      <c r="C83" s="18"/>
      <c r="D83" s="65"/>
      <c r="E83" s="60">
        <v>310.10399999999998</v>
      </c>
      <c r="F83" s="60"/>
      <c r="G83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83" s="67"/>
      <c r="I83" s="68">
        <v>7.0799999999999997E-4</v>
      </c>
      <c r="J83" s="61"/>
      <c r="K83" s="30" cm="1">
        <f t="array" ref="K83">IFERROR(SUMPRODUCT((Table3[Entry]),(Table3[Entry Position Size]) * (Table3[Trade ID] = B83)) / SUMIF(Table3[Trade ID], B83, Table3[Entry Position Size]), "Check Data")</f>
        <v>7.0913178695410171E-4</v>
      </c>
      <c r="L83" s="67" cm="1">
        <f t="array" ref="L83">IFERROR(SUMPRODUCT((Table3[[Exit ]]),(Table3[Exit Position Size]) * (Table3[Trade ID] = B83)) / SUMIF(Table3[Trade ID], B83, Table3[Exit Position Size]), "Check Data")</f>
        <v>7.5574853301450481E-4</v>
      </c>
      <c r="M83" s="62"/>
      <c r="N83" s="67"/>
      <c r="O83" s="66"/>
    </row>
    <row r="84" spans="2:15" x14ac:dyDescent="0.25">
      <c r="B84" s="18">
        <v>26</v>
      </c>
      <c r="C84" s="18"/>
      <c r="D84" s="65"/>
      <c r="E84" s="60">
        <v>430.35090000000002</v>
      </c>
      <c r="F84" s="60"/>
      <c r="G84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84" s="67"/>
      <c r="I84" s="68">
        <v>7.0699999999999995E-4</v>
      </c>
      <c r="J84" s="61"/>
      <c r="K84" s="30" cm="1">
        <f t="array" ref="K84">IFERROR(SUMPRODUCT((Table3[Entry]),(Table3[Entry Position Size]) * (Table3[Trade ID] = B84)) / SUMIF(Table3[Trade ID], B84, Table3[Entry Position Size]), "Check Data")</f>
        <v>7.0913178695410171E-4</v>
      </c>
      <c r="L84" s="67" cm="1">
        <f t="array" ref="L84">IFERROR(SUMPRODUCT((Table3[[Exit ]]),(Table3[Exit Position Size]) * (Table3[Trade ID] = B84)) / SUMIF(Table3[Trade ID], B84, Table3[Exit Position Size]), "Check Data")</f>
        <v>7.5574853301450481E-4</v>
      </c>
      <c r="M84" s="62"/>
      <c r="N84" s="67"/>
      <c r="O84" s="66"/>
    </row>
    <row r="85" spans="2:15" x14ac:dyDescent="0.25">
      <c r="B85" s="18">
        <v>26</v>
      </c>
      <c r="C85" s="18"/>
      <c r="D85" s="65"/>
      <c r="E85" s="60">
        <v>28.492100000000001</v>
      </c>
      <c r="F85" s="60"/>
      <c r="G85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85" s="67"/>
      <c r="I85" s="68">
        <v>7.0699999999999995E-4</v>
      </c>
      <c r="J85" s="61"/>
      <c r="K85" s="30" cm="1">
        <f t="array" ref="K85">IFERROR(SUMPRODUCT((Table3[Entry]),(Table3[Entry Position Size]) * (Table3[Trade ID] = B85)) / SUMIF(Table3[Trade ID], B85, Table3[Entry Position Size]), "Check Data")</f>
        <v>7.0913178695410171E-4</v>
      </c>
      <c r="L85" s="67" cm="1">
        <f t="array" ref="L85">IFERROR(SUMPRODUCT((Table3[[Exit ]]),(Table3[Exit Position Size]) * (Table3[Trade ID] = B85)) / SUMIF(Table3[Trade ID], B85, Table3[Exit Position Size]), "Check Data")</f>
        <v>7.5574853301450481E-4</v>
      </c>
      <c r="M85" s="62"/>
      <c r="N85" s="67"/>
      <c r="O85" s="66"/>
    </row>
    <row r="86" spans="2:15" x14ac:dyDescent="0.25">
      <c r="B86" s="18">
        <v>27</v>
      </c>
      <c r="C86" s="18" t="s">
        <v>31</v>
      </c>
      <c r="D86" s="65">
        <v>20</v>
      </c>
      <c r="E86" s="60">
        <v>3200</v>
      </c>
      <c r="F86" s="60">
        <v>7.3696000000000002</v>
      </c>
      <c r="G86" s="67">
        <f>IF(Table3[[#This Row],[Trade ID]]&lt;&gt;"", IF(COUNTIF(INDEX(Table3[Trade ID],1):Table3[[#This Row],[Trade ID]], Table3[[#This Row],[Trade ID]])=1, SUMIFS(Table3[Entry Position Size], Table3[Trade ID], Table3[[#This Row],[Trade ID]]), ""), "")</f>
        <v>3200</v>
      </c>
      <c r="H86" s="67">
        <f>Table3[[#This Row],[Position Size]]/Table3[[#This Row],[Leverage]]</f>
        <v>160</v>
      </c>
      <c r="I86" s="61">
        <v>8.0000000000000004E-4</v>
      </c>
      <c r="J86" s="61">
        <v>7.8399999999999997E-4</v>
      </c>
      <c r="K86" s="30" cm="1">
        <f t="array" ref="K86">IFERROR(SUMPRODUCT((Table3[Entry]),(Table3[Entry Position Size]) * (Table3[Trade ID] = B86)) / SUMIF(Table3[Trade ID], B86, Table3[Entry Position Size]), "Check Data")</f>
        <v>8.0000000000000004E-4</v>
      </c>
      <c r="L86" s="67" cm="1">
        <f t="array" ref="L86">IFERROR(SUMPRODUCT((Table3[[Exit ]]),(Table3[Exit Position Size]) * (Table3[Trade ID] = B86)) / SUMIF(Table3[Trade ID], B86, Table3[Exit Position Size]), "Check Data")</f>
        <v>7.8455501483835335E-4</v>
      </c>
      <c r="M86" s="62"/>
      <c r="N86" s="67"/>
      <c r="O86" s="66"/>
    </row>
    <row r="87" spans="2:15" x14ac:dyDescent="0.25">
      <c r="B87" s="18">
        <v>27</v>
      </c>
      <c r="C87" s="18"/>
      <c r="D87" s="65"/>
      <c r="E87" s="60"/>
      <c r="F87" s="60">
        <v>1389.0912000000001</v>
      </c>
      <c r="G87" s="67"/>
      <c r="H87" s="67"/>
      <c r="I87" s="61"/>
      <c r="J87" s="61">
        <v>7.8399999999999997E-4</v>
      </c>
      <c r="K87" s="30" cm="1">
        <f t="array" ref="K87">IFERROR(SUMPRODUCT((Table3[Entry]),(Table3[Entry Position Size]) * (Table3[Trade ID] = B87)) / SUMIF(Table3[Trade ID], B87, Table3[Entry Position Size]), "Check Data")</f>
        <v>8.0000000000000004E-4</v>
      </c>
      <c r="L87" s="67" cm="1">
        <f t="array" ref="L87">IFERROR(SUMPRODUCT((Table3[[Exit ]]),(Table3[Exit Position Size]) * (Table3[Trade ID] = B87)) / SUMIF(Table3[Trade ID], B87, Table3[Exit Position Size]), "Check Data")</f>
        <v>7.8455501483835335E-4</v>
      </c>
      <c r="M87" s="62"/>
      <c r="N87" s="67"/>
      <c r="O87" s="66"/>
    </row>
    <row r="88" spans="2:15" x14ac:dyDescent="0.25">
      <c r="B88" s="18">
        <v>27</v>
      </c>
      <c r="C88" s="18"/>
      <c r="D88" s="65"/>
      <c r="E88" s="60"/>
      <c r="F88" s="60">
        <v>260.149</v>
      </c>
      <c r="G88" s="67"/>
      <c r="H88" s="67"/>
      <c r="I88" s="61"/>
      <c r="J88" s="61">
        <v>7.85E-4</v>
      </c>
      <c r="K88" s="30" cm="1">
        <f t="array" ref="K88">IFERROR(SUMPRODUCT((Table3[Entry]),(Table3[Entry Position Size]) * (Table3[Trade ID] = B88)) / SUMIF(Table3[Trade ID], B88, Table3[Entry Position Size]), "Check Data")</f>
        <v>8.0000000000000004E-4</v>
      </c>
      <c r="L88" s="67" cm="1">
        <f t="array" ref="L88">IFERROR(SUMPRODUCT((Table3[[Exit ]]),(Table3[Exit Position Size]) * (Table3[Trade ID] = B88)) / SUMIF(Table3[Trade ID], B88, Table3[Exit Position Size]), "Check Data")</f>
        <v>7.8455501483835335E-4</v>
      </c>
      <c r="M88" s="62"/>
      <c r="N88" s="67"/>
      <c r="O88" s="66"/>
    </row>
    <row r="89" spans="2:15" x14ac:dyDescent="0.25">
      <c r="B89" s="18">
        <v>27</v>
      </c>
      <c r="C89" s="18"/>
      <c r="D89" s="65"/>
      <c r="E89" s="60"/>
      <c r="F89" s="60">
        <v>19.939</v>
      </c>
      <c r="G89" s="67"/>
      <c r="H89" s="67"/>
      <c r="I89" s="61"/>
      <c r="J89" s="61">
        <v>7.85E-4</v>
      </c>
      <c r="K89" s="30" cm="1">
        <f t="array" ref="K89">IFERROR(SUMPRODUCT((Table3[Entry]),(Table3[Entry Position Size]) * (Table3[Trade ID] = B89)) / SUMIF(Table3[Trade ID], B89, Table3[Entry Position Size]), "Check Data")</f>
        <v>8.0000000000000004E-4</v>
      </c>
      <c r="L89" s="67" cm="1">
        <f t="array" ref="L89">IFERROR(SUMPRODUCT((Table3[[Exit ]]),(Table3[Exit Position Size]) * (Table3[Trade ID] = B89)) / SUMIF(Table3[Trade ID], B89, Table3[Exit Position Size]), "Check Data")</f>
        <v>7.8455501483835335E-4</v>
      </c>
      <c r="M89" s="62"/>
      <c r="N89" s="67"/>
      <c r="O89" s="66"/>
    </row>
    <row r="90" spans="2:15" x14ac:dyDescent="0.25">
      <c r="B90" s="18">
        <v>27</v>
      </c>
      <c r="C90" s="18"/>
      <c r="D90" s="65"/>
      <c r="E90" s="60"/>
      <c r="F90" s="60">
        <v>1461.67</v>
      </c>
      <c r="G90" s="67"/>
      <c r="H90" s="67"/>
      <c r="I90" s="61"/>
      <c r="J90" s="61">
        <v>7.85E-4</v>
      </c>
      <c r="K90" s="30" cm="1">
        <f t="array" ref="K90">IFERROR(SUMPRODUCT((Table3[Entry]),(Table3[Entry Position Size]) * (Table3[Trade ID] = B90)) / SUMIF(Table3[Trade ID], B90, Table3[Entry Position Size]), "Check Data")</f>
        <v>8.0000000000000004E-4</v>
      </c>
      <c r="L90" s="67" cm="1">
        <f t="array" ref="L90">IFERROR(SUMPRODUCT((Table3[[Exit ]]),(Table3[Exit Position Size]) * (Table3[Trade ID] = B90)) / SUMIF(Table3[Trade ID], B90, Table3[Exit Position Size]), "Check Data")</f>
        <v>7.8455501483835335E-4</v>
      </c>
      <c r="M90" s="62"/>
      <c r="N90" s="67"/>
      <c r="O90" s="66"/>
    </row>
    <row r="91" spans="2:15" x14ac:dyDescent="0.25">
      <c r="B91" s="18">
        <v>28</v>
      </c>
      <c r="C91" s="18" t="s">
        <v>31</v>
      </c>
      <c r="D91" s="65">
        <v>20</v>
      </c>
      <c r="E91" s="60">
        <v>53.868000000000002</v>
      </c>
      <c r="F91" s="60">
        <v>130.59200000000001</v>
      </c>
      <c r="G91" s="67">
        <f>IF(Table3[[#This Row],[Trade ID]]&lt;&gt;"", IF(COUNTIF(INDEX(Table3[Trade ID],1):Table3[[#This Row],[Trade ID]], Table3[[#This Row],[Trade ID]])=1, SUMIFS(Table3[Entry Position Size], Table3[Trade ID], Table3[[#This Row],[Trade ID]]), ""), "")</f>
        <v>3201.2315000000003</v>
      </c>
      <c r="H91" s="67">
        <f>Table3[[#This Row],[Position Size]]/Table3[[#This Row],[Leverage]]</f>
        <v>160.061575</v>
      </c>
      <c r="I91" s="61">
        <v>8.0400000000000003E-4</v>
      </c>
      <c r="J91" s="61">
        <v>7.6999999999999996E-4</v>
      </c>
      <c r="K91" s="30" cm="1">
        <f t="array" ref="K91">IFERROR(SUMPRODUCT((Table3[Entry]),(Table3[Entry Position Size]) * (Table3[Trade ID] = B91)) / SUMIF(Table3[Trade ID], B91, Table3[Entry Position Size]), "Check Data")</f>
        <v>8.0031338598911066E-4</v>
      </c>
      <c r="L91" s="67" cm="1">
        <f t="array" ref="L91">IFERROR(SUMPRODUCT((Table3[[Exit ]]),(Table3[Exit Position Size]) * (Table3[Trade ID] = B91)) / SUMIF(Table3[Trade ID], B91, Table3[Exit Position Size]), "Check Data")</f>
        <v>7.7191859296397753E-4</v>
      </c>
      <c r="M91" s="62"/>
      <c r="N91" s="67"/>
      <c r="O91" s="66"/>
    </row>
    <row r="92" spans="2:15" x14ac:dyDescent="0.25">
      <c r="B92" s="18">
        <v>28</v>
      </c>
      <c r="C92" s="18"/>
      <c r="D92" s="65"/>
      <c r="E92" s="60">
        <v>84.982799999999997</v>
      </c>
      <c r="F92" s="60">
        <v>114.807</v>
      </c>
      <c r="G92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92" s="67"/>
      <c r="I92" s="61">
        <v>8.0400000000000003E-4</v>
      </c>
      <c r="J92" s="61">
        <v>7.6999999999999996E-4</v>
      </c>
      <c r="K92" s="30" cm="1">
        <f t="array" ref="K92">IFERROR(SUMPRODUCT((Table3[Entry]),(Table3[Entry Position Size]) * (Table3[Trade ID] = B92)) / SUMIF(Table3[Trade ID], B92, Table3[Entry Position Size]), "Check Data")</f>
        <v>8.0031338598911066E-4</v>
      </c>
      <c r="L92" s="67" cm="1">
        <f t="array" ref="L92">IFERROR(SUMPRODUCT((Table3[[Exit ]]),(Table3[Exit Position Size]) * (Table3[Trade ID] = B92)) / SUMIF(Table3[Trade ID], B92, Table3[Exit Position Size]), "Check Data")</f>
        <v>7.7191859296397753E-4</v>
      </c>
      <c r="M92" s="62"/>
      <c r="N92" s="67"/>
      <c r="O92" s="66"/>
    </row>
    <row r="93" spans="2:15" x14ac:dyDescent="0.25">
      <c r="B93" s="18">
        <v>28</v>
      </c>
      <c r="C93" s="18"/>
      <c r="D93" s="65"/>
      <c r="E93" s="60">
        <v>46.310400000000001</v>
      </c>
      <c r="F93" s="60">
        <v>81.004000000000005</v>
      </c>
      <c r="G93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93" s="67"/>
      <c r="I93" s="61">
        <v>8.0400000000000003E-4</v>
      </c>
      <c r="J93" s="61">
        <v>7.6999999999999996E-4</v>
      </c>
      <c r="K93" s="30" cm="1">
        <f t="array" ref="K93">IFERROR(SUMPRODUCT((Table3[Entry]),(Table3[Entry Position Size]) * (Table3[Trade ID] = B93)) / SUMIF(Table3[Trade ID], B93, Table3[Entry Position Size]), "Check Data")</f>
        <v>8.0031338598911066E-4</v>
      </c>
      <c r="L93" s="67" cm="1">
        <f t="array" ref="L93">IFERROR(SUMPRODUCT((Table3[[Exit ]]),(Table3[Exit Position Size]) * (Table3[Trade ID] = B93)) / SUMIF(Table3[Trade ID], B93, Table3[Exit Position Size]), "Check Data")</f>
        <v>7.7191859296397753E-4</v>
      </c>
      <c r="M93" s="62"/>
      <c r="N93" s="67"/>
      <c r="O93" s="66"/>
    </row>
    <row r="94" spans="2:15" x14ac:dyDescent="0.25">
      <c r="B94" s="18">
        <v>28</v>
      </c>
      <c r="C94" s="18"/>
      <c r="D94" s="65"/>
      <c r="E94" s="60">
        <v>2.3315999999999999</v>
      </c>
      <c r="F94" s="60">
        <v>82.39</v>
      </c>
      <c r="G94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94" s="67"/>
      <c r="I94" s="61">
        <v>8.0400000000000003E-4</v>
      </c>
      <c r="J94" s="61">
        <v>7.6999999999999996E-4</v>
      </c>
      <c r="K94" s="30" cm="1">
        <f t="array" ref="K94">IFERROR(SUMPRODUCT((Table3[Entry]),(Table3[Entry Position Size]) * (Table3[Trade ID] = B94)) / SUMIF(Table3[Trade ID], B94, Table3[Entry Position Size]), "Check Data")</f>
        <v>8.0031338598911066E-4</v>
      </c>
      <c r="L94" s="67" cm="1">
        <f t="array" ref="L94">IFERROR(SUMPRODUCT((Table3[[Exit ]]),(Table3[Exit Position Size]) * (Table3[Trade ID] = B94)) / SUMIF(Table3[Trade ID], B94, Table3[Exit Position Size]), "Check Data")</f>
        <v>7.7191859296397753E-4</v>
      </c>
      <c r="M94" s="62"/>
      <c r="N94" s="67"/>
      <c r="O94" s="66"/>
    </row>
    <row r="95" spans="2:15" x14ac:dyDescent="0.25">
      <c r="B95" s="18">
        <v>28</v>
      </c>
      <c r="C95" s="18"/>
      <c r="D95" s="65"/>
      <c r="E95" s="60">
        <v>29.951899999999998</v>
      </c>
      <c r="F95" s="60">
        <v>402.63299999999998</v>
      </c>
      <c r="G95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95" s="67"/>
      <c r="I95" s="61">
        <v>8.03E-4</v>
      </c>
      <c r="J95" s="61">
        <v>7.6999999999999996E-4</v>
      </c>
      <c r="K95" s="30" cm="1">
        <f t="array" ref="K95">IFERROR(SUMPRODUCT((Table3[Entry]),(Table3[Entry Position Size]) * (Table3[Trade ID] = B95)) / SUMIF(Table3[Trade ID], B95, Table3[Entry Position Size]), "Check Data")</f>
        <v>8.0031338598911066E-4</v>
      </c>
      <c r="L95" s="67" cm="1">
        <f t="array" ref="L95">IFERROR(SUMPRODUCT((Table3[[Exit ]]),(Table3[Exit Position Size]) * (Table3[Trade ID] = B95)) / SUMIF(Table3[Trade ID], B95, Table3[Exit Position Size]), "Check Data")</f>
        <v>7.7191859296397753E-4</v>
      </c>
      <c r="M95" s="62"/>
      <c r="N95" s="67"/>
      <c r="O95" s="66"/>
    </row>
    <row r="96" spans="2:15" x14ac:dyDescent="0.25">
      <c r="B96" s="18">
        <v>28</v>
      </c>
      <c r="C96" s="18"/>
      <c r="D96" s="65"/>
      <c r="E96" s="60">
        <v>29.951899999999998</v>
      </c>
      <c r="F96" s="60">
        <v>79.694999999999993</v>
      </c>
      <c r="G96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96" s="67"/>
      <c r="I96" s="61">
        <v>8.03E-4</v>
      </c>
      <c r="J96" s="61">
        <v>7.6999999999999996E-4</v>
      </c>
      <c r="K96" s="30" cm="1">
        <f t="array" ref="K96">IFERROR(SUMPRODUCT((Table3[Entry]),(Table3[Entry Position Size]) * (Table3[Trade ID] = B96)) / SUMIF(Table3[Trade ID], B96, Table3[Entry Position Size]), "Check Data")</f>
        <v>8.0031338598911066E-4</v>
      </c>
      <c r="L96" s="67" cm="1">
        <f t="array" ref="L96">IFERROR(SUMPRODUCT((Table3[[Exit ]]),(Table3[Exit Position Size]) * (Table3[Trade ID] = B96)) / SUMIF(Table3[Trade ID], B96, Table3[Exit Position Size]), "Check Data")</f>
        <v>7.7191859296397753E-4</v>
      </c>
      <c r="M96" s="62"/>
      <c r="N96" s="67"/>
      <c r="O96" s="66"/>
    </row>
    <row r="97" spans="2:15" x14ac:dyDescent="0.25">
      <c r="B97" s="18">
        <v>28</v>
      </c>
      <c r="C97" s="18"/>
      <c r="D97" s="65"/>
      <c r="E97" s="60">
        <v>53.881300000000003</v>
      </c>
      <c r="F97" s="60">
        <v>139.83199999999999</v>
      </c>
      <c r="G97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97" s="67"/>
      <c r="I97" s="61">
        <v>8.03E-4</v>
      </c>
      <c r="J97" s="61">
        <v>7.6999999999999996E-4</v>
      </c>
      <c r="K97" s="30" cm="1">
        <f t="array" ref="K97">IFERROR(SUMPRODUCT((Table3[Entry]),(Table3[Entry Position Size]) * (Table3[Trade ID] = B97)) / SUMIF(Table3[Trade ID], B97, Table3[Entry Position Size]), "Check Data")</f>
        <v>8.0031338598911066E-4</v>
      </c>
      <c r="L97" s="67" cm="1">
        <f t="array" ref="L97">IFERROR(SUMPRODUCT((Table3[[Exit ]]),(Table3[Exit Position Size]) * (Table3[Trade ID] = B97)) / SUMIF(Table3[Trade ID], B97, Table3[Exit Position Size]), "Check Data")</f>
        <v>7.7191859296397753E-4</v>
      </c>
      <c r="M97" s="62"/>
      <c r="N97" s="67"/>
      <c r="O97" s="66"/>
    </row>
    <row r="98" spans="2:15" x14ac:dyDescent="0.25">
      <c r="B98" s="18">
        <v>28</v>
      </c>
      <c r="C98" s="18"/>
      <c r="D98" s="65"/>
      <c r="E98" s="60">
        <v>19.994700000000002</v>
      </c>
      <c r="F98" s="60">
        <v>49.575299999999999</v>
      </c>
      <c r="G98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98" s="67"/>
      <c r="I98" s="61">
        <v>8.03E-4</v>
      </c>
      <c r="J98" s="61">
        <v>7.7099999999999998E-4</v>
      </c>
      <c r="K98" s="30" cm="1">
        <f t="array" ref="K98">IFERROR(SUMPRODUCT((Table3[Entry]),(Table3[Entry Position Size]) * (Table3[Trade ID] = B98)) / SUMIF(Table3[Trade ID], B98, Table3[Entry Position Size]), "Check Data")</f>
        <v>8.0031338598911066E-4</v>
      </c>
      <c r="L98" s="67" cm="1">
        <f t="array" ref="L98">IFERROR(SUMPRODUCT((Table3[[Exit ]]),(Table3[Exit Position Size]) * (Table3[Trade ID] = B98)) / SUMIF(Table3[Trade ID], B98, Table3[Exit Position Size]), "Check Data")</f>
        <v>7.7191859296397753E-4</v>
      </c>
      <c r="M98" s="62"/>
      <c r="N98" s="67"/>
      <c r="O98" s="66"/>
    </row>
    <row r="99" spans="2:15" x14ac:dyDescent="0.25">
      <c r="B99" s="18">
        <v>28</v>
      </c>
      <c r="C99" s="18"/>
      <c r="D99" s="65"/>
      <c r="E99" s="60">
        <v>444.3802</v>
      </c>
      <c r="F99" s="60">
        <v>215.10900000000001</v>
      </c>
      <c r="G99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99" s="67"/>
      <c r="I99" s="61">
        <v>8.03E-4</v>
      </c>
      <c r="J99" s="61">
        <v>7.7099999999999998E-4</v>
      </c>
      <c r="K99" s="30" cm="1">
        <f t="array" ref="K99">IFERROR(SUMPRODUCT((Table3[Entry]),(Table3[Entry Position Size]) * (Table3[Trade ID] = B99)) / SUMIF(Table3[Trade ID], B99, Table3[Entry Position Size]), "Check Data")</f>
        <v>8.0031338598911066E-4</v>
      </c>
      <c r="L99" s="67" cm="1">
        <f t="array" ref="L99">IFERROR(SUMPRODUCT((Table3[[Exit ]]),(Table3[Exit Position Size]) * (Table3[Trade ID] = B99)) / SUMIF(Table3[Trade ID], B99, Table3[Exit Position Size]), "Check Data")</f>
        <v>7.7191859296397753E-4</v>
      </c>
      <c r="M99" s="62"/>
      <c r="N99" s="67"/>
      <c r="O99" s="66"/>
    </row>
    <row r="100" spans="2:15" x14ac:dyDescent="0.25">
      <c r="B100" s="18">
        <v>28</v>
      </c>
      <c r="C100" s="18"/>
      <c r="D100" s="65"/>
      <c r="E100" s="60">
        <v>1.2030000000000001</v>
      </c>
      <c r="F100" s="60">
        <v>262.01679999999999</v>
      </c>
      <c r="G100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100" s="67"/>
      <c r="I100" s="61">
        <v>8.0199999999999998E-4</v>
      </c>
      <c r="J100" s="61">
        <v>7.7200000000000001E-4</v>
      </c>
      <c r="K100" s="30" cm="1">
        <f t="array" ref="K100">IFERROR(SUMPRODUCT((Table3[Entry]),(Table3[Entry Position Size]) * (Table3[Trade ID] = B100)) / SUMIF(Table3[Trade ID], B100, Table3[Entry Position Size]), "Check Data")</f>
        <v>8.0031338598911066E-4</v>
      </c>
      <c r="L100" s="67" cm="1">
        <f t="array" ref="L100">IFERROR(SUMPRODUCT((Table3[[Exit ]]),(Table3[Exit Position Size]) * (Table3[Trade ID] = B100)) / SUMIF(Table3[Trade ID], B100, Table3[Exit Position Size]), "Check Data")</f>
        <v>7.7191859296397753E-4</v>
      </c>
      <c r="M100" s="62"/>
      <c r="N100" s="67"/>
      <c r="O100" s="66"/>
    </row>
    <row r="101" spans="2:15" x14ac:dyDescent="0.25">
      <c r="B101" s="18">
        <v>28</v>
      </c>
      <c r="C101" s="18"/>
      <c r="D101" s="65"/>
      <c r="E101" s="60">
        <v>389.29079999999999</v>
      </c>
      <c r="F101" s="60">
        <v>34.74</v>
      </c>
      <c r="G101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101" s="67"/>
      <c r="I101" s="61">
        <v>8.0199999999999998E-4</v>
      </c>
      <c r="J101" s="61">
        <v>7.7200000000000001E-4</v>
      </c>
      <c r="K101" s="30" cm="1">
        <f t="array" ref="K101">IFERROR(SUMPRODUCT((Table3[Entry]),(Table3[Entry Position Size]) * (Table3[Trade ID] = B101)) / SUMIF(Table3[Trade ID], B101, Table3[Entry Position Size]), "Check Data")</f>
        <v>8.0031338598911066E-4</v>
      </c>
      <c r="L101" s="67" cm="1">
        <f t="array" ref="L101">IFERROR(SUMPRODUCT((Table3[[Exit ]]),(Table3[Exit Position Size]) * (Table3[Trade ID] = B101)) / SUMIF(Table3[Trade ID], B101, Table3[Exit Position Size]), "Check Data")</f>
        <v>7.7191859296397753E-4</v>
      </c>
      <c r="M101" s="62"/>
      <c r="N101" s="67"/>
      <c r="O101" s="66"/>
    </row>
    <row r="102" spans="2:15" x14ac:dyDescent="0.25">
      <c r="B102" s="18">
        <v>28</v>
      </c>
      <c r="C102" s="18"/>
      <c r="D102" s="65"/>
      <c r="E102" s="60">
        <v>9.9323999999999995</v>
      </c>
      <c r="F102" s="60">
        <v>199.94800000000001</v>
      </c>
      <c r="G102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102" s="67"/>
      <c r="I102" s="61">
        <v>8.0099999999999995E-4</v>
      </c>
      <c r="J102" s="61">
        <v>7.7200000000000001E-4</v>
      </c>
      <c r="K102" s="30" cm="1">
        <f t="array" ref="K102">IFERROR(SUMPRODUCT((Table3[Entry]),(Table3[Entry Position Size]) * (Table3[Trade ID] = B102)) / SUMIF(Table3[Trade ID], B102, Table3[Entry Position Size]), "Check Data")</f>
        <v>8.0031338598911066E-4</v>
      </c>
      <c r="L102" s="67" cm="1">
        <f t="array" ref="L102">IFERROR(SUMPRODUCT((Table3[[Exit ]]),(Table3[Exit Position Size]) * (Table3[Trade ID] = B102)) / SUMIF(Table3[Trade ID], B102, Table3[Exit Position Size]), "Check Data")</f>
        <v>7.7191859296397753E-4</v>
      </c>
      <c r="M102" s="62"/>
      <c r="N102" s="67"/>
      <c r="O102" s="66"/>
    </row>
    <row r="103" spans="2:15" x14ac:dyDescent="0.25">
      <c r="B103" s="18">
        <v>28</v>
      </c>
      <c r="C103" s="18"/>
      <c r="D103" s="65"/>
      <c r="E103" s="60">
        <v>50</v>
      </c>
      <c r="F103" s="60">
        <v>700.18340000000001</v>
      </c>
      <c r="G103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103" s="67"/>
      <c r="I103" s="61">
        <v>8.0000000000000004E-4</v>
      </c>
      <c r="J103" s="61">
        <v>7.7300000000000003E-4</v>
      </c>
      <c r="K103" s="30" cm="1">
        <f t="array" ref="K103">IFERROR(SUMPRODUCT((Table3[Entry]),(Table3[Entry Position Size]) * (Table3[Trade ID] = B103)) / SUMIF(Table3[Trade ID], B103, Table3[Entry Position Size]), "Check Data")</f>
        <v>8.0031338598911066E-4</v>
      </c>
      <c r="L103" s="67" cm="1">
        <f t="array" ref="L103">IFERROR(SUMPRODUCT((Table3[[Exit ]]),(Table3[Exit Position Size]) * (Table3[Trade ID] = B103)) / SUMIF(Table3[Trade ID], B103, Table3[Exit Position Size]), "Check Data")</f>
        <v>7.7191859296397753E-4</v>
      </c>
      <c r="M103" s="62"/>
      <c r="N103" s="67"/>
      <c r="O103" s="66"/>
    </row>
    <row r="104" spans="2:15" x14ac:dyDescent="0.25">
      <c r="B104" s="18">
        <v>28</v>
      </c>
      <c r="C104" s="18"/>
      <c r="D104" s="65"/>
      <c r="E104" s="60">
        <v>100</v>
      </c>
      <c r="F104" s="60">
        <v>49.085500000000003</v>
      </c>
      <c r="G104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104" s="67"/>
      <c r="I104" s="61">
        <v>8.0000000000000004E-4</v>
      </c>
      <c r="J104" s="61">
        <v>7.7300000000000003E-4</v>
      </c>
      <c r="K104" s="30" cm="1">
        <f t="array" ref="K104">IFERROR(SUMPRODUCT((Table3[Entry]),(Table3[Entry Position Size]) * (Table3[Trade ID] = B104)) / SUMIF(Table3[Trade ID], B104, Table3[Entry Position Size]), "Check Data")</f>
        <v>8.0031338598911066E-4</v>
      </c>
      <c r="L104" s="67" cm="1">
        <f t="array" ref="L104">IFERROR(SUMPRODUCT((Table3[[Exit ]]),(Table3[Exit Position Size]) * (Table3[Trade ID] = B104)) / SUMIF(Table3[Trade ID], B104, Table3[Exit Position Size]), "Check Data")</f>
        <v>7.7191859296397753E-4</v>
      </c>
      <c r="M104" s="62"/>
      <c r="N104" s="67"/>
      <c r="O104" s="66"/>
    </row>
    <row r="105" spans="2:15" x14ac:dyDescent="0.25">
      <c r="B105" s="18">
        <v>28</v>
      </c>
      <c r="C105" s="18"/>
      <c r="D105" s="65"/>
      <c r="E105" s="60">
        <v>8.08</v>
      </c>
      <c r="F105" s="60">
        <v>49.9358</v>
      </c>
      <c r="G105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105" s="67"/>
      <c r="I105" s="61">
        <v>8.0000000000000004E-4</v>
      </c>
      <c r="J105" s="61">
        <v>7.7300000000000003E-4</v>
      </c>
      <c r="K105" s="30" cm="1">
        <f t="array" ref="K105">IFERROR(SUMPRODUCT((Table3[Entry]),(Table3[Entry Position Size]) * (Table3[Trade ID] = B105)) / SUMIF(Table3[Trade ID], B105, Table3[Entry Position Size]), "Check Data")</f>
        <v>8.0031338598911066E-4</v>
      </c>
      <c r="L105" s="67" cm="1">
        <f t="array" ref="L105">IFERROR(SUMPRODUCT((Table3[[Exit ]]),(Table3[Exit Position Size]) * (Table3[Trade ID] = B105)) / SUMIF(Table3[Trade ID], B105, Table3[Exit Position Size]), "Check Data")</f>
        <v>7.7191859296397753E-4</v>
      </c>
      <c r="M105" s="62"/>
      <c r="N105" s="67"/>
      <c r="O105" s="66"/>
    </row>
    <row r="106" spans="2:15" x14ac:dyDescent="0.25">
      <c r="B106" s="18">
        <v>28</v>
      </c>
      <c r="C106" s="18"/>
      <c r="D106" s="65"/>
      <c r="E106" s="60">
        <v>4</v>
      </c>
      <c r="F106" s="60">
        <v>57.820399999999999</v>
      </c>
      <c r="G106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106" s="67"/>
      <c r="I106" s="61">
        <v>8.0000000000000004E-4</v>
      </c>
      <c r="J106" s="61">
        <v>7.7300000000000003E-4</v>
      </c>
      <c r="K106" s="30" cm="1">
        <f t="array" ref="K106">IFERROR(SUMPRODUCT((Table3[Entry]),(Table3[Entry Position Size]) * (Table3[Trade ID] = B106)) / SUMIF(Table3[Trade ID], B106, Table3[Entry Position Size]), "Check Data")</f>
        <v>8.0031338598911066E-4</v>
      </c>
      <c r="L106" s="67" cm="1">
        <f t="array" ref="L106">IFERROR(SUMPRODUCT((Table3[[Exit ]]),(Table3[Exit Position Size]) * (Table3[Trade ID] = B106)) / SUMIF(Table3[Trade ID], B106, Table3[Exit Position Size]), "Check Data")</f>
        <v>7.7191859296397753E-4</v>
      </c>
      <c r="M106" s="62"/>
      <c r="N106" s="67"/>
      <c r="O106" s="66"/>
    </row>
    <row r="107" spans="2:15" x14ac:dyDescent="0.25">
      <c r="B107" s="18">
        <v>28</v>
      </c>
      <c r="C107" s="18"/>
      <c r="D107" s="65"/>
      <c r="E107" s="60">
        <v>300</v>
      </c>
      <c r="F107" s="60">
        <v>18.343800000000002</v>
      </c>
      <c r="G107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107" s="67"/>
      <c r="I107" s="61">
        <v>8.0000000000000004E-4</v>
      </c>
      <c r="J107" s="61">
        <v>7.7399999999999995E-4</v>
      </c>
      <c r="K107" s="30" cm="1">
        <f t="array" ref="K107">IFERROR(SUMPRODUCT((Table3[Entry]),(Table3[Entry Position Size]) * (Table3[Trade ID] = B107)) / SUMIF(Table3[Trade ID], B107, Table3[Entry Position Size]), "Check Data")</f>
        <v>8.0031338598911066E-4</v>
      </c>
      <c r="L107" s="67" cm="1">
        <f t="array" ref="L107">IFERROR(SUMPRODUCT((Table3[[Exit ]]),(Table3[Exit Position Size]) * (Table3[Trade ID] = B107)) / SUMIF(Table3[Trade ID], B107, Table3[Exit Position Size]), "Check Data")</f>
        <v>7.7191859296397753E-4</v>
      </c>
      <c r="M107" s="62"/>
      <c r="N107" s="67"/>
      <c r="O107" s="66"/>
    </row>
    <row r="108" spans="2:15" x14ac:dyDescent="0.25">
      <c r="B108" s="18">
        <v>28</v>
      </c>
      <c r="C108" s="18"/>
      <c r="D108" s="65"/>
      <c r="E108" s="60">
        <v>45.04</v>
      </c>
      <c r="F108" s="60">
        <v>79.9542</v>
      </c>
      <c r="G108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108" s="67"/>
      <c r="I108" s="61">
        <v>8.0000000000000004E-4</v>
      </c>
      <c r="J108" s="61">
        <v>7.7399999999999995E-4</v>
      </c>
      <c r="K108" s="30" cm="1">
        <f t="array" ref="K108">IFERROR(SUMPRODUCT((Table3[Entry]),(Table3[Entry Position Size]) * (Table3[Trade ID] = B108)) / SUMIF(Table3[Trade ID], B108, Table3[Entry Position Size]), "Check Data")</f>
        <v>8.0031338598911066E-4</v>
      </c>
      <c r="L108" s="67" cm="1">
        <f t="array" ref="L108">IFERROR(SUMPRODUCT((Table3[[Exit ]]),(Table3[Exit Position Size]) * (Table3[Trade ID] = B108)) / SUMIF(Table3[Trade ID], B108, Table3[Exit Position Size]), "Check Data")</f>
        <v>7.7191859296397753E-4</v>
      </c>
      <c r="M108" s="62"/>
      <c r="N108" s="67"/>
      <c r="O108" s="66"/>
    </row>
    <row r="109" spans="2:15" x14ac:dyDescent="0.25">
      <c r="B109" s="18">
        <v>28</v>
      </c>
      <c r="C109" s="18"/>
      <c r="D109" s="65"/>
      <c r="E109" s="60">
        <v>131.76</v>
      </c>
      <c r="F109" s="60">
        <v>59.520600000000002</v>
      </c>
      <c r="G109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109" s="67"/>
      <c r="I109" s="61">
        <v>8.0000000000000004E-4</v>
      </c>
      <c r="J109" s="61">
        <v>7.7399999999999995E-4</v>
      </c>
      <c r="K109" s="30" cm="1">
        <f t="array" ref="K109">IFERROR(SUMPRODUCT((Table3[Entry]),(Table3[Entry Position Size]) * (Table3[Trade ID] = B109)) / SUMIF(Table3[Trade ID], B109, Table3[Entry Position Size]), "Check Data")</f>
        <v>8.0031338598911066E-4</v>
      </c>
      <c r="L109" s="67" cm="1">
        <f t="array" ref="L109">IFERROR(SUMPRODUCT((Table3[[Exit ]]),(Table3[Exit Position Size]) * (Table3[Trade ID] = B109)) / SUMIF(Table3[Trade ID], B109, Table3[Exit Position Size]), "Check Data")</f>
        <v>7.7191859296397753E-4</v>
      </c>
      <c r="M109" s="62"/>
      <c r="N109" s="67"/>
      <c r="O109" s="66"/>
    </row>
    <row r="110" spans="2:15" x14ac:dyDescent="0.25">
      <c r="B110" s="18">
        <v>28</v>
      </c>
      <c r="C110" s="18"/>
      <c r="D110" s="65"/>
      <c r="E110" s="60">
        <v>96</v>
      </c>
      <c r="F110" s="60">
        <v>60.526800000000001</v>
      </c>
      <c r="G110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110" s="67"/>
      <c r="I110" s="61">
        <v>8.0000000000000004E-4</v>
      </c>
      <c r="J110" s="61">
        <v>7.7399999999999995E-4</v>
      </c>
      <c r="K110" s="30" cm="1">
        <f t="array" ref="K110">IFERROR(SUMPRODUCT((Table3[Entry]),(Table3[Entry Position Size]) * (Table3[Trade ID] = B110)) / SUMIF(Table3[Trade ID], B110, Table3[Entry Position Size]), "Check Data")</f>
        <v>8.0031338598911066E-4</v>
      </c>
      <c r="L110" s="67" cm="1">
        <f t="array" ref="L110">IFERROR(SUMPRODUCT((Table3[[Exit ]]),(Table3[Exit Position Size]) * (Table3[Trade ID] = B110)) / SUMIF(Table3[Trade ID], B110, Table3[Exit Position Size]), "Check Data")</f>
        <v>7.7191859296397753E-4</v>
      </c>
      <c r="M110" s="62"/>
      <c r="N110" s="67"/>
      <c r="O110" s="66"/>
    </row>
    <row r="111" spans="2:15" x14ac:dyDescent="0.25">
      <c r="B111" s="18">
        <v>28</v>
      </c>
      <c r="C111" s="18"/>
      <c r="D111" s="65"/>
      <c r="E111" s="60">
        <v>19.335799999999999</v>
      </c>
      <c r="F111" s="60">
        <v>42.082500000000003</v>
      </c>
      <c r="G111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111" s="67"/>
      <c r="I111" s="61">
        <v>7.9900000000000001E-4</v>
      </c>
      <c r="J111" s="61">
        <v>7.7499999999999997E-4</v>
      </c>
      <c r="K111" s="30" cm="1">
        <f t="array" ref="K111">IFERROR(SUMPRODUCT((Table3[Entry]),(Table3[Entry Position Size]) * (Table3[Trade ID] = B111)) / SUMIF(Table3[Trade ID], B111, Table3[Entry Position Size]), "Check Data")</f>
        <v>8.0031338598911066E-4</v>
      </c>
      <c r="L111" s="67" cm="1">
        <f t="array" ref="L111">IFERROR(SUMPRODUCT((Table3[[Exit ]]),(Table3[Exit Position Size]) * (Table3[Trade ID] = B111)) / SUMIF(Table3[Trade ID], B111, Table3[Exit Position Size]), "Check Data")</f>
        <v>7.7191859296397753E-4</v>
      </c>
      <c r="M111" s="62"/>
      <c r="N111" s="67"/>
      <c r="O111" s="66"/>
    </row>
    <row r="112" spans="2:15" x14ac:dyDescent="0.25">
      <c r="B112" s="18">
        <v>28</v>
      </c>
      <c r="C112" s="18"/>
      <c r="D112" s="65"/>
      <c r="E112" s="60">
        <v>2.8763999999999998</v>
      </c>
      <c r="F112" s="60">
        <v>56.1875</v>
      </c>
      <c r="G112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112" s="67"/>
      <c r="I112" s="61">
        <v>7.9900000000000001E-4</v>
      </c>
      <c r="J112" s="61">
        <v>7.7499999999999997E-4</v>
      </c>
      <c r="K112" s="30" cm="1">
        <f t="array" ref="K112">IFERROR(SUMPRODUCT((Table3[Entry]),(Table3[Entry Position Size]) * (Table3[Trade ID] = B112)) / SUMIF(Table3[Trade ID], B112, Table3[Entry Position Size]), "Check Data")</f>
        <v>8.0031338598911066E-4</v>
      </c>
      <c r="L112" s="67" cm="1">
        <f t="array" ref="L112">IFERROR(SUMPRODUCT((Table3[[Exit ]]),(Table3[Exit Position Size]) * (Table3[Trade ID] = B112)) / SUMIF(Table3[Trade ID], B112, Table3[Exit Position Size]), "Check Data")</f>
        <v>7.7191859296397753E-4</v>
      </c>
      <c r="M112" s="62"/>
      <c r="N112" s="67"/>
      <c r="O112" s="66"/>
    </row>
    <row r="113" spans="2:18" x14ac:dyDescent="0.25">
      <c r="B113" s="18">
        <v>28</v>
      </c>
      <c r="C113" s="18"/>
      <c r="D113" s="65"/>
      <c r="E113" s="60">
        <v>2.8763999999999998</v>
      </c>
      <c r="F113" s="60">
        <v>34.687199999999997</v>
      </c>
      <c r="G113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113" s="67"/>
      <c r="I113" s="61">
        <v>7.9900000000000001E-4</v>
      </c>
      <c r="J113" s="61">
        <v>7.76E-4</v>
      </c>
      <c r="K113" s="30" cm="1">
        <f t="array" ref="K113">IFERROR(SUMPRODUCT((Table3[Entry]),(Table3[Entry Position Size]) * (Table3[Trade ID] = B113)) / SUMIF(Table3[Trade ID], B113, Table3[Entry Position Size]), "Check Data")</f>
        <v>8.0031338598911066E-4</v>
      </c>
      <c r="L113" s="67" cm="1">
        <f t="array" ref="L113">IFERROR(SUMPRODUCT((Table3[[Exit ]]),(Table3[Exit Position Size]) * (Table3[Trade ID] = B113)) / SUMIF(Table3[Trade ID], B113, Table3[Exit Position Size]), "Check Data")</f>
        <v>7.7191859296397753E-4</v>
      </c>
      <c r="M113" s="62"/>
      <c r="N113" s="67"/>
      <c r="O113" s="66"/>
    </row>
    <row r="114" spans="2:18" x14ac:dyDescent="0.25">
      <c r="B114" s="18">
        <v>28</v>
      </c>
      <c r="C114" s="18"/>
      <c r="D114" s="65"/>
      <c r="E114" s="60">
        <v>415.63979999999998</v>
      </c>
      <c r="F114" s="60">
        <v>24.211200000000002</v>
      </c>
      <c r="G114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114" s="67"/>
      <c r="I114" s="61">
        <v>7.9900000000000001E-4</v>
      </c>
      <c r="J114" s="61">
        <v>7.76E-4</v>
      </c>
      <c r="K114" s="30" cm="1">
        <f t="array" ref="K114">IFERROR(SUMPRODUCT((Table3[Entry]),(Table3[Entry Position Size]) * (Table3[Trade ID] = B114)) / SUMIF(Table3[Trade ID], B114, Table3[Entry Position Size]), "Check Data")</f>
        <v>8.0031338598911066E-4</v>
      </c>
      <c r="L114" s="67" cm="1">
        <f t="array" ref="L114">IFERROR(SUMPRODUCT((Table3[[Exit ]]),(Table3[Exit Position Size]) * (Table3[Trade ID] = B114)) / SUMIF(Table3[Trade ID], B114, Table3[Exit Position Size]), "Check Data")</f>
        <v>7.7191859296397753E-4</v>
      </c>
      <c r="M114" s="62"/>
      <c r="N114" s="67"/>
      <c r="O114" s="66"/>
    </row>
    <row r="115" spans="2:18" x14ac:dyDescent="0.25">
      <c r="B115" s="18">
        <v>28</v>
      </c>
      <c r="C115" s="18"/>
      <c r="D115" s="65"/>
      <c r="E115" s="60">
        <v>38.224200000000003</v>
      </c>
      <c r="F115" s="60">
        <v>62.778399999999998</v>
      </c>
      <c r="G115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115" s="67"/>
      <c r="I115" s="61">
        <v>7.9799999999999999E-4</v>
      </c>
      <c r="J115" s="61">
        <v>7.76E-4</v>
      </c>
      <c r="K115" s="30" cm="1">
        <f t="array" ref="K115">IFERROR(SUMPRODUCT((Table3[Entry]),(Table3[Entry Position Size]) * (Table3[Trade ID] = B115)) / SUMIF(Table3[Trade ID], B115, Table3[Entry Position Size]), "Check Data")</f>
        <v>8.0031338598911066E-4</v>
      </c>
      <c r="L115" s="67" cm="1">
        <f t="array" ref="L115">IFERROR(SUMPRODUCT((Table3[[Exit ]]),(Table3[Exit Position Size]) * (Table3[Trade ID] = B115)) / SUMIF(Table3[Trade ID], B115, Table3[Exit Position Size]), "Check Data")</f>
        <v>7.7191859296397753E-4</v>
      </c>
      <c r="M115" s="62"/>
      <c r="N115" s="67"/>
      <c r="O115" s="66"/>
    </row>
    <row r="116" spans="2:18" x14ac:dyDescent="0.25">
      <c r="B116" s="18">
        <v>28</v>
      </c>
      <c r="C116" s="18"/>
      <c r="D116" s="65"/>
      <c r="E116" s="60">
        <v>19.710599999999999</v>
      </c>
      <c r="F116" s="60"/>
      <c r="G116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116" s="67"/>
      <c r="I116" s="61">
        <v>7.9799999999999999E-4</v>
      </c>
      <c r="J116" s="61"/>
      <c r="K116" s="30" cm="1">
        <f t="array" ref="K116">IFERROR(SUMPRODUCT((Table3[Entry]),(Table3[Entry Position Size]) * (Table3[Trade ID] = B116)) / SUMIF(Table3[Trade ID], B116, Table3[Entry Position Size]), "Check Data")</f>
        <v>8.0031338598911066E-4</v>
      </c>
      <c r="L116" s="67" cm="1">
        <f t="array" ref="L116">IFERROR(SUMPRODUCT((Table3[[Exit ]]),(Table3[Exit Position Size]) * (Table3[Trade ID] = B116)) / SUMIF(Table3[Trade ID], B116, Table3[Exit Position Size]), "Check Data")</f>
        <v>7.7191859296397753E-4</v>
      </c>
      <c r="M116" s="62"/>
      <c r="N116" s="67"/>
      <c r="O116" s="66"/>
    </row>
    <row r="117" spans="2:18" x14ac:dyDescent="0.25">
      <c r="B117" s="18">
        <v>28</v>
      </c>
      <c r="C117" s="18"/>
      <c r="D117" s="65"/>
      <c r="E117" s="60">
        <v>268.12799999999999</v>
      </c>
      <c r="F117" s="60"/>
      <c r="G117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117" s="67"/>
      <c r="I117" s="61">
        <v>7.9799999999999999E-4</v>
      </c>
      <c r="J117" s="61"/>
      <c r="K117" s="30" cm="1">
        <f t="array" ref="K117">IFERROR(SUMPRODUCT((Table3[Entry]),(Table3[Entry Position Size]) * (Table3[Trade ID] = B117)) / SUMIF(Table3[Trade ID], B117, Table3[Entry Position Size]), "Check Data")</f>
        <v>8.0031338598911066E-4</v>
      </c>
      <c r="L117" s="67" cm="1">
        <f t="array" ref="L117">IFERROR(SUMPRODUCT((Table3[[Exit ]]),(Table3[Exit Position Size]) * (Table3[Trade ID] = B117)) / SUMIF(Table3[Trade ID], B117, Table3[Exit Position Size]), "Check Data")</f>
        <v>7.7191859296397753E-4</v>
      </c>
      <c r="M117" s="62"/>
      <c r="N117" s="67"/>
      <c r="O117" s="66"/>
    </row>
    <row r="118" spans="2:18" x14ac:dyDescent="0.25">
      <c r="B118" s="18">
        <v>28</v>
      </c>
      <c r="C118" s="18"/>
      <c r="D118" s="65"/>
      <c r="E118" s="60">
        <v>496.03680000000003</v>
      </c>
      <c r="F118" s="60"/>
      <c r="G118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118" s="67"/>
      <c r="I118" s="61">
        <v>7.9799999999999999E-4</v>
      </c>
      <c r="J118" s="61"/>
      <c r="K118" s="30" cm="1">
        <f t="array" ref="K118">IFERROR(SUMPRODUCT((Table3[Entry]),(Table3[Entry Position Size]) * (Table3[Trade ID] = B118)) / SUMIF(Table3[Trade ID], B118, Table3[Entry Position Size]), "Check Data")</f>
        <v>8.0031338598911066E-4</v>
      </c>
      <c r="L118" s="67" cm="1">
        <f t="array" ref="L118">IFERROR(SUMPRODUCT((Table3[[Exit ]]),(Table3[Exit Position Size]) * (Table3[Trade ID] = B118)) / SUMIF(Table3[Trade ID], B118, Table3[Exit Position Size]), "Check Data")</f>
        <v>7.7191859296397753E-4</v>
      </c>
      <c r="M118" s="62"/>
      <c r="N118" s="67"/>
      <c r="O118" s="66"/>
    </row>
    <row r="119" spans="2:18" x14ac:dyDescent="0.25">
      <c r="B119" s="18">
        <v>28</v>
      </c>
      <c r="C119" s="18"/>
      <c r="D119" s="65"/>
      <c r="E119" s="60">
        <v>37.444499999999998</v>
      </c>
      <c r="F119" s="60"/>
      <c r="G119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119" s="67"/>
      <c r="I119" s="61">
        <v>7.9500000000000003E-4</v>
      </c>
      <c r="J119" s="61"/>
      <c r="K119" s="30" cm="1">
        <f t="array" ref="K119">IFERROR(SUMPRODUCT((Table3[Entry]),(Table3[Entry Position Size]) * (Table3[Trade ID] = B119)) / SUMIF(Table3[Trade ID], B119, Table3[Entry Position Size]), "Check Data")</f>
        <v>8.0031338598911066E-4</v>
      </c>
      <c r="L119" s="67" cm="1">
        <f t="array" ref="L119">IFERROR(SUMPRODUCT((Table3[[Exit ]]),(Table3[Exit Position Size]) * (Table3[Trade ID] = B119)) / SUMIF(Table3[Trade ID], B119, Table3[Exit Position Size]), "Check Data")</f>
        <v>7.7191859296397753E-4</v>
      </c>
      <c r="M119" s="62"/>
      <c r="N119" s="67"/>
      <c r="O119" s="66"/>
    </row>
    <row r="120" spans="2:18" x14ac:dyDescent="0.25">
      <c r="B120" s="18">
        <v>29</v>
      </c>
      <c r="C120" s="18" t="s">
        <v>59</v>
      </c>
      <c r="D120" s="65">
        <v>20</v>
      </c>
      <c r="E120" s="60">
        <v>46.583500000000001</v>
      </c>
      <c r="F120" s="60">
        <v>49.991199999999999</v>
      </c>
      <c r="G120" s="67">
        <f>IF(Table3[[#This Row],[Trade ID]]&lt;&gt;"", IF(COUNTIF(INDEX(Table3[Trade ID],1):Table3[[#This Row],[Trade ID]], Table3[[#This Row],[Trade ID]])=1, SUMIFS(Table3[Entry Position Size], Table3[Trade ID], Table3[[#This Row],[Trade ID]]), ""), "")</f>
        <v>3042.8848000000007</v>
      </c>
      <c r="H120" s="67">
        <f>Table3[[#This Row],[Position Size]]/Table3[[#This Row],[Leverage]]</f>
        <v>152.14424000000002</v>
      </c>
      <c r="I120" s="69">
        <v>7.5500000000000003E-4</v>
      </c>
      <c r="J120" s="69">
        <v>7.9100000000000004E-4</v>
      </c>
      <c r="K120" s="30" cm="1">
        <f t="array" ref="K120">IFERROR(SUMPRODUCT((Table3[Entry]),(Table3[Entry Position Size]) * (Table3[Trade ID] = B120)) / SUMIF(Table3[Trade ID], B120, Table3[Entry Position Size]), "Check Data")</f>
        <v>7.6074439689599789E-4</v>
      </c>
      <c r="L120" s="67" cm="1">
        <f t="array" ref="L120">IFERROR(SUMPRODUCT((Table3[[Exit ]]),(Table3[Exit Position Size]) * (Table3[Trade ID] = B120)) / SUMIF(Table3[Trade ID], B120, Table3[Exit Position Size]), "Check Data")</f>
        <v>7.9222210080557751E-4</v>
      </c>
      <c r="M120" s="62"/>
      <c r="N120" s="67"/>
      <c r="O120" s="66"/>
      <c r="Q120" s="70"/>
      <c r="R120" s="71"/>
    </row>
    <row r="121" spans="2:18" x14ac:dyDescent="0.25">
      <c r="B121" s="18">
        <v>29</v>
      </c>
      <c r="C121" s="18"/>
      <c r="D121" s="65"/>
      <c r="E121" s="60">
        <v>19.9848</v>
      </c>
      <c r="F121" s="60">
        <v>388.85559999999998</v>
      </c>
      <c r="G121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121" s="67"/>
      <c r="I121" s="69">
        <v>7.5699999999999997E-4</v>
      </c>
      <c r="J121" s="69">
        <v>7.9100000000000004E-4</v>
      </c>
      <c r="K121" s="30" cm="1">
        <f t="array" ref="K121">IFERROR(SUMPRODUCT((Table3[Entry]),(Table3[Entry Position Size]) * (Table3[Trade ID] = B121)) / SUMIF(Table3[Trade ID], B121, Table3[Entry Position Size]), "Check Data")</f>
        <v>7.6074439689599789E-4</v>
      </c>
      <c r="L121" s="67" cm="1">
        <f t="array" ref="L121">IFERROR(SUMPRODUCT((Table3[[Exit ]]),(Table3[Exit Position Size]) * (Table3[Trade ID] = B121)) / SUMIF(Table3[Trade ID], B121, Table3[Exit Position Size]), "Check Data")</f>
        <v>7.9222210080557751E-4</v>
      </c>
      <c r="M121" s="62"/>
      <c r="N121" s="67"/>
      <c r="O121" s="66"/>
    </row>
    <row r="122" spans="2:18" x14ac:dyDescent="0.25">
      <c r="B122" s="18">
        <v>29</v>
      </c>
      <c r="C122" s="18"/>
      <c r="D122" s="65"/>
      <c r="E122" s="60">
        <v>249.9614</v>
      </c>
      <c r="F122" s="60">
        <v>108.1297</v>
      </c>
      <c r="G122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122" s="67"/>
      <c r="I122" s="69">
        <v>7.5699999999999997E-4</v>
      </c>
      <c r="J122" s="69">
        <v>7.9100000000000004E-4</v>
      </c>
      <c r="K122" s="30" cm="1">
        <f t="array" ref="K122">IFERROR(SUMPRODUCT((Table3[Entry]),(Table3[Entry Position Size]) * (Table3[Trade ID] = B122)) / SUMIF(Table3[Trade ID], B122, Table3[Entry Position Size]), "Check Data")</f>
        <v>7.6074439689599789E-4</v>
      </c>
      <c r="L122" s="67" cm="1">
        <f t="array" ref="L122">IFERROR(SUMPRODUCT((Table3[[Exit ]]),(Table3[Exit Position Size]) * (Table3[Trade ID] = B122)) / SUMIF(Table3[Trade ID], B122, Table3[Exit Position Size]), "Check Data")</f>
        <v>7.9222210080557751E-4</v>
      </c>
      <c r="M122" s="62"/>
      <c r="N122" s="67"/>
      <c r="O122" s="66"/>
    </row>
    <row r="123" spans="2:18" x14ac:dyDescent="0.25">
      <c r="B123" s="18">
        <v>29</v>
      </c>
      <c r="C123" s="18"/>
      <c r="D123" s="65"/>
      <c r="E123" s="60">
        <v>35.322800000000001</v>
      </c>
      <c r="F123" s="60">
        <v>29.978899999999999</v>
      </c>
      <c r="G123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123" s="67"/>
      <c r="I123" s="69">
        <v>7.5799999999999999E-4</v>
      </c>
      <c r="J123" s="69">
        <v>7.9100000000000004E-4</v>
      </c>
      <c r="K123" s="30" cm="1">
        <f t="array" ref="K123">IFERROR(SUMPRODUCT((Table3[Entry]),(Table3[Entry Position Size]) * (Table3[Trade ID] = B123)) / SUMIF(Table3[Trade ID], B123, Table3[Entry Position Size]), "Check Data")</f>
        <v>7.6074439689599789E-4</v>
      </c>
      <c r="L123" s="67" cm="1">
        <f t="array" ref="L123">IFERROR(SUMPRODUCT((Table3[[Exit ]]),(Table3[Exit Position Size]) * (Table3[Trade ID] = B123)) / SUMIF(Table3[Trade ID], B123, Table3[Exit Position Size]), "Check Data")</f>
        <v>7.9222210080557751E-4</v>
      </c>
      <c r="M123" s="62"/>
      <c r="N123" s="67"/>
      <c r="O123" s="66"/>
    </row>
    <row r="124" spans="2:18" x14ac:dyDescent="0.25">
      <c r="B124" s="18">
        <v>29</v>
      </c>
      <c r="C124" s="18"/>
      <c r="D124" s="65"/>
      <c r="E124" s="60">
        <v>547.8066</v>
      </c>
      <c r="F124" s="60">
        <v>7.9100000000000004E-2</v>
      </c>
      <c r="G124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124" s="67"/>
      <c r="I124" s="69">
        <v>7.5799999999999999E-4</v>
      </c>
      <c r="J124" s="69">
        <v>7.9100000000000004E-4</v>
      </c>
      <c r="K124" s="30" cm="1">
        <f t="array" ref="K124">IFERROR(SUMPRODUCT((Table3[Entry]),(Table3[Entry Position Size]) * (Table3[Trade ID] = B124)) / SUMIF(Table3[Trade ID], B124, Table3[Entry Position Size]), "Check Data")</f>
        <v>7.6074439689599789E-4</v>
      </c>
      <c r="L124" s="67" cm="1">
        <f t="array" ref="L124">IFERROR(SUMPRODUCT((Table3[[Exit ]]),(Table3[Exit Position Size]) * (Table3[Trade ID] = B124)) / SUMIF(Table3[Trade ID], B124, Table3[Exit Position Size]), "Check Data")</f>
        <v>7.9222210080557751E-4</v>
      </c>
      <c r="M124" s="62"/>
      <c r="N124" s="67"/>
      <c r="O124" s="66"/>
    </row>
    <row r="125" spans="2:18" x14ac:dyDescent="0.25">
      <c r="B125" s="18">
        <v>29</v>
      </c>
      <c r="C125" s="18"/>
      <c r="D125" s="65"/>
      <c r="E125" s="60">
        <v>499.97680000000003</v>
      </c>
      <c r="F125" s="60">
        <v>155.709</v>
      </c>
      <c r="G125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125" s="67"/>
      <c r="I125" s="69">
        <v>7.5799999999999999E-4</v>
      </c>
      <c r="J125" s="69">
        <v>7.9000000000000001E-4</v>
      </c>
      <c r="K125" s="30" cm="1">
        <f t="array" ref="K125">IFERROR(SUMPRODUCT((Table3[Entry]),(Table3[Entry Position Size]) * (Table3[Trade ID] = B125)) / SUMIF(Table3[Trade ID], B125, Table3[Entry Position Size]), "Check Data")</f>
        <v>7.6074439689599789E-4</v>
      </c>
      <c r="L125" s="67" cm="1">
        <f t="array" ref="L125">IFERROR(SUMPRODUCT((Table3[[Exit ]]),(Table3[Exit Position Size]) * (Table3[Trade ID] = B125)) / SUMIF(Table3[Trade ID], B125, Table3[Exit Position Size]), "Check Data")</f>
        <v>7.9222210080557751E-4</v>
      </c>
      <c r="M125" s="62"/>
      <c r="N125" s="67"/>
      <c r="O125" s="66"/>
    </row>
    <row r="126" spans="2:18" x14ac:dyDescent="0.25">
      <c r="B126" s="18">
        <v>29</v>
      </c>
      <c r="C126" s="18"/>
      <c r="D126" s="65"/>
      <c r="E126" s="60">
        <v>7.5800000000000006E-2</v>
      </c>
      <c r="F126" s="60">
        <v>39.5</v>
      </c>
      <c r="G126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126" s="67"/>
      <c r="I126" s="69">
        <v>7.5799999999999999E-4</v>
      </c>
      <c r="J126" s="69">
        <v>7.9000000000000001E-4</v>
      </c>
      <c r="K126" s="30" cm="1">
        <f t="array" ref="K126">IFERROR(SUMPRODUCT((Table3[Entry]),(Table3[Entry Position Size]) * (Table3[Trade ID] = B126)) / SUMIF(Table3[Trade ID], B126, Table3[Entry Position Size]), "Check Data")</f>
        <v>7.6074439689599789E-4</v>
      </c>
      <c r="L126" s="67" cm="1">
        <f t="array" ref="L126">IFERROR(SUMPRODUCT((Table3[[Exit ]]),(Table3[Exit Position Size]) * (Table3[Trade ID] = B126)) / SUMIF(Table3[Trade ID], B126, Table3[Exit Position Size]), "Check Data")</f>
        <v>7.9222210080557751E-4</v>
      </c>
      <c r="M126" s="62"/>
      <c r="N126" s="67"/>
      <c r="O126" s="66"/>
    </row>
    <row r="127" spans="2:18" x14ac:dyDescent="0.25">
      <c r="B127" s="18">
        <v>29</v>
      </c>
      <c r="C127" s="18"/>
      <c r="D127" s="65"/>
      <c r="E127" s="60">
        <v>99.277199999999993</v>
      </c>
      <c r="F127" s="60">
        <v>521.08399999999995</v>
      </c>
      <c r="G127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127" s="67"/>
      <c r="I127" s="69">
        <v>7.5900000000000002E-4</v>
      </c>
      <c r="J127" s="69">
        <v>7.9000000000000001E-4</v>
      </c>
      <c r="K127" s="30" cm="1">
        <f t="array" ref="K127">IFERROR(SUMPRODUCT((Table3[Entry]),(Table3[Entry Position Size]) * (Table3[Trade ID] = B127)) / SUMIF(Table3[Trade ID], B127, Table3[Entry Position Size]), "Check Data")</f>
        <v>7.6074439689599789E-4</v>
      </c>
      <c r="L127" s="67" cm="1">
        <f t="array" ref="L127">IFERROR(SUMPRODUCT((Table3[[Exit ]]),(Table3[Exit Position Size]) * (Table3[Trade ID] = B127)) / SUMIF(Table3[Trade ID], B127, Table3[Exit Position Size]), "Check Data")</f>
        <v>7.9222210080557751E-4</v>
      </c>
      <c r="M127" s="62"/>
      <c r="N127" s="67"/>
      <c r="O127" s="66"/>
    </row>
    <row r="128" spans="2:18" x14ac:dyDescent="0.25">
      <c r="B128" s="18">
        <v>29</v>
      </c>
      <c r="C128" s="18"/>
      <c r="D128" s="65"/>
      <c r="E128" s="60">
        <v>30.02</v>
      </c>
      <c r="F128" s="60">
        <v>29.943999999999999</v>
      </c>
      <c r="G128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128" s="67"/>
      <c r="I128" s="69">
        <v>7.6000000000000004E-4</v>
      </c>
      <c r="J128" s="69">
        <v>7.8799999999999996E-4</v>
      </c>
      <c r="K128" s="30" cm="1">
        <f t="array" ref="K128">IFERROR(SUMPRODUCT((Table3[Entry]),(Table3[Entry Position Size]) * (Table3[Trade ID] = B128)) / SUMIF(Table3[Trade ID], B128, Table3[Entry Position Size]), "Check Data")</f>
        <v>7.6074439689599789E-4</v>
      </c>
      <c r="L128" s="67" cm="1">
        <f t="array" ref="L128">IFERROR(SUMPRODUCT((Table3[[Exit ]]),(Table3[Exit Position Size]) * (Table3[Trade ID] = B128)) / SUMIF(Table3[Trade ID], B128, Table3[Exit Position Size]), "Check Data")</f>
        <v>7.9222210080557751E-4</v>
      </c>
      <c r="M128" s="62"/>
      <c r="N128" s="67"/>
      <c r="O128" s="66"/>
    </row>
    <row r="129" spans="2:15" x14ac:dyDescent="0.25">
      <c r="B129" s="18">
        <v>29</v>
      </c>
      <c r="C129" s="18"/>
      <c r="D129" s="65"/>
      <c r="E129" s="60">
        <v>23.864000000000001</v>
      </c>
      <c r="F129" s="60">
        <v>25.3736</v>
      </c>
      <c r="G129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129" s="67"/>
      <c r="I129" s="69">
        <v>7.6000000000000004E-4</v>
      </c>
      <c r="J129" s="69">
        <v>7.8799999999999996E-4</v>
      </c>
      <c r="K129" s="30" cm="1">
        <f t="array" ref="K129">IFERROR(SUMPRODUCT((Table3[Entry]),(Table3[Entry Position Size]) * (Table3[Trade ID] = B129)) / SUMIF(Table3[Trade ID], B129, Table3[Entry Position Size]), "Check Data")</f>
        <v>7.6074439689599789E-4</v>
      </c>
      <c r="L129" s="67" cm="1">
        <f t="array" ref="L129">IFERROR(SUMPRODUCT((Table3[[Exit ]]),(Table3[Exit Position Size]) * (Table3[Trade ID] = B129)) / SUMIF(Table3[Trade ID], B129, Table3[Exit Position Size]), "Check Data")</f>
        <v>7.9222210080557751E-4</v>
      </c>
      <c r="M129" s="62"/>
      <c r="N129" s="67"/>
      <c r="O129" s="66"/>
    </row>
    <row r="130" spans="2:15" x14ac:dyDescent="0.25">
      <c r="B130" s="18">
        <v>29</v>
      </c>
      <c r="C130" s="18"/>
      <c r="D130" s="65"/>
      <c r="E130" s="60">
        <v>8.6639999999999997</v>
      </c>
      <c r="F130" s="60">
        <v>544.42920000000004</v>
      </c>
      <c r="G130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130" s="67"/>
      <c r="I130" s="69">
        <v>7.6000000000000004E-4</v>
      </c>
      <c r="J130" s="69">
        <v>7.8799999999999996E-4</v>
      </c>
      <c r="K130" s="30" cm="1">
        <f t="array" ref="K130">IFERROR(SUMPRODUCT((Table3[Entry]),(Table3[Entry Position Size]) * (Table3[Trade ID] = B130)) / SUMIF(Table3[Trade ID], B130, Table3[Entry Position Size]), "Check Data")</f>
        <v>7.6074439689599789E-4</v>
      </c>
      <c r="L130" s="67" cm="1">
        <f t="array" ref="L130">IFERROR(SUMPRODUCT((Table3[[Exit ]]),(Table3[Exit Position Size]) * (Table3[Trade ID] = B130)) / SUMIF(Table3[Trade ID], B130, Table3[Exit Position Size]), "Check Data")</f>
        <v>7.9222210080557751E-4</v>
      </c>
      <c r="M130" s="62"/>
      <c r="N130" s="67"/>
      <c r="O130" s="66"/>
    </row>
    <row r="131" spans="2:15" x14ac:dyDescent="0.25">
      <c r="B131" s="18">
        <v>29</v>
      </c>
      <c r="C131" s="18"/>
      <c r="D131" s="65"/>
      <c r="E131" s="60">
        <v>75.087999999999994</v>
      </c>
      <c r="F131" s="60">
        <v>211.827</v>
      </c>
      <c r="G131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131" s="67"/>
      <c r="I131" s="69">
        <v>7.6000000000000004E-4</v>
      </c>
      <c r="J131" s="69">
        <v>7.8600000000000002E-4</v>
      </c>
      <c r="K131" s="30" cm="1">
        <f t="array" ref="K131">IFERROR(SUMPRODUCT((Table3[Entry]),(Table3[Entry Position Size]) * (Table3[Trade ID] = B131)) / SUMIF(Table3[Trade ID], B131, Table3[Entry Position Size]), "Check Data")</f>
        <v>7.6074439689599789E-4</v>
      </c>
      <c r="L131" s="67" cm="1">
        <f t="array" ref="L131">IFERROR(SUMPRODUCT((Table3[[Exit ]]),(Table3[Exit Position Size]) * (Table3[Trade ID] = B131)) / SUMIF(Table3[Trade ID], B131, Table3[Exit Position Size]), "Check Data")</f>
        <v>7.9222210080557751E-4</v>
      </c>
      <c r="M131" s="62"/>
      <c r="N131" s="67"/>
      <c r="O131" s="66"/>
    </row>
    <row r="132" spans="2:15" x14ac:dyDescent="0.25">
      <c r="B132" s="18">
        <v>29</v>
      </c>
      <c r="C132" s="18"/>
      <c r="D132" s="65"/>
      <c r="E132" s="60">
        <v>275.42399999999998</v>
      </c>
      <c r="F132" s="60">
        <v>1063.8936000000001</v>
      </c>
      <c r="G132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132" s="67"/>
      <c r="I132" s="69">
        <v>7.6000000000000004E-4</v>
      </c>
      <c r="J132" s="69">
        <v>7.9799999999999999E-4</v>
      </c>
      <c r="K132" s="30" cm="1">
        <f t="array" ref="K132">IFERROR(SUMPRODUCT((Table3[Entry]),(Table3[Entry Position Size]) * (Table3[Trade ID] = B132)) / SUMIF(Table3[Trade ID], B132, Table3[Entry Position Size]), "Check Data")</f>
        <v>7.6074439689599789E-4</v>
      </c>
      <c r="L132" s="67" cm="1">
        <f t="array" ref="L132">IFERROR(SUMPRODUCT((Table3[[Exit ]]),(Table3[Exit Position Size]) * (Table3[Trade ID] = B132)) / SUMIF(Table3[Trade ID], B132, Table3[Exit Position Size]), "Check Data")</f>
        <v>7.9222210080557751E-4</v>
      </c>
      <c r="M132" s="62"/>
      <c r="N132" s="67"/>
      <c r="O132" s="66"/>
    </row>
    <row r="133" spans="2:15" x14ac:dyDescent="0.25">
      <c r="B133" s="18">
        <v>29</v>
      </c>
      <c r="C133" s="18"/>
      <c r="D133" s="65"/>
      <c r="E133" s="60">
        <v>449.96100000000001</v>
      </c>
      <c r="F133" s="60"/>
      <c r="G133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133" s="67"/>
      <c r="I133" s="69">
        <v>7.6199999999999998E-4</v>
      </c>
      <c r="J133" s="69"/>
      <c r="K133" s="30" cm="1">
        <f t="array" ref="K133">IFERROR(SUMPRODUCT((Table3[Entry]),(Table3[Entry Position Size]) * (Table3[Trade ID] = B133)) / SUMIF(Table3[Trade ID], B133, Table3[Entry Position Size]), "Check Data")</f>
        <v>7.6074439689599789E-4</v>
      </c>
      <c r="L133" s="67" cm="1">
        <f t="array" ref="L133">IFERROR(SUMPRODUCT((Table3[[Exit ]]),(Table3[Exit Position Size]) * (Table3[Trade ID] = B133)) / SUMIF(Table3[Trade ID], B133, Table3[Exit Position Size]), "Check Data")</f>
        <v>7.9222210080557751E-4</v>
      </c>
      <c r="M133" s="62"/>
      <c r="N133" s="67"/>
      <c r="O133" s="66"/>
    </row>
    <row r="134" spans="2:15" x14ac:dyDescent="0.25">
      <c r="B134" s="18">
        <v>29</v>
      </c>
      <c r="C134" s="18"/>
      <c r="D134" s="65"/>
      <c r="E134" s="60">
        <v>92.506799999999998</v>
      </c>
      <c r="F134" s="60"/>
      <c r="G134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134" s="67"/>
      <c r="I134" s="69">
        <v>7.6199999999999998E-4</v>
      </c>
      <c r="J134" s="69"/>
      <c r="K134" s="30" cm="1">
        <f t="array" ref="K134">IFERROR(SUMPRODUCT((Table3[Entry]),(Table3[Entry Position Size]) * (Table3[Trade ID] = B134)) / SUMIF(Table3[Trade ID], B134, Table3[Entry Position Size]), "Check Data")</f>
        <v>7.6074439689599789E-4</v>
      </c>
      <c r="L134" s="67" cm="1">
        <f t="array" ref="L134">IFERROR(SUMPRODUCT((Table3[[Exit ]]),(Table3[Exit Position Size]) * (Table3[Trade ID] = B134)) / SUMIF(Table3[Trade ID], B134, Table3[Exit Position Size]), "Check Data")</f>
        <v>7.9222210080557751E-4</v>
      </c>
      <c r="M134" s="62"/>
      <c r="N134" s="67"/>
      <c r="O134" s="66"/>
    </row>
    <row r="135" spans="2:15" x14ac:dyDescent="0.25">
      <c r="B135" s="18">
        <v>29</v>
      </c>
      <c r="C135" s="18"/>
      <c r="D135" s="65"/>
      <c r="E135" s="60">
        <v>110.78</v>
      </c>
      <c r="F135" s="60"/>
      <c r="G135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135" s="67"/>
      <c r="I135" s="69">
        <v>7.6400000000000003E-4</v>
      </c>
      <c r="J135" s="69"/>
      <c r="K135" s="30" cm="1">
        <f t="array" ref="K135">IFERROR(SUMPRODUCT((Table3[Entry]),(Table3[Entry Position Size]) * (Table3[Trade ID] = B135)) / SUMIF(Table3[Trade ID], B135, Table3[Entry Position Size]), "Check Data")</f>
        <v>7.6074439689599789E-4</v>
      </c>
      <c r="L135" s="67" cm="1">
        <f t="array" ref="L135">IFERROR(SUMPRODUCT((Table3[[Exit ]]),(Table3[Exit Position Size]) * (Table3[Trade ID] = B135)) / SUMIF(Table3[Trade ID], B135, Table3[Exit Position Size]), "Check Data")</f>
        <v>7.9222210080557751E-4</v>
      </c>
      <c r="M135" s="62"/>
      <c r="N135" s="67"/>
      <c r="O135" s="66"/>
    </row>
    <row r="136" spans="2:15" x14ac:dyDescent="0.25">
      <c r="B136" s="18">
        <v>29</v>
      </c>
      <c r="C136" s="18"/>
      <c r="D136" s="65"/>
      <c r="E136" s="60">
        <v>240.3544</v>
      </c>
      <c r="F136" s="60"/>
      <c r="G136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136" s="67"/>
      <c r="I136" s="69">
        <v>7.6400000000000003E-4</v>
      </c>
      <c r="J136" s="69"/>
      <c r="K136" s="30" cm="1">
        <f t="array" ref="K136">IFERROR(SUMPRODUCT((Table3[Entry]),(Table3[Entry Position Size]) * (Table3[Trade ID] = B136)) / SUMIF(Table3[Trade ID], B136, Table3[Entry Position Size]), "Check Data")</f>
        <v>7.6074439689599789E-4</v>
      </c>
      <c r="L136" s="67" cm="1">
        <f t="array" ref="L136">IFERROR(SUMPRODUCT((Table3[[Exit ]]),(Table3[Exit Position Size]) * (Table3[Trade ID] = B136)) / SUMIF(Table3[Trade ID], B136, Table3[Exit Position Size]), "Check Data")</f>
        <v>7.9222210080557751E-4</v>
      </c>
      <c r="M136" s="62"/>
      <c r="N136" s="67"/>
      <c r="O136" s="66"/>
    </row>
    <row r="137" spans="2:15" x14ac:dyDescent="0.25">
      <c r="B137" s="18">
        <v>29</v>
      </c>
      <c r="C137" s="18"/>
      <c r="D137" s="65"/>
      <c r="E137" s="60">
        <v>237.2337</v>
      </c>
      <c r="F137" s="60"/>
      <c r="G137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137" s="67"/>
      <c r="I137" s="69">
        <v>7.7300000000000003E-4</v>
      </c>
      <c r="J137" s="69"/>
      <c r="K137" s="30" cm="1">
        <f t="array" ref="K137">IFERROR(SUMPRODUCT((Table3[Entry]),(Table3[Entry Position Size]) * (Table3[Trade ID] = B137)) / SUMIF(Table3[Trade ID], B137, Table3[Entry Position Size]), "Check Data")</f>
        <v>7.6074439689599789E-4</v>
      </c>
      <c r="L137" s="67" cm="1">
        <f t="array" ref="L137">IFERROR(SUMPRODUCT((Table3[[Exit ]]),(Table3[Exit Position Size]) * (Table3[Trade ID] = B137)) / SUMIF(Table3[Trade ID], B137, Table3[Exit Position Size]), "Check Data")</f>
        <v>7.9222210080557751E-4</v>
      </c>
      <c r="M137" s="62"/>
      <c r="N137" s="67"/>
      <c r="O137" s="66"/>
    </row>
    <row r="138" spans="2:15" x14ac:dyDescent="0.25">
      <c r="B138" s="18">
        <v>30</v>
      </c>
      <c r="C138" s="18" t="s">
        <v>31</v>
      </c>
      <c r="D138" s="65">
        <v>20</v>
      </c>
      <c r="E138" s="60">
        <v>355.54169999999999</v>
      </c>
      <c r="F138" s="60">
        <v>17.039100000000001</v>
      </c>
      <c r="G138" s="67">
        <f>IF(Table3[[#This Row],[Trade ID]]&lt;&gt;"", IF(COUNTIF(INDEX(Table3[Trade ID],1):Table3[[#This Row],[Trade ID]], Table3[[#This Row],[Trade ID]])=1, SUMIFS(Table3[Entry Position Size], Table3[Trade ID], Table3[[#This Row],[Trade ID]]), ""), "")</f>
        <v>3169.1697999999997</v>
      </c>
      <c r="H138" s="67">
        <f>Table3[[#This Row],[Position Size]]/Table3[[#This Row],[Leverage]]</f>
        <v>158.45848999999998</v>
      </c>
      <c r="I138" s="69">
        <v>7.9699999999999997E-4</v>
      </c>
      <c r="J138" s="69">
        <v>7.7099999999999998E-4</v>
      </c>
      <c r="K138" s="30" cm="1">
        <f t="array" ref="K138">IFERROR(SUMPRODUCT((Table3[Entry]),(Table3[Entry Position Size]) * (Table3[Trade ID] = B138)) / SUMIF(Table3[Trade ID], B138, Table3[Entry Position Size]), "Check Data")</f>
        <v>7.9230359723862082E-4</v>
      </c>
      <c r="L138" s="67" cm="1">
        <f t="array" ref="L138">IFERROR(SUMPRODUCT((Table3[[Exit ]]),(Table3[Exit Position Size]) * (Table3[Trade ID] = B138)) / SUMIF(Table3[Trade ID], B138, Table3[Exit Position Size]), "Check Data")</f>
        <v>7.7359822859277591E-4</v>
      </c>
      <c r="M138" s="62"/>
      <c r="N138" s="67"/>
      <c r="O138" s="66"/>
    </row>
    <row r="139" spans="2:15" x14ac:dyDescent="0.25">
      <c r="B139" s="18">
        <v>30</v>
      </c>
      <c r="C139" s="18"/>
      <c r="D139" s="65"/>
      <c r="E139" s="60">
        <v>279.79399999999998</v>
      </c>
      <c r="F139" s="60">
        <v>49.575299999999999</v>
      </c>
      <c r="G139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139" s="67"/>
      <c r="I139" s="69">
        <v>7.9600000000000005E-4</v>
      </c>
      <c r="J139" s="69">
        <v>7.7099999999999998E-4</v>
      </c>
      <c r="K139" s="30" cm="1">
        <f t="array" ref="K139">IFERROR(SUMPRODUCT((Table3[Entry]),(Table3[Entry Position Size]) * (Table3[Trade ID] = B139)) / SUMIF(Table3[Trade ID], B139, Table3[Entry Position Size]), "Check Data")</f>
        <v>7.9230359723862082E-4</v>
      </c>
      <c r="L139" s="67" cm="1">
        <f t="array" ref="L139">IFERROR(SUMPRODUCT((Table3[[Exit ]]),(Table3[Exit Position Size]) * (Table3[Trade ID] = B139)) / SUMIF(Table3[Trade ID], B139, Table3[Exit Position Size]), "Check Data")</f>
        <v>7.7359822859277591E-4</v>
      </c>
      <c r="M139" s="62"/>
      <c r="N139" s="67"/>
      <c r="O139" s="66"/>
    </row>
    <row r="140" spans="2:15" x14ac:dyDescent="0.25">
      <c r="B140" s="18">
        <v>30</v>
      </c>
      <c r="C140" s="18"/>
      <c r="D140" s="65"/>
      <c r="E140" s="60">
        <v>29.929600000000001</v>
      </c>
      <c r="F140" s="60">
        <v>651.33640000000003</v>
      </c>
      <c r="G140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140" s="67"/>
      <c r="I140" s="69">
        <v>7.9600000000000005E-4</v>
      </c>
      <c r="J140" s="69">
        <v>7.7200000000000001E-4</v>
      </c>
      <c r="K140" s="30" cm="1">
        <f t="array" ref="K140">IFERROR(SUMPRODUCT((Table3[Entry]),(Table3[Entry Position Size]) * (Table3[Trade ID] = B140)) / SUMIF(Table3[Trade ID], B140, Table3[Entry Position Size]), "Check Data")</f>
        <v>7.9230359723862082E-4</v>
      </c>
      <c r="L140" s="67" cm="1">
        <f t="array" ref="L140">IFERROR(SUMPRODUCT((Table3[[Exit ]]),(Table3[Exit Position Size]) * (Table3[Trade ID] = B140)) / SUMIF(Table3[Trade ID], B140, Table3[Exit Position Size]), "Check Data")</f>
        <v>7.7359822859277591E-4</v>
      </c>
      <c r="M140" s="62"/>
      <c r="N140" s="67"/>
      <c r="O140" s="66"/>
    </row>
    <row r="141" spans="2:15" x14ac:dyDescent="0.25">
      <c r="B141" s="18">
        <v>30</v>
      </c>
      <c r="C141" s="18"/>
      <c r="D141" s="65"/>
      <c r="E141" s="60">
        <v>241.26759999999999</v>
      </c>
      <c r="F141" s="60">
        <v>74.961200000000005</v>
      </c>
      <c r="G141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141" s="67"/>
      <c r="I141" s="69">
        <v>7.9600000000000005E-4</v>
      </c>
      <c r="J141" s="69">
        <v>7.7200000000000001E-4</v>
      </c>
      <c r="K141" s="30" cm="1">
        <f t="array" ref="K141">IFERROR(SUMPRODUCT((Table3[Entry]),(Table3[Entry Position Size]) * (Table3[Trade ID] = B141)) / SUMIF(Table3[Trade ID], B141, Table3[Entry Position Size]), "Check Data")</f>
        <v>7.9230359723862082E-4</v>
      </c>
      <c r="L141" s="67" cm="1">
        <f t="array" ref="L141">IFERROR(SUMPRODUCT((Table3[[Exit ]]),(Table3[Exit Position Size]) * (Table3[Trade ID] = B141)) / SUMIF(Table3[Trade ID], B141, Table3[Exit Position Size]), "Check Data")</f>
        <v>7.7359822859277591E-4</v>
      </c>
      <c r="M141" s="62"/>
      <c r="N141" s="67"/>
      <c r="O141" s="66"/>
    </row>
    <row r="142" spans="2:15" x14ac:dyDescent="0.25">
      <c r="B142" s="18">
        <v>30</v>
      </c>
      <c r="C142" s="18"/>
      <c r="D142" s="65"/>
      <c r="E142" s="60">
        <v>80.236800000000002</v>
      </c>
      <c r="F142" s="60">
        <v>146.9888</v>
      </c>
      <c r="G142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142" s="67"/>
      <c r="I142" s="69">
        <v>7.9600000000000005E-4</v>
      </c>
      <c r="J142" s="69">
        <v>7.7200000000000001E-4</v>
      </c>
      <c r="K142" s="30" cm="1">
        <f t="array" ref="K142">IFERROR(SUMPRODUCT((Table3[Entry]),(Table3[Entry Position Size]) * (Table3[Trade ID] = B142)) / SUMIF(Table3[Trade ID], B142, Table3[Entry Position Size]), "Check Data")</f>
        <v>7.9230359723862082E-4</v>
      </c>
      <c r="L142" s="67" cm="1">
        <f t="array" ref="L142">IFERROR(SUMPRODUCT((Table3[[Exit ]]),(Table3[Exit Position Size]) * (Table3[Trade ID] = B142)) / SUMIF(Table3[Trade ID], B142, Table3[Exit Position Size]), "Check Data")</f>
        <v>7.7359822859277591E-4</v>
      </c>
      <c r="M142" s="62"/>
      <c r="N142" s="67"/>
      <c r="O142" s="66"/>
    </row>
    <row r="143" spans="2:15" x14ac:dyDescent="0.25">
      <c r="B143" s="18">
        <v>30</v>
      </c>
      <c r="C143" s="18"/>
      <c r="D143" s="65"/>
      <c r="E143" s="60">
        <v>24.963000000000001</v>
      </c>
      <c r="F143" s="60">
        <v>209.98400000000001</v>
      </c>
      <c r="G143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143" s="67"/>
      <c r="I143" s="69">
        <v>7.9500000000000003E-4</v>
      </c>
      <c r="J143" s="69">
        <v>7.7200000000000001E-4</v>
      </c>
      <c r="K143" s="30" cm="1">
        <f t="array" ref="K143">IFERROR(SUMPRODUCT((Table3[Entry]),(Table3[Entry Position Size]) * (Table3[Trade ID] = B143)) / SUMIF(Table3[Trade ID], B143, Table3[Entry Position Size]), "Check Data")</f>
        <v>7.9230359723862082E-4</v>
      </c>
      <c r="L143" s="67" cm="1">
        <f t="array" ref="L143">IFERROR(SUMPRODUCT((Table3[[Exit ]]),(Table3[Exit Position Size]) * (Table3[Trade ID] = B143)) / SUMIF(Table3[Trade ID], B143, Table3[Exit Position Size]), "Check Data")</f>
        <v>7.7359822859277591E-4</v>
      </c>
      <c r="M143" s="62"/>
      <c r="N143" s="67"/>
      <c r="O143" s="66"/>
    </row>
    <row r="144" spans="2:15" x14ac:dyDescent="0.25">
      <c r="B144" s="18">
        <v>30</v>
      </c>
      <c r="C144" s="18"/>
      <c r="D144" s="65"/>
      <c r="E144" s="60">
        <v>99.9315</v>
      </c>
      <c r="F144" s="60">
        <v>49.948399999999999</v>
      </c>
      <c r="G144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144" s="67"/>
      <c r="I144" s="69">
        <v>7.9500000000000003E-4</v>
      </c>
      <c r="J144" s="69">
        <v>7.7200000000000001E-4</v>
      </c>
      <c r="K144" s="30" cm="1">
        <f t="array" ref="K144">IFERROR(SUMPRODUCT((Table3[Entry]),(Table3[Entry Position Size]) * (Table3[Trade ID] = B144)) / SUMIF(Table3[Trade ID], B144, Table3[Entry Position Size]), "Check Data")</f>
        <v>7.9230359723862082E-4</v>
      </c>
      <c r="L144" s="67" cm="1">
        <f t="array" ref="L144">IFERROR(SUMPRODUCT((Table3[[Exit ]]),(Table3[Exit Position Size]) * (Table3[Trade ID] = B144)) / SUMIF(Table3[Trade ID], B144, Table3[Exit Position Size]), "Check Data")</f>
        <v>7.7359822859277591E-4</v>
      </c>
      <c r="M144" s="62"/>
      <c r="N144" s="67"/>
      <c r="O144" s="66"/>
    </row>
    <row r="145" spans="2:15" x14ac:dyDescent="0.25">
      <c r="B145" s="18">
        <v>30</v>
      </c>
      <c r="C145" s="18"/>
      <c r="D145" s="65"/>
      <c r="E145" s="60">
        <v>99.964600000000004</v>
      </c>
      <c r="F145" s="60">
        <v>55.043599999999998</v>
      </c>
      <c r="G145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145" s="67"/>
      <c r="I145" s="69">
        <v>7.94E-4</v>
      </c>
      <c r="J145" s="69">
        <v>7.7200000000000001E-4</v>
      </c>
      <c r="K145" s="30" cm="1">
        <f t="array" ref="K145">IFERROR(SUMPRODUCT((Table3[Entry]),(Table3[Entry Position Size]) * (Table3[Trade ID] = B145)) / SUMIF(Table3[Trade ID], B145, Table3[Entry Position Size]), "Check Data")</f>
        <v>7.9230359723862082E-4</v>
      </c>
      <c r="L145" s="67" cm="1">
        <f t="array" ref="L145">IFERROR(SUMPRODUCT((Table3[[Exit ]]),(Table3[Exit Position Size]) * (Table3[Trade ID] = B145)) / SUMIF(Table3[Trade ID], B145, Table3[Exit Position Size]), "Check Data")</f>
        <v>7.7359822859277591E-4</v>
      </c>
      <c r="M145" s="62"/>
      <c r="N145" s="67"/>
      <c r="O145" s="66"/>
    </row>
    <row r="146" spans="2:15" x14ac:dyDescent="0.25">
      <c r="B146" s="18">
        <v>30</v>
      </c>
      <c r="C146" s="18"/>
      <c r="D146" s="65"/>
      <c r="E146" s="60">
        <v>1957.5409999999999</v>
      </c>
      <c r="F146" s="60">
        <v>181.96039999999999</v>
      </c>
      <c r="G146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146" s="67"/>
      <c r="I146" s="69">
        <v>7.9000000000000001E-4</v>
      </c>
      <c r="J146" s="69">
        <v>7.7200000000000001E-4</v>
      </c>
      <c r="K146" s="30" cm="1">
        <f t="array" ref="K146">IFERROR(SUMPRODUCT((Table3[Entry]),(Table3[Entry Position Size]) * (Table3[Trade ID] = B146)) / SUMIF(Table3[Trade ID], B146, Table3[Entry Position Size]), "Check Data")</f>
        <v>7.9230359723862082E-4</v>
      </c>
      <c r="L146" s="67" cm="1">
        <f t="array" ref="L146">IFERROR(SUMPRODUCT((Table3[[Exit ]]),(Table3[Exit Position Size]) * (Table3[Trade ID] = B146)) / SUMIF(Table3[Trade ID], B146, Table3[Exit Position Size]), "Check Data")</f>
        <v>7.7359822859277591E-4</v>
      </c>
      <c r="M146" s="62"/>
      <c r="N146" s="67"/>
      <c r="O146" s="66"/>
    </row>
    <row r="147" spans="2:15" x14ac:dyDescent="0.25">
      <c r="B147" s="18">
        <v>30</v>
      </c>
      <c r="C147" s="18"/>
      <c r="D147" s="65"/>
      <c r="E147" s="60"/>
      <c r="F147" s="60">
        <v>74.980999999999995</v>
      </c>
      <c r="G147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147" s="67"/>
      <c r="I147" s="61"/>
      <c r="J147" s="69">
        <v>7.7300000000000003E-4</v>
      </c>
      <c r="K147" s="30" cm="1">
        <f t="array" ref="K147">IFERROR(SUMPRODUCT((Table3[Entry]),(Table3[Entry Position Size]) * (Table3[Trade ID] = B147)) / SUMIF(Table3[Trade ID], B147, Table3[Entry Position Size]), "Check Data")</f>
        <v>7.9230359723862082E-4</v>
      </c>
      <c r="L147" s="67" cm="1">
        <f t="array" ref="L147">IFERROR(SUMPRODUCT((Table3[[Exit ]]),(Table3[Exit Position Size]) * (Table3[Trade ID] = B147)) / SUMIF(Table3[Trade ID], B147, Table3[Exit Position Size]), "Check Data")</f>
        <v>7.7359822859277591E-4</v>
      </c>
      <c r="M147" s="62"/>
      <c r="N147" s="67"/>
      <c r="O147" s="66"/>
    </row>
    <row r="148" spans="2:15" x14ac:dyDescent="0.25">
      <c r="B148" s="18">
        <v>30</v>
      </c>
      <c r="C148" s="18"/>
      <c r="D148" s="65"/>
      <c r="E148" s="60"/>
      <c r="F148" s="60">
        <v>133.0333</v>
      </c>
      <c r="G148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148" s="67"/>
      <c r="I148" s="61"/>
      <c r="J148" s="69">
        <v>7.7300000000000003E-4</v>
      </c>
      <c r="K148" s="30" cm="1">
        <f t="array" ref="K148">IFERROR(SUMPRODUCT((Table3[Entry]),(Table3[Entry Position Size]) * (Table3[Trade ID] = B148)) / SUMIF(Table3[Trade ID], B148, Table3[Entry Position Size]), "Check Data")</f>
        <v>7.9230359723862082E-4</v>
      </c>
      <c r="L148" s="67" cm="1">
        <f t="array" ref="L148">IFERROR(SUMPRODUCT((Table3[[Exit ]]),(Table3[Exit Position Size]) * (Table3[Trade ID] = B148)) / SUMIF(Table3[Trade ID], B148, Table3[Exit Position Size]), "Check Data")</f>
        <v>7.7359822859277591E-4</v>
      </c>
      <c r="M148" s="62"/>
      <c r="N148" s="67"/>
      <c r="O148" s="66"/>
    </row>
    <row r="149" spans="2:15" x14ac:dyDescent="0.25">
      <c r="B149" s="18">
        <v>30</v>
      </c>
      <c r="C149" s="18"/>
      <c r="D149" s="65"/>
      <c r="E149" s="60"/>
      <c r="F149" s="60">
        <v>74.923199999999994</v>
      </c>
      <c r="G149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149" s="67"/>
      <c r="I149" s="61"/>
      <c r="J149" s="69">
        <v>7.7399999999999995E-4</v>
      </c>
      <c r="K149" s="30" cm="1">
        <f t="array" ref="K149">IFERROR(SUMPRODUCT((Table3[Entry]),(Table3[Entry Position Size]) * (Table3[Trade ID] = B149)) / SUMIF(Table3[Trade ID], B149, Table3[Entry Position Size]), "Check Data")</f>
        <v>7.9230359723862082E-4</v>
      </c>
      <c r="L149" s="67" cm="1">
        <f t="array" ref="L149">IFERROR(SUMPRODUCT((Table3[[Exit ]]),(Table3[Exit Position Size]) * (Table3[Trade ID] = B149)) / SUMIF(Table3[Trade ID], B149, Table3[Exit Position Size]), "Check Data")</f>
        <v>7.7359822859277591E-4</v>
      </c>
      <c r="M149" s="62"/>
      <c r="N149" s="67"/>
      <c r="O149" s="66"/>
    </row>
    <row r="150" spans="2:15" x14ac:dyDescent="0.25">
      <c r="B150" s="18">
        <v>30</v>
      </c>
      <c r="C150" s="18"/>
      <c r="D150" s="65"/>
      <c r="E150" s="60"/>
      <c r="F150" s="60">
        <v>119.97</v>
      </c>
      <c r="G150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150" s="67"/>
      <c r="I150" s="61"/>
      <c r="J150" s="69">
        <v>7.7399999999999995E-4</v>
      </c>
      <c r="K150" s="30" cm="1">
        <f t="array" ref="K150">IFERROR(SUMPRODUCT((Table3[Entry]),(Table3[Entry Position Size]) * (Table3[Trade ID] = B150)) / SUMIF(Table3[Trade ID], B150, Table3[Entry Position Size]), "Check Data")</f>
        <v>7.9230359723862082E-4</v>
      </c>
      <c r="L150" s="67" cm="1">
        <f t="array" ref="L150">IFERROR(SUMPRODUCT((Table3[[Exit ]]),(Table3[Exit Position Size]) * (Table3[Trade ID] = B150)) / SUMIF(Table3[Trade ID], B150, Table3[Exit Position Size]), "Check Data")</f>
        <v>7.7359822859277591E-4</v>
      </c>
      <c r="M150" s="62"/>
      <c r="N150" s="67"/>
      <c r="O150" s="66"/>
    </row>
    <row r="151" spans="2:15" x14ac:dyDescent="0.25">
      <c r="B151" s="18">
        <v>30</v>
      </c>
      <c r="C151" s="18"/>
      <c r="D151" s="65"/>
      <c r="E151" s="60"/>
      <c r="F151" s="60">
        <v>149.84639999999999</v>
      </c>
      <c r="G151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151" s="67"/>
      <c r="I151" s="61"/>
      <c r="J151" s="69">
        <v>7.7399999999999995E-4</v>
      </c>
      <c r="K151" s="30" cm="1">
        <f t="array" ref="K151">IFERROR(SUMPRODUCT((Table3[Entry]),(Table3[Entry Position Size]) * (Table3[Trade ID] = B151)) / SUMIF(Table3[Trade ID], B151, Table3[Entry Position Size]), "Check Data")</f>
        <v>7.9230359723862082E-4</v>
      </c>
      <c r="L151" s="67" cm="1">
        <f t="array" ref="L151">IFERROR(SUMPRODUCT((Table3[[Exit ]]),(Table3[Exit Position Size]) * (Table3[Trade ID] = B151)) / SUMIF(Table3[Trade ID], B151, Table3[Exit Position Size]), "Check Data")</f>
        <v>7.7359822859277591E-4</v>
      </c>
      <c r="M151" s="62"/>
      <c r="N151" s="67"/>
      <c r="O151" s="66"/>
    </row>
    <row r="152" spans="2:15" x14ac:dyDescent="0.25">
      <c r="B152" s="18">
        <v>30</v>
      </c>
      <c r="C152" s="18"/>
      <c r="D152" s="65"/>
      <c r="E152" s="60"/>
      <c r="F152" s="60">
        <v>76.935599999999994</v>
      </c>
      <c r="G152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152" s="67"/>
      <c r="I152" s="61"/>
      <c r="J152" s="69">
        <v>7.7399999999999995E-4</v>
      </c>
      <c r="K152" s="30" cm="1">
        <f t="array" ref="K152">IFERROR(SUMPRODUCT((Table3[Entry]),(Table3[Entry Position Size]) * (Table3[Trade ID] = B152)) / SUMIF(Table3[Trade ID], B152, Table3[Entry Position Size]), "Check Data")</f>
        <v>7.9230359723862082E-4</v>
      </c>
      <c r="L152" s="67" cm="1">
        <f t="array" ref="L152">IFERROR(SUMPRODUCT((Table3[[Exit ]]),(Table3[Exit Position Size]) * (Table3[Trade ID] = B152)) / SUMIF(Table3[Trade ID], B152, Table3[Exit Position Size]), "Check Data")</f>
        <v>7.7359822859277591E-4</v>
      </c>
      <c r="M152" s="62"/>
      <c r="N152" s="67"/>
      <c r="O152" s="66"/>
    </row>
    <row r="153" spans="2:15" x14ac:dyDescent="0.25">
      <c r="B153" s="18">
        <v>30</v>
      </c>
      <c r="C153" s="18"/>
      <c r="D153" s="65"/>
      <c r="E153" s="60"/>
      <c r="F153" s="60">
        <v>20.898</v>
      </c>
      <c r="G153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153" s="67"/>
      <c r="I153" s="61"/>
      <c r="J153" s="69">
        <v>7.7399999999999995E-4</v>
      </c>
      <c r="K153" s="30" cm="1">
        <f t="array" ref="K153">IFERROR(SUMPRODUCT((Table3[Entry]),(Table3[Entry Position Size]) * (Table3[Trade ID] = B153)) / SUMIF(Table3[Trade ID], B153, Table3[Entry Position Size]), "Check Data")</f>
        <v>7.9230359723862082E-4</v>
      </c>
      <c r="L153" s="67" cm="1">
        <f t="array" ref="L153">IFERROR(SUMPRODUCT((Table3[[Exit ]]),(Table3[Exit Position Size]) * (Table3[Trade ID] = B153)) / SUMIF(Table3[Trade ID], B153, Table3[Exit Position Size]), "Check Data")</f>
        <v>7.7359822859277591E-4</v>
      </c>
      <c r="M153" s="62"/>
      <c r="N153" s="67"/>
      <c r="O153" s="66"/>
    </row>
    <row r="154" spans="2:15" x14ac:dyDescent="0.25">
      <c r="B154" s="18">
        <v>30</v>
      </c>
      <c r="C154" s="18"/>
      <c r="D154" s="65"/>
      <c r="E154" s="60"/>
      <c r="F154" s="60">
        <v>54.489600000000003</v>
      </c>
      <c r="G154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154" s="67"/>
      <c r="I154" s="61"/>
      <c r="J154" s="69">
        <v>7.7399999999999995E-4</v>
      </c>
      <c r="K154" s="30" cm="1">
        <f t="array" ref="K154">IFERROR(SUMPRODUCT((Table3[Entry]),(Table3[Entry Position Size]) * (Table3[Trade ID] = B154)) / SUMIF(Table3[Trade ID], B154, Table3[Entry Position Size]), "Check Data")</f>
        <v>7.9230359723862082E-4</v>
      </c>
      <c r="L154" s="67" cm="1">
        <f t="array" ref="L154">IFERROR(SUMPRODUCT((Table3[[Exit ]]),(Table3[Exit Position Size]) * (Table3[Trade ID] = B154)) / SUMIF(Table3[Trade ID], B154, Table3[Exit Position Size]), "Check Data")</f>
        <v>7.7359822859277591E-4</v>
      </c>
      <c r="M154" s="62"/>
      <c r="N154" s="67"/>
      <c r="O154" s="66"/>
    </row>
    <row r="155" spans="2:15" x14ac:dyDescent="0.25">
      <c r="B155" s="18">
        <v>30</v>
      </c>
      <c r="C155" s="18"/>
      <c r="D155" s="65"/>
      <c r="E155" s="60"/>
      <c r="F155" s="60">
        <v>51.857999999999997</v>
      </c>
      <c r="G155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155" s="67"/>
      <c r="I155" s="61"/>
      <c r="J155" s="69">
        <v>7.7399999999999995E-4</v>
      </c>
      <c r="K155" s="30" cm="1">
        <f t="array" ref="K155">IFERROR(SUMPRODUCT((Table3[Entry]),(Table3[Entry Position Size]) * (Table3[Trade ID] = B155)) / SUMIF(Table3[Trade ID], B155, Table3[Entry Position Size]), "Check Data")</f>
        <v>7.9230359723862082E-4</v>
      </c>
      <c r="L155" s="67" cm="1">
        <f t="array" ref="L155">IFERROR(SUMPRODUCT((Table3[[Exit ]]),(Table3[Exit Position Size]) * (Table3[Trade ID] = B155)) / SUMIF(Table3[Trade ID], B155, Table3[Exit Position Size]), "Check Data")</f>
        <v>7.7359822859277591E-4</v>
      </c>
      <c r="M155" s="62"/>
      <c r="N155" s="67"/>
      <c r="O155" s="66"/>
    </row>
    <row r="156" spans="2:15" x14ac:dyDescent="0.25">
      <c r="B156" s="18">
        <v>30</v>
      </c>
      <c r="C156" s="18"/>
      <c r="D156" s="65"/>
      <c r="E156" s="60"/>
      <c r="F156" s="60">
        <v>79.05</v>
      </c>
      <c r="G156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156" s="67"/>
      <c r="I156" s="61"/>
      <c r="J156" s="69">
        <v>7.7499999999999997E-4</v>
      </c>
      <c r="K156" s="30" cm="1">
        <f t="array" ref="K156">IFERROR(SUMPRODUCT((Table3[Entry]),(Table3[Entry Position Size]) * (Table3[Trade ID] = B156)) / SUMIF(Table3[Trade ID], B156, Table3[Entry Position Size]), "Check Data")</f>
        <v>7.9230359723862082E-4</v>
      </c>
      <c r="L156" s="67" cm="1">
        <f t="array" ref="L156">IFERROR(SUMPRODUCT((Table3[[Exit ]]),(Table3[Exit Position Size]) * (Table3[Trade ID] = B156)) / SUMIF(Table3[Trade ID], B156, Table3[Exit Position Size]), "Check Data")</f>
        <v>7.7359822859277591E-4</v>
      </c>
      <c r="M156" s="62"/>
      <c r="N156" s="67"/>
      <c r="O156" s="66"/>
    </row>
    <row r="157" spans="2:15" x14ac:dyDescent="0.25">
      <c r="B157" s="18">
        <v>30</v>
      </c>
      <c r="C157" s="18"/>
      <c r="D157" s="65"/>
      <c r="E157" s="60"/>
      <c r="F157" s="60">
        <v>33.247500000000002</v>
      </c>
      <c r="G157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157" s="67"/>
      <c r="I157" s="61"/>
      <c r="J157" s="69">
        <v>7.7499999999999997E-4</v>
      </c>
      <c r="K157" s="30" cm="1">
        <f t="array" ref="K157">IFERROR(SUMPRODUCT((Table3[Entry]),(Table3[Entry Position Size]) * (Table3[Trade ID] = B157)) / SUMIF(Table3[Trade ID], B157, Table3[Entry Position Size]), "Check Data")</f>
        <v>7.9230359723862082E-4</v>
      </c>
      <c r="L157" s="67" cm="1">
        <f t="array" ref="L157">IFERROR(SUMPRODUCT((Table3[[Exit ]]),(Table3[Exit Position Size]) * (Table3[Trade ID] = B157)) / SUMIF(Table3[Trade ID], B157, Table3[Exit Position Size]), "Check Data")</f>
        <v>7.7359822859277591E-4</v>
      </c>
      <c r="M157" s="62"/>
      <c r="N157" s="67"/>
      <c r="O157" s="66"/>
    </row>
    <row r="158" spans="2:15" x14ac:dyDescent="0.25">
      <c r="B158" s="18">
        <v>30</v>
      </c>
      <c r="C158" s="18"/>
      <c r="D158" s="65"/>
      <c r="E158" s="60"/>
      <c r="F158" s="60">
        <v>2.9487999999999999</v>
      </c>
      <c r="G158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158" s="67"/>
      <c r="I158" s="61"/>
      <c r="J158" s="69">
        <v>7.76E-4</v>
      </c>
      <c r="K158" s="30" cm="1">
        <f t="array" ref="K158">IFERROR(SUMPRODUCT((Table3[Entry]),(Table3[Entry Position Size]) * (Table3[Trade ID] = B158)) / SUMIF(Table3[Trade ID], B158, Table3[Entry Position Size]), "Check Data")</f>
        <v>7.9230359723862082E-4</v>
      </c>
      <c r="L158" s="67" cm="1">
        <f t="array" ref="L158">IFERROR(SUMPRODUCT((Table3[[Exit ]]),(Table3[Exit Position Size]) * (Table3[Trade ID] = B158)) / SUMIF(Table3[Trade ID], B158, Table3[Exit Position Size]), "Check Data")</f>
        <v>7.7359822859277591E-4</v>
      </c>
      <c r="M158" s="62"/>
      <c r="N158" s="67"/>
      <c r="O158" s="66"/>
    </row>
    <row r="159" spans="2:15" x14ac:dyDescent="0.25">
      <c r="B159" s="18">
        <v>30</v>
      </c>
      <c r="C159" s="18"/>
      <c r="D159" s="65"/>
      <c r="E159" s="60"/>
      <c r="F159" s="60">
        <v>473.74799999999999</v>
      </c>
      <c r="G159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159" s="67"/>
      <c r="I159" s="61"/>
      <c r="J159" s="69">
        <v>7.76E-4</v>
      </c>
      <c r="K159" s="30" cm="1">
        <f t="array" ref="K159">IFERROR(SUMPRODUCT((Table3[Entry]),(Table3[Entry Position Size]) * (Table3[Trade ID] = B159)) / SUMIF(Table3[Trade ID], B159, Table3[Entry Position Size]), "Check Data")</f>
        <v>7.9230359723862082E-4</v>
      </c>
      <c r="L159" s="67" cm="1">
        <f t="array" ref="L159">IFERROR(SUMPRODUCT((Table3[[Exit ]]),(Table3[Exit Position Size]) * (Table3[Trade ID] = B159)) / SUMIF(Table3[Trade ID], B159, Table3[Exit Position Size]), "Check Data")</f>
        <v>7.7359822859277591E-4</v>
      </c>
      <c r="M159" s="62"/>
      <c r="N159" s="67"/>
      <c r="O159" s="66"/>
    </row>
    <row r="160" spans="2:15" x14ac:dyDescent="0.25">
      <c r="B160" s="18">
        <v>30</v>
      </c>
      <c r="C160" s="18"/>
      <c r="D160" s="65"/>
      <c r="E160" s="60"/>
      <c r="F160" s="60">
        <v>31.660799999999998</v>
      </c>
      <c r="G160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160" s="67"/>
      <c r="I160" s="61"/>
      <c r="J160" s="69">
        <v>7.76E-4</v>
      </c>
      <c r="K160" s="30" cm="1">
        <f t="array" ref="K160">IFERROR(SUMPRODUCT((Table3[Entry]),(Table3[Entry Position Size]) * (Table3[Trade ID] = B160)) / SUMIF(Table3[Trade ID], B160, Table3[Entry Position Size]), "Check Data")</f>
        <v>7.9230359723862082E-4</v>
      </c>
      <c r="L160" s="67" cm="1">
        <f t="array" ref="L160">IFERROR(SUMPRODUCT((Table3[[Exit ]]),(Table3[Exit Position Size]) * (Table3[Trade ID] = B160)) / SUMIF(Table3[Trade ID], B160, Table3[Exit Position Size]), "Check Data")</f>
        <v>7.7359822859277591E-4</v>
      </c>
      <c r="M160" s="62"/>
      <c r="N160" s="67"/>
      <c r="O160" s="66"/>
    </row>
    <row r="161" spans="2:15" x14ac:dyDescent="0.25">
      <c r="B161" s="18">
        <v>30</v>
      </c>
      <c r="C161" s="18"/>
      <c r="D161" s="65"/>
      <c r="E161" s="60"/>
      <c r="F161" s="60">
        <v>63.787199999999999</v>
      </c>
      <c r="G161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161" s="67"/>
      <c r="I161" s="61"/>
      <c r="J161" s="69">
        <v>7.76E-4</v>
      </c>
      <c r="K161" s="30" cm="1">
        <f t="array" ref="K161">IFERROR(SUMPRODUCT((Table3[Entry]),(Table3[Entry Position Size]) * (Table3[Trade ID] = B161)) / SUMIF(Table3[Trade ID], B161, Table3[Entry Position Size]), "Check Data")</f>
        <v>7.9230359723862082E-4</v>
      </c>
      <c r="L161" s="67" cm="1">
        <f t="array" ref="L161">IFERROR(SUMPRODUCT((Table3[[Exit ]]),(Table3[Exit Position Size]) * (Table3[Trade ID] = B161)) / SUMIF(Table3[Trade ID], B161, Table3[Exit Position Size]), "Check Data")</f>
        <v>7.7359822859277591E-4</v>
      </c>
      <c r="M161" s="62"/>
      <c r="N161" s="67"/>
      <c r="O161" s="66"/>
    </row>
    <row r="162" spans="2:15" x14ac:dyDescent="0.25">
      <c r="B162" s="18">
        <v>30</v>
      </c>
      <c r="C162" s="18"/>
      <c r="D162" s="65"/>
      <c r="E162" s="60"/>
      <c r="F162" s="60">
        <v>38.85</v>
      </c>
      <c r="G162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162" s="67"/>
      <c r="I162" s="61"/>
      <c r="J162" s="69">
        <v>7.7700000000000002E-4</v>
      </c>
      <c r="K162" s="30" cm="1">
        <f t="array" ref="K162">IFERROR(SUMPRODUCT((Table3[Entry]),(Table3[Entry Position Size]) * (Table3[Trade ID] = B162)) / SUMIF(Table3[Trade ID], B162, Table3[Entry Position Size]), "Check Data")</f>
        <v>7.9230359723862082E-4</v>
      </c>
      <c r="L162" s="67" cm="1">
        <f t="array" ref="L162">IFERROR(SUMPRODUCT((Table3[[Exit ]]),(Table3[Exit Position Size]) * (Table3[Trade ID] = B162)) / SUMIF(Table3[Trade ID], B162, Table3[Exit Position Size]), "Check Data")</f>
        <v>7.7359822859277591E-4</v>
      </c>
      <c r="M162" s="62"/>
      <c r="N162" s="67"/>
      <c r="O162" s="66"/>
    </row>
    <row r="163" spans="2:15" x14ac:dyDescent="0.25">
      <c r="B163" s="18">
        <v>30</v>
      </c>
      <c r="C163" s="18"/>
      <c r="D163" s="65"/>
      <c r="E163" s="60"/>
      <c r="F163" s="60">
        <v>101.16540000000001</v>
      </c>
      <c r="G163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163" s="67"/>
      <c r="I163" s="61"/>
      <c r="J163" s="69">
        <v>7.7700000000000002E-4</v>
      </c>
      <c r="K163" s="30" cm="1">
        <f t="array" ref="K163">IFERROR(SUMPRODUCT((Table3[Entry]),(Table3[Entry Position Size]) * (Table3[Trade ID] = B163)) / SUMIF(Table3[Trade ID], B163, Table3[Entry Position Size]), "Check Data")</f>
        <v>7.9230359723862082E-4</v>
      </c>
      <c r="L163" s="67" cm="1">
        <f t="array" ref="L163">IFERROR(SUMPRODUCT((Table3[[Exit ]]),(Table3[Exit Position Size]) * (Table3[Trade ID] = B163)) / SUMIF(Table3[Trade ID], B163, Table3[Exit Position Size]), "Check Data")</f>
        <v>7.7359822859277591E-4</v>
      </c>
      <c r="M163" s="62"/>
      <c r="N163" s="67"/>
      <c r="O163" s="66"/>
    </row>
    <row r="164" spans="2:15" x14ac:dyDescent="0.25">
      <c r="B164" s="18">
        <v>30</v>
      </c>
      <c r="C164" s="18"/>
      <c r="D164" s="65"/>
      <c r="E164" s="60"/>
      <c r="F164" s="60">
        <v>76.146000000000001</v>
      </c>
      <c r="G164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164" s="67"/>
      <c r="I164" s="61"/>
      <c r="J164" s="69">
        <v>7.7700000000000002E-4</v>
      </c>
      <c r="K164" s="30" cm="1">
        <f t="array" ref="K164">IFERROR(SUMPRODUCT((Table3[Entry]),(Table3[Entry Position Size]) * (Table3[Trade ID] = B164)) / SUMIF(Table3[Trade ID], B164, Table3[Entry Position Size]), "Check Data")</f>
        <v>7.9230359723862082E-4</v>
      </c>
      <c r="L164" s="67" cm="1">
        <f t="array" ref="L164">IFERROR(SUMPRODUCT((Table3[[Exit ]]),(Table3[Exit Position Size]) * (Table3[Trade ID] = B164)) / SUMIF(Table3[Trade ID], B164, Table3[Exit Position Size]), "Check Data")</f>
        <v>7.7359822859277591E-4</v>
      </c>
      <c r="M164" s="62"/>
      <c r="N164" s="67"/>
      <c r="O164" s="66"/>
    </row>
    <row r="165" spans="2:15" x14ac:dyDescent="0.25">
      <c r="B165" s="18">
        <v>31</v>
      </c>
      <c r="C165" s="18" t="s">
        <v>31</v>
      </c>
      <c r="D165" s="65">
        <v>20</v>
      </c>
      <c r="E165" s="60">
        <v>85.0578</v>
      </c>
      <c r="F165" s="60">
        <v>790.42880000000002</v>
      </c>
      <c r="G165" s="67">
        <f>IF(Table3[[#This Row],[Trade ID]]&lt;&gt;"", IF(COUNTIF(INDEX(Table3[Trade ID],1):Table3[[#This Row],[Trade ID]], Table3[[#This Row],[Trade ID]])=1, SUMIFS(Table3[Entry Position Size], Table3[Trade ID], Table3[[#This Row],[Trade ID]]), ""), "")</f>
        <v>3224.6933000000004</v>
      </c>
      <c r="H165" s="67">
        <f>Table3[[#This Row],[Position Size]]/Table3[[#This Row],[Leverage]]</f>
        <v>161.23466500000001</v>
      </c>
      <c r="I165" s="61">
        <v>8.0699999999999999E-4</v>
      </c>
      <c r="J165" s="61">
        <v>7.8399999999999997E-4</v>
      </c>
      <c r="K165" s="30" cm="1">
        <f t="array" ref="K165">IFERROR(SUMPRODUCT((Table3[Entry]),(Table3[Entry Position Size]) * (Table3[Trade ID] = B165)) / SUMIF(Table3[Trade ID], B165, Table3[Entry Position Size]), "Check Data")</f>
        <v>8.0617350273280253E-4</v>
      </c>
      <c r="L165" s="67" cm="1">
        <f t="array" ref="L165">IFERROR(SUMPRODUCT((Table3[[Exit ]]),(Table3[Exit Position Size]) * (Table3[Trade ID] = B165)) / SUMIF(Table3[Trade ID], B165, Table3[Exit Position Size]), "Check Data")</f>
        <v>7.8707384310141963E-4</v>
      </c>
      <c r="M165" s="62"/>
      <c r="N165" s="67"/>
      <c r="O165" s="66"/>
    </row>
    <row r="166" spans="2:15" x14ac:dyDescent="0.25">
      <c r="B166" s="18">
        <v>31</v>
      </c>
      <c r="C166" s="18"/>
      <c r="D166" s="65"/>
      <c r="E166" s="60">
        <v>16.866299999999999</v>
      </c>
      <c r="F166" s="60">
        <v>50.724800000000002</v>
      </c>
      <c r="G166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166" s="67"/>
      <c r="I166" s="61">
        <v>8.0699999999999999E-4</v>
      </c>
      <c r="J166" s="61">
        <v>7.8399999999999997E-4</v>
      </c>
      <c r="K166" s="30" cm="1">
        <f t="array" ref="K166">IFERROR(SUMPRODUCT((Table3[Entry]),(Table3[Entry Position Size]) * (Table3[Trade ID] = B166)) / SUMIF(Table3[Trade ID], B166, Table3[Entry Position Size]), "Check Data")</f>
        <v>8.0617350273280253E-4</v>
      </c>
      <c r="L166" s="67" cm="1">
        <f t="array" ref="L166">IFERROR(SUMPRODUCT((Table3[[Exit ]]),(Table3[Exit Position Size]) * (Table3[Trade ID] = B166)) / SUMIF(Table3[Trade ID], B166, Table3[Exit Position Size]), "Check Data")</f>
        <v>7.8707384310141963E-4</v>
      </c>
      <c r="M166" s="62"/>
      <c r="N166" s="67"/>
      <c r="O166" s="66"/>
    </row>
    <row r="167" spans="2:15" x14ac:dyDescent="0.25">
      <c r="B167" s="18">
        <v>31</v>
      </c>
      <c r="C167" s="18"/>
      <c r="D167" s="65"/>
      <c r="E167" s="60">
        <v>457.56900000000002</v>
      </c>
      <c r="F167" s="60">
        <v>85.612799999999993</v>
      </c>
      <c r="G167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167" s="67"/>
      <c r="I167" s="61">
        <v>8.0699999999999999E-4</v>
      </c>
      <c r="J167" s="61">
        <v>7.8399999999999997E-4</v>
      </c>
      <c r="K167" s="30" cm="1">
        <f t="array" ref="K167">IFERROR(SUMPRODUCT((Table3[Entry]),(Table3[Entry Position Size]) * (Table3[Trade ID] = B167)) / SUMIF(Table3[Trade ID], B167, Table3[Entry Position Size]), "Check Data")</f>
        <v>8.0617350273280253E-4</v>
      </c>
      <c r="L167" s="67" cm="1">
        <f t="array" ref="L167">IFERROR(SUMPRODUCT((Table3[[Exit ]]),(Table3[Exit Position Size]) * (Table3[Trade ID] = B167)) / SUMIF(Table3[Trade ID], B167, Table3[Exit Position Size]), "Check Data")</f>
        <v>7.8707384310141963E-4</v>
      </c>
      <c r="M167" s="62"/>
      <c r="N167" s="67"/>
      <c r="O167" s="66"/>
    </row>
    <row r="168" spans="2:15" x14ac:dyDescent="0.25">
      <c r="B168" s="18">
        <v>31</v>
      </c>
      <c r="C168" s="18"/>
      <c r="D168" s="65"/>
      <c r="E168" s="60">
        <v>2665.2002000000002</v>
      </c>
      <c r="F168" s="60">
        <v>16.484999999999999</v>
      </c>
      <c r="G168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168" s="67"/>
      <c r="I168" s="61">
        <v>8.0599999999999997E-4</v>
      </c>
      <c r="J168" s="61">
        <v>7.85E-4</v>
      </c>
      <c r="K168" s="30" cm="1">
        <f t="array" ref="K168">IFERROR(SUMPRODUCT((Table3[Entry]),(Table3[Entry Position Size]) * (Table3[Trade ID] = B168)) / SUMIF(Table3[Trade ID], B168, Table3[Entry Position Size]), "Check Data")</f>
        <v>8.0617350273280253E-4</v>
      </c>
      <c r="L168" s="67" cm="1">
        <f t="array" ref="L168">IFERROR(SUMPRODUCT((Table3[[Exit ]]),(Table3[Exit Position Size]) * (Table3[Trade ID] = B168)) / SUMIF(Table3[Trade ID], B168, Table3[Exit Position Size]), "Check Data")</f>
        <v>7.8707384310141963E-4</v>
      </c>
      <c r="M168" s="62"/>
      <c r="N168" s="67"/>
      <c r="O168" s="66"/>
    </row>
    <row r="169" spans="2:15" x14ac:dyDescent="0.25">
      <c r="B169" s="18">
        <v>31</v>
      </c>
      <c r="C169" s="18"/>
      <c r="D169" s="65"/>
      <c r="E169" s="60"/>
      <c r="F169" s="60">
        <v>128.58959999999999</v>
      </c>
      <c r="G169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169" s="67"/>
      <c r="I169" s="61"/>
      <c r="J169" s="61">
        <v>7.8600000000000002E-4</v>
      </c>
      <c r="K169" s="30" cm="1">
        <f t="array" ref="K169">IFERROR(SUMPRODUCT((Table3[Entry]),(Table3[Entry Position Size]) * (Table3[Trade ID] = B169)) / SUMIF(Table3[Trade ID], B169, Table3[Entry Position Size]), "Check Data")</f>
        <v>8.0617350273280253E-4</v>
      </c>
      <c r="L169" s="67" cm="1">
        <f t="array" ref="L169">IFERROR(SUMPRODUCT((Table3[[Exit ]]),(Table3[Exit Position Size]) * (Table3[Trade ID] = B169)) / SUMIF(Table3[Trade ID], B169, Table3[Exit Position Size]), "Check Data")</f>
        <v>7.8707384310141963E-4</v>
      </c>
      <c r="M169" s="62"/>
      <c r="N169" s="67"/>
      <c r="O169" s="66"/>
    </row>
    <row r="170" spans="2:15" x14ac:dyDescent="0.25">
      <c r="B170" s="18">
        <v>31</v>
      </c>
      <c r="C170" s="18"/>
      <c r="D170" s="65"/>
      <c r="E170" s="60"/>
      <c r="F170" s="60">
        <v>358.18020000000001</v>
      </c>
      <c r="G170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170" s="67"/>
      <c r="I170" s="61"/>
      <c r="J170" s="61">
        <v>7.8600000000000002E-4</v>
      </c>
      <c r="K170" s="30" cm="1">
        <f t="array" ref="K170">IFERROR(SUMPRODUCT((Table3[Entry]),(Table3[Entry Position Size]) * (Table3[Trade ID] = B170)) / SUMIF(Table3[Trade ID], B170, Table3[Entry Position Size]), "Check Data")</f>
        <v>8.0617350273280253E-4</v>
      </c>
      <c r="L170" s="67" cm="1">
        <f t="array" ref="L170">IFERROR(SUMPRODUCT((Table3[[Exit ]]),(Table3[Exit Position Size]) * (Table3[Trade ID] = B170)) / SUMIF(Table3[Trade ID], B170, Table3[Exit Position Size]), "Check Data")</f>
        <v>7.8707384310141963E-4</v>
      </c>
      <c r="M170" s="62"/>
      <c r="N170" s="67"/>
      <c r="O170" s="66"/>
    </row>
    <row r="171" spans="2:15" x14ac:dyDescent="0.25">
      <c r="B171" s="18">
        <v>31</v>
      </c>
      <c r="C171" s="18"/>
      <c r="D171" s="65"/>
      <c r="E171" s="60"/>
      <c r="F171" s="60">
        <v>49.989600000000003</v>
      </c>
      <c r="G171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171" s="67"/>
      <c r="I171" s="61"/>
      <c r="J171" s="61">
        <v>7.8600000000000002E-4</v>
      </c>
      <c r="K171" s="30" cm="1">
        <f t="array" ref="K171">IFERROR(SUMPRODUCT((Table3[Entry]),(Table3[Entry Position Size]) * (Table3[Trade ID] = B171)) / SUMIF(Table3[Trade ID], B171, Table3[Entry Position Size]), "Check Data")</f>
        <v>8.0617350273280253E-4</v>
      </c>
      <c r="L171" s="67" cm="1">
        <f t="array" ref="L171">IFERROR(SUMPRODUCT((Table3[[Exit ]]),(Table3[Exit Position Size]) * (Table3[Trade ID] = B171)) / SUMIF(Table3[Trade ID], B171, Table3[Exit Position Size]), "Check Data")</f>
        <v>7.8707384310141963E-4</v>
      </c>
      <c r="M171" s="62"/>
      <c r="N171" s="67"/>
      <c r="O171" s="66"/>
    </row>
    <row r="172" spans="2:15" x14ac:dyDescent="0.25">
      <c r="B172" s="18">
        <v>31</v>
      </c>
      <c r="C172" s="18"/>
      <c r="D172" s="65"/>
      <c r="E172" s="60"/>
      <c r="F172" s="60">
        <v>19.8324</v>
      </c>
      <c r="G172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172" s="67"/>
      <c r="I172" s="61"/>
      <c r="J172" s="61">
        <v>7.8700000000000005E-4</v>
      </c>
      <c r="K172" s="30" cm="1">
        <f t="array" ref="K172">IFERROR(SUMPRODUCT((Table3[Entry]),(Table3[Entry Position Size]) * (Table3[Trade ID] = B172)) / SUMIF(Table3[Trade ID], B172, Table3[Entry Position Size]), "Check Data")</f>
        <v>8.0617350273280253E-4</v>
      </c>
      <c r="L172" s="67" cm="1">
        <f t="array" ref="L172">IFERROR(SUMPRODUCT((Table3[[Exit ]]),(Table3[Exit Position Size]) * (Table3[Trade ID] = B172)) / SUMIF(Table3[Trade ID], B172, Table3[Exit Position Size]), "Check Data")</f>
        <v>7.8707384310141963E-4</v>
      </c>
      <c r="M172" s="62"/>
      <c r="N172" s="67"/>
      <c r="O172" s="66"/>
    </row>
    <row r="173" spans="2:15" x14ac:dyDescent="0.25">
      <c r="B173" s="18">
        <v>31</v>
      </c>
      <c r="C173" s="18"/>
      <c r="D173" s="65"/>
      <c r="E173" s="60"/>
      <c r="F173" s="60">
        <v>320.93860000000001</v>
      </c>
      <c r="G173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173" s="67"/>
      <c r="I173" s="61"/>
      <c r="J173" s="61">
        <v>7.8700000000000005E-4</v>
      </c>
      <c r="K173" s="30" cm="1">
        <f t="array" ref="K173">IFERROR(SUMPRODUCT((Table3[Entry]),(Table3[Entry Position Size]) * (Table3[Trade ID] = B173)) / SUMIF(Table3[Trade ID], B173, Table3[Entry Position Size]), "Check Data")</f>
        <v>8.0617350273280253E-4</v>
      </c>
      <c r="L173" s="67" cm="1">
        <f t="array" ref="L173">IFERROR(SUMPRODUCT((Table3[[Exit ]]),(Table3[Exit Position Size]) * (Table3[Trade ID] = B173)) / SUMIF(Table3[Trade ID], B173, Table3[Exit Position Size]), "Check Data")</f>
        <v>7.8707384310141963E-4</v>
      </c>
      <c r="M173" s="62"/>
      <c r="N173" s="67"/>
      <c r="O173" s="66"/>
    </row>
    <row r="174" spans="2:15" x14ac:dyDescent="0.25">
      <c r="B174" s="18">
        <v>31</v>
      </c>
      <c r="C174" s="18"/>
      <c r="D174" s="65"/>
      <c r="E174" s="60"/>
      <c r="F174" s="60">
        <v>18.022300000000001</v>
      </c>
      <c r="G174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174" s="67"/>
      <c r="I174" s="61"/>
      <c r="J174" s="61">
        <v>7.8700000000000005E-4</v>
      </c>
      <c r="K174" s="30" cm="1">
        <f t="array" ref="K174">IFERROR(SUMPRODUCT((Table3[Entry]),(Table3[Entry Position Size]) * (Table3[Trade ID] = B174)) / SUMIF(Table3[Trade ID], B174, Table3[Entry Position Size]), "Check Data")</f>
        <v>8.0617350273280253E-4</v>
      </c>
      <c r="L174" s="67" cm="1">
        <f t="array" ref="L174">IFERROR(SUMPRODUCT((Table3[[Exit ]]),(Table3[Exit Position Size]) * (Table3[Trade ID] = B174)) / SUMIF(Table3[Trade ID], B174, Table3[Exit Position Size]), "Check Data")</f>
        <v>7.8707384310141963E-4</v>
      </c>
      <c r="M174" s="62"/>
      <c r="N174" s="67"/>
      <c r="O174" s="66"/>
    </row>
    <row r="175" spans="2:15" x14ac:dyDescent="0.25">
      <c r="B175" s="18">
        <v>31</v>
      </c>
      <c r="C175" s="18"/>
      <c r="D175" s="65"/>
      <c r="E175" s="60"/>
      <c r="F175" s="60">
        <v>49.092399999999998</v>
      </c>
      <c r="G175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175" s="67"/>
      <c r="I175" s="61"/>
      <c r="J175" s="61">
        <v>7.8799999999999996E-4</v>
      </c>
      <c r="K175" s="30" cm="1">
        <f t="array" ref="K175">IFERROR(SUMPRODUCT((Table3[Entry]),(Table3[Entry Position Size]) * (Table3[Trade ID] = B175)) / SUMIF(Table3[Trade ID], B175, Table3[Entry Position Size]), "Check Data")</f>
        <v>8.0617350273280253E-4</v>
      </c>
      <c r="L175" s="67" cm="1">
        <f t="array" ref="L175">IFERROR(SUMPRODUCT((Table3[[Exit ]]),(Table3[Exit Position Size]) * (Table3[Trade ID] = B175)) / SUMIF(Table3[Trade ID], B175, Table3[Exit Position Size]), "Check Data")</f>
        <v>7.8707384310141963E-4</v>
      </c>
      <c r="M175" s="62"/>
      <c r="N175" s="67"/>
      <c r="O175" s="66"/>
    </row>
    <row r="176" spans="2:15" x14ac:dyDescent="0.25">
      <c r="B176" s="18">
        <v>31</v>
      </c>
      <c r="C176" s="18"/>
      <c r="D176" s="65"/>
      <c r="E176" s="60"/>
      <c r="F176" s="60">
        <v>21.433599999999998</v>
      </c>
      <c r="G176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176" s="67"/>
      <c r="I176" s="61"/>
      <c r="J176" s="61">
        <v>7.8799999999999996E-4</v>
      </c>
      <c r="K176" s="30" cm="1">
        <f t="array" ref="K176">IFERROR(SUMPRODUCT((Table3[Entry]),(Table3[Entry Position Size]) * (Table3[Trade ID] = B176)) / SUMIF(Table3[Trade ID], B176, Table3[Entry Position Size]), "Check Data")</f>
        <v>8.0617350273280253E-4</v>
      </c>
      <c r="L176" s="67" cm="1">
        <f t="array" ref="L176">IFERROR(SUMPRODUCT((Table3[[Exit ]]),(Table3[Exit Position Size]) * (Table3[Trade ID] = B176)) / SUMIF(Table3[Trade ID], B176, Table3[Exit Position Size]), "Check Data")</f>
        <v>7.8707384310141963E-4</v>
      </c>
      <c r="M176" s="62"/>
      <c r="N176" s="67"/>
      <c r="O176" s="66"/>
    </row>
    <row r="177" spans="2:15" x14ac:dyDescent="0.25">
      <c r="B177" s="18">
        <v>31</v>
      </c>
      <c r="C177" s="18"/>
      <c r="D177" s="65"/>
      <c r="E177" s="60"/>
      <c r="F177" s="60">
        <v>14.972</v>
      </c>
      <c r="G177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177" s="67"/>
      <c r="I177" s="61"/>
      <c r="J177" s="61">
        <v>7.8799999999999996E-4</v>
      </c>
      <c r="K177" s="30" cm="1">
        <f t="array" ref="K177">IFERROR(SUMPRODUCT((Table3[Entry]),(Table3[Entry Position Size]) * (Table3[Trade ID] = B177)) / SUMIF(Table3[Trade ID], B177, Table3[Entry Position Size]), "Check Data")</f>
        <v>8.0617350273280253E-4</v>
      </c>
      <c r="L177" s="67" cm="1">
        <f t="array" ref="L177">IFERROR(SUMPRODUCT((Table3[[Exit ]]),(Table3[Exit Position Size]) * (Table3[Trade ID] = B177)) / SUMIF(Table3[Trade ID], B177, Table3[Exit Position Size]), "Check Data")</f>
        <v>7.8707384310141963E-4</v>
      </c>
      <c r="M177" s="62"/>
      <c r="N177" s="67"/>
      <c r="O177" s="66"/>
    </row>
    <row r="178" spans="2:15" x14ac:dyDescent="0.25">
      <c r="B178" s="18">
        <v>31</v>
      </c>
      <c r="C178" s="18"/>
      <c r="D178" s="65"/>
      <c r="E178" s="60"/>
      <c r="F178" s="60">
        <v>30.0228</v>
      </c>
      <c r="G178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178" s="67"/>
      <c r="I178" s="61"/>
      <c r="J178" s="61">
        <v>7.8799999999999996E-4</v>
      </c>
      <c r="K178" s="30" cm="1">
        <f t="array" ref="K178">IFERROR(SUMPRODUCT((Table3[Entry]),(Table3[Entry Position Size]) * (Table3[Trade ID] = B178)) / SUMIF(Table3[Trade ID], B178, Table3[Entry Position Size]), "Check Data")</f>
        <v>8.0617350273280253E-4</v>
      </c>
      <c r="L178" s="67" cm="1">
        <f t="array" ref="L178">IFERROR(SUMPRODUCT((Table3[[Exit ]]),(Table3[Exit Position Size]) * (Table3[Trade ID] = B178)) / SUMIF(Table3[Trade ID], B178, Table3[Exit Position Size]), "Check Data")</f>
        <v>7.8707384310141963E-4</v>
      </c>
      <c r="M178" s="62"/>
      <c r="N178" s="67"/>
      <c r="O178" s="66"/>
    </row>
    <row r="179" spans="2:15" x14ac:dyDescent="0.25">
      <c r="B179" s="18">
        <v>31</v>
      </c>
      <c r="C179" s="18"/>
      <c r="D179" s="65"/>
      <c r="E179" s="60"/>
      <c r="F179" s="60">
        <v>17.9664</v>
      </c>
      <c r="G179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179" s="67"/>
      <c r="I179" s="61"/>
      <c r="J179" s="61">
        <v>7.8799999999999996E-4</v>
      </c>
      <c r="K179" s="30" cm="1">
        <f t="array" ref="K179">IFERROR(SUMPRODUCT((Table3[Entry]),(Table3[Entry Position Size]) * (Table3[Trade ID] = B179)) / SUMIF(Table3[Trade ID], B179, Table3[Entry Position Size]), "Check Data")</f>
        <v>8.0617350273280253E-4</v>
      </c>
      <c r="L179" s="67" cm="1">
        <f t="array" ref="L179">IFERROR(SUMPRODUCT((Table3[[Exit ]]),(Table3[Exit Position Size]) * (Table3[Trade ID] = B179)) / SUMIF(Table3[Trade ID], B179, Table3[Exit Position Size]), "Check Data")</f>
        <v>7.8707384310141963E-4</v>
      </c>
      <c r="M179" s="62"/>
      <c r="N179" s="67"/>
      <c r="O179" s="66"/>
    </row>
    <row r="180" spans="2:15" x14ac:dyDescent="0.25">
      <c r="B180" s="18">
        <v>31</v>
      </c>
      <c r="C180" s="18"/>
      <c r="D180" s="65"/>
      <c r="E180" s="60"/>
      <c r="F180" s="60">
        <v>78.900000000000006</v>
      </c>
      <c r="G180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180" s="67"/>
      <c r="I180" s="61"/>
      <c r="J180" s="61">
        <v>7.8899999999999999E-4</v>
      </c>
      <c r="K180" s="30" cm="1">
        <f t="array" ref="K180">IFERROR(SUMPRODUCT((Table3[Entry]),(Table3[Entry Position Size]) * (Table3[Trade ID] = B180)) / SUMIF(Table3[Trade ID], B180, Table3[Entry Position Size]), "Check Data")</f>
        <v>8.0617350273280253E-4</v>
      </c>
      <c r="L180" s="67" cm="1">
        <f t="array" ref="L180">IFERROR(SUMPRODUCT((Table3[[Exit ]]),(Table3[Exit Position Size]) * (Table3[Trade ID] = B180)) / SUMIF(Table3[Trade ID], B180, Table3[Exit Position Size]), "Check Data")</f>
        <v>7.8707384310141963E-4</v>
      </c>
      <c r="M180" s="62"/>
      <c r="N180" s="67"/>
      <c r="O180" s="66"/>
    </row>
    <row r="181" spans="2:15" x14ac:dyDescent="0.25">
      <c r="B181" s="18">
        <v>31</v>
      </c>
      <c r="C181" s="18"/>
      <c r="D181" s="65"/>
      <c r="E181" s="60"/>
      <c r="F181" s="60">
        <v>171.58799999999999</v>
      </c>
      <c r="G181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181" s="67"/>
      <c r="I181" s="61"/>
      <c r="J181" s="61">
        <v>7.9000000000000001E-4</v>
      </c>
      <c r="K181" s="30" cm="1">
        <f t="array" ref="K181">IFERROR(SUMPRODUCT((Table3[Entry]),(Table3[Entry Position Size]) * (Table3[Trade ID] = B181)) / SUMIF(Table3[Trade ID], B181, Table3[Entry Position Size]), "Check Data")</f>
        <v>8.0617350273280253E-4</v>
      </c>
      <c r="L181" s="67" cm="1">
        <f t="array" ref="L181">IFERROR(SUMPRODUCT((Table3[[Exit ]]),(Table3[Exit Position Size]) * (Table3[Trade ID] = B181)) / SUMIF(Table3[Trade ID], B181, Table3[Exit Position Size]), "Check Data")</f>
        <v>7.8707384310141963E-4</v>
      </c>
      <c r="M181" s="62"/>
      <c r="N181" s="67"/>
      <c r="O181" s="66"/>
    </row>
    <row r="182" spans="2:15" x14ac:dyDescent="0.25">
      <c r="B182" s="18">
        <v>31</v>
      </c>
      <c r="C182" s="18"/>
      <c r="D182" s="65"/>
      <c r="E182" s="60"/>
      <c r="F182" s="60">
        <v>70.230999999999995</v>
      </c>
      <c r="G182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182" s="67"/>
      <c r="I182" s="61"/>
      <c r="J182" s="61">
        <v>7.9000000000000001E-4</v>
      </c>
      <c r="K182" s="30" cm="1">
        <f t="array" ref="K182">IFERROR(SUMPRODUCT((Table3[Entry]),(Table3[Entry Position Size]) * (Table3[Trade ID] = B182)) / SUMIF(Table3[Trade ID], B182, Table3[Entry Position Size]), "Check Data")</f>
        <v>8.0617350273280253E-4</v>
      </c>
      <c r="L182" s="67" cm="1">
        <f t="array" ref="L182">IFERROR(SUMPRODUCT((Table3[[Exit ]]),(Table3[Exit Position Size]) * (Table3[Trade ID] = B182)) / SUMIF(Table3[Trade ID], B182, Table3[Exit Position Size]), "Check Data")</f>
        <v>7.8707384310141963E-4</v>
      </c>
      <c r="M182" s="62"/>
      <c r="N182" s="67"/>
      <c r="O182" s="66"/>
    </row>
    <row r="183" spans="2:15" x14ac:dyDescent="0.25">
      <c r="B183" s="18">
        <v>31</v>
      </c>
      <c r="C183" s="18"/>
      <c r="D183" s="65"/>
      <c r="E183" s="60"/>
      <c r="F183" s="60">
        <v>19.75</v>
      </c>
      <c r="G183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183" s="67"/>
      <c r="I183" s="61"/>
      <c r="J183" s="61">
        <v>7.9000000000000001E-4</v>
      </c>
      <c r="K183" s="30" cm="1">
        <f t="array" ref="K183">IFERROR(SUMPRODUCT((Table3[Entry]),(Table3[Entry Position Size]) * (Table3[Trade ID] = B183)) / SUMIF(Table3[Trade ID], B183, Table3[Entry Position Size]), "Check Data")</f>
        <v>8.0617350273280253E-4</v>
      </c>
      <c r="L183" s="67" cm="1">
        <f t="array" ref="L183">IFERROR(SUMPRODUCT((Table3[[Exit ]]),(Table3[Exit Position Size]) * (Table3[Trade ID] = B183)) / SUMIF(Table3[Trade ID], B183, Table3[Exit Position Size]), "Check Data")</f>
        <v>7.8707384310141963E-4</v>
      </c>
      <c r="M183" s="62"/>
      <c r="N183" s="67"/>
      <c r="O183" s="66"/>
    </row>
    <row r="184" spans="2:15" x14ac:dyDescent="0.25">
      <c r="B184" s="18">
        <v>31</v>
      </c>
      <c r="C184" s="18"/>
      <c r="D184" s="65"/>
      <c r="E184" s="60"/>
      <c r="F184" s="60">
        <v>187.15100000000001</v>
      </c>
      <c r="G184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184" s="67"/>
      <c r="I184" s="61"/>
      <c r="J184" s="61">
        <v>7.9000000000000001E-4</v>
      </c>
      <c r="K184" s="30" cm="1">
        <f t="array" ref="K184">IFERROR(SUMPRODUCT((Table3[Entry]),(Table3[Entry Position Size]) * (Table3[Trade ID] = B184)) / SUMIF(Table3[Trade ID], B184, Table3[Entry Position Size]), "Check Data")</f>
        <v>8.0617350273280253E-4</v>
      </c>
      <c r="L184" s="67" cm="1">
        <f t="array" ref="L184">IFERROR(SUMPRODUCT((Table3[[Exit ]]),(Table3[Exit Position Size]) * (Table3[Trade ID] = B184)) / SUMIF(Table3[Trade ID], B184, Table3[Exit Position Size]), "Check Data")</f>
        <v>7.8707384310141963E-4</v>
      </c>
      <c r="M184" s="62"/>
      <c r="N184" s="67"/>
      <c r="O184" s="66"/>
    </row>
    <row r="185" spans="2:15" x14ac:dyDescent="0.25">
      <c r="B185" s="18">
        <v>31</v>
      </c>
      <c r="C185" s="18"/>
      <c r="D185" s="65"/>
      <c r="E185" s="60"/>
      <c r="F185" s="60">
        <v>182.411</v>
      </c>
      <c r="G185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185" s="67"/>
      <c r="I185" s="61"/>
      <c r="J185" s="61">
        <v>7.9000000000000001E-4</v>
      </c>
      <c r="K185" s="30" cm="1">
        <f t="array" ref="K185">IFERROR(SUMPRODUCT((Table3[Entry]),(Table3[Entry Position Size]) * (Table3[Trade ID] = B185)) / SUMIF(Table3[Trade ID], B185, Table3[Entry Position Size]), "Check Data")</f>
        <v>8.0617350273280253E-4</v>
      </c>
      <c r="L185" s="67" cm="1">
        <f t="array" ref="L185">IFERROR(SUMPRODUCT((Table3[[Exit ]]),(Table3[Exit Position Size]) * (Table3[Trade ID] = B185)) / SUMIF(Table3[Trade ID], B185, Table3[Exit Position Size]), "Check Data")</f>
        <v>7.8707384310141963E-4</v>
      </c>
      <c r="M185" s="62"/>
      <c r="N185" s="67"/>
      <c r="O185" s="66"/>
    </row>
    <row r="186" spans="2:15" x14ac:dyDescent="0.25">
      <c r="B186" s="18">
        <v>31</v>
      </c>
      <c r="C186" s="18"/>
      <c r="D186" s="65"/>
      <c r="E186" s="60"/>
      <c r="F186" s="60">
        <v>99.935000000000002</v>
      </c>
      <c r="G186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186" s="67"/>
      <c r="I186" s="61"/>
      <c r="J186" s="61">
        <v>7.9000000000000001E-4</v>
      </c>
      <c r="K186" s="30" cm="1">
        <f t="array" ref="K186">IFERROR(SUMPRODUCT((Table3[Entry]),(Table3[Entry Position Size]) * (Table3[Trade ID] = B186)) / SUMIF(Table3[Trade ID], B186, Table3[Entry Position Size]), "Check Data")</f>
        <v>8.0617350273280253E-4</v>
      </c>
      <c r="L186" s="67" cm="1">
        <f t="array" ref="L186">IFERROR(SUMPRODUCT((Table3[[Exit ]]),(Table3[Exit Position Size]) * (Table3[Trade ID] = B186)) / SUMIF(Table3[Trade ID], B186, Table3[Exit Position Size]), "Check Data")</f>
        <v>7.8707384310141963E-4</v>
      </c>
      <c r="M186" s="62"/>
      <c r="N186" s="67"/>
      <c r="O186" s="66"/>
    </row>
    <row r="187" spans="2:15" x14ac:dyDescent="0.25">
      <c r="B187" s="18">
        <v>31</v>
      </c>
      <c r="C187" s="18"/>
      <c r="D187" s="65"/>
      <c r="E187" s="60"/>
      <c r="F187" s="60">
        <v>73.864999999999995</v>
      </c>
      <c r="G187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187" s="67"/>
      <c r="I187" s="61"/>
      <c r="J187" s="61">
        <v>7.9000000000000001E-4</v>
      </c>
      <c r="K187" s="30" cm="1">
        <f t="array" ref="K187">IFERROR(SUMPRODUCT((Table3[Entry]),(Table3[Entry Position Size]) * (Table3[Trade ID] = B187)) / SUMIF(Table3[Trade ID], B187, Table3[Entry Position Size]), "Check Data")</f>
        <v>8.0617350273280253E-4</v>
      </c>
      <c r="L187" s="67" cm="1">
        <f t="array" ref="L187">IFERROR(SUMPRODUCT((Table3[[Exit ]]),(Table3[Exit Position Size]) * (Table3[Trade ID] = B187)) / SUMIF(Table3[Trade ID], B187, Table3[Exit Position Size]), "Check Data")</f>
        <v>7.8707384310141963E-4</v>
      </c>
      <c r="M187" s="62"/>
      <c r="N187" s="67"/>
      <c r="O187" s="66"/>
    </row>
    <row r="188" spans="2:15" x14ac:dyDescent="0.25">
      <c r="B188" s="18">
        <v>31</v>
      </c>
      <c r="C188" s="18"/>
      <c r="D188" s="65"/>
      <c r="E188" s="60"/>
      <c r="F188" s="60">
        <v>3.95</v>
      </c>
      <c r="G188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188" s="67"/>
      <c r="I188" s="61"/>
      <c r="J188" s="61">
        <v>7.9000000000000001E-4</v>
      </c>
      <c r="K188" s="30" cm="1">
        <f t="array" ref="K188">IFERROR(SUMPRODUCT((Table3[Entry]),(Table3[Entry Position Size]) * (Table3[Trade ID] = B188)) / SUMIF(Table3[Trade ID], B188, Table3[Entry Position Size]), "Check Data")</f>
        <v>8.0617350273280253E-4</v>
      </c>
      <c r="L188" s="67" cm="1">
        <f t="array" ref="L188">IFERROR(SUMPRODUCT((Table3[[Exit ]]),(Table3[Exit Position Size]) * (Table3[Trade ID] = B188)) / SUMIF(Table3[Trade ID], B188, Table3[Exit Position Size]), "Check Data")</f>
        <v>7.8707384310141963E-4</v>
      </c>
      <c r="M188" s="62"/>
      <c r="N188" s="67"/>
      <c r="O188" s="66"/>
    </row>
    <row r="189" spans="2:15" x14ac:dyDescent="0.25">
      <c r="B189" s="18">
        <v>31</v>
      </c>
      <c r="C189" s="18"/>
      <c r="D189" s="65"/>
      <c r="E189" s="60"/>
      <c r="F189" s="60">
        <v>83.503</v>
      </c>
      <c r="G189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189" s="67"/>
      <c r="I189" s="61"/>
      <c r="J189" s="61">
        <v>7.9000000000000001E-4</v>
      </c>
      <c r="K189" s="30" cm="1">
        <f t="array" ref="K189">IFERROR(SUMPRODUCT((Table3[Entry]),(Table3[Entry Position Size]) * (Table3[Trade ID] = B189)) / SUMIF(Table3[Trade ID], B189, Table3[Entry Position Size]), "Check Data")</f>
        <v>8.0617350273280253E-4</v>
      </c>
      <c r="L189" s="67" cm="1">
        <f t="array" ref="L189">IFERROR(SUMPRODUCT((Table3[[Exit ]]),(Table3[Exit Position Size]) * (Table3[Trade ID] = B189)) / SUMIF(Table3[Trade ID], B189, Table3[Exit Position Size]), "Check Data")</f>
        <v>7.8707384310141963E-4</v>
      </c>
      <c r="M189" s="62"/>
      <c r="N189" s="67"/>
      <c r="O189" s="66"/>
    </row>
    <row r="190" spans="2:15" x14ac:dyDescent="0.25">
      <c r="B190" s="18">
        <v>31</v>
      </c>
      <c r="C190" s="18"/>
      <c r="D190" s="65"/>
      <c r="E190" s="60"/>
      <c r="F190" s="60">
        <v>49.927999999999997</v>
      </c>
      <c r="G190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190" s="67"/>
      <c r="I190" s="61"/>
      <c r="J190" s="61">
        <v>7.9000000000000001E-4</v>
      </c>
      <c r="K190" s="30" cm="1">
        <f t="array" ref="K190">IFERROR(SUMPRODUCT((Table3[Entry]),(Table3[Entry Position Size]) * (Table3[Trade ID] = B190)) / SUMIF(Table3[Trade ID], B190, Table3[Entry Position Size]), "Check Data")</f>
        <v>8.0617350273280253E-4</v>
      </c>
      <c r="L190" s="67" cm="1">
        <f t="array" ref="L190">IFERROR(SUMPRODUCT((Table3[[Exit ]]),(Table3[Exit Position Size]) * (Table3[Trade ID] = B190)) / SUMIF(Table3[Trade ID], B190, Table3[Exit Position Size]), "Check Data")</f>
        <v>7.8707384310141963E-4</v>
      </c>
      <c r="M190" s="62"/>
      <c r="N190" s="67"/>
      <c r="O190" s="66"/>
    </row>
    <row r="191" spans="2:15" x14ac:dyDescent="0.25">
      <c r="B191" s="18">
        <v>31</v>
      </c>
      <c r="C191" s="18"/>
      <c r="D191" s="65"/>
      <c r="E191" s="60"/>
      <c r="F191" s="60">
        <v>107.045</v>
      </c>
      <c r="G191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191" s="67"/>
      <c r="I191" s="61"/>
      <c r="J191" s="61">
        <v>7.9000000000000001E-4</v>
      </c>
      <c r="K191" s="30" cm="1">
        <f t="array" ref="K191">IFERROR(SUMPRODUCT((Table3[Entry]),(Table3[Entry Position Size]) * (Table3[Trade ID] = B191)) / SUMIF(Table3[Trade ID], B191, Table3[Entry Position Size]), "Check Data")</f>
        <v>8.0617350273280253E-4</v>
      </c>
      <c r="L191" s="67" cm="1">
        <f t="array" ref="L191">IFERROR(SUMPRODUCT((Table3[[Exit ]]),(Table3[Exit Position Size]) * (Table3[Trade ID] = B191)) / SUMIF(Table3[Trade ID], B191, Table3[Exit Position Size]), "Check Data")</f>
        <v>7.8707384310141963E-4</v>
      </c>
      <c r="M191" s="62"/>
      <c r="N191" s="67"/>
      <c r="O191" s="66"/>
    </row>
    <row r="192" spans="2:15" x14ac:dyDescent="0.25">
      <c r="B192" s="18">
        <v>31</v>
      </c>
      <c r="C192" s="18"/>
      <c r="D192" s="65"/>
      <c r="E192" s="60"/>
      <c r="F192" s="60">
        <v>47.716000000000001</v>
      </c>
      <c r="G192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192" s="67"/>
      <c r="I192" s="61"/>
      <c r="J192" s="61">
        <v>7.9000000000000001E-4</v>
      </c>
      <c r="K192" s="30" cm="1">
        <f t="array" ref="K192">IFERROR(SUMPRODUCT((Table3[Entry]),(Table3[Entry Position Size]) * (Table3[Trade ID] = B192)) / SUMIF(Table3[Trade ID], B192, Table3[Entry Position Size]), "Check Data")</f>
        <v>8.0617350273280253E-4</v>
      </c>
      <c r="L192" s="67" cm="1">
        <f t="array" ref="L192">IFERROR(SUMPRODUCT((Table3[[Exit ]]),(Table3[Exit Position Size]) * (Table3[Trade ID] = B192)) / SUMIF(Table3[Trade ID], B192, Table3[Exit Position Size]), "Check Data")</f>
        <v>7.8707384310141963E-4</v>
      </c>
      <c r="M192" s="62"/>
      <c r="N192" s="67"/>
      <c r="O192" s="66"/>
    </row>
    <row r="193" spans="2:15" x14ac:dyDescent="0.25">
      <c r="B193" s="18">
        <v>32</v>
      </c>
      <c r="C193" s="18" t="s">
        <v>31</v>
      </c>
      <c r="D193" s="65">
        <v>64</v>
      </c>
      <c r="E193" s="60">
        <v>103422.7132</v>
      </c>
      <c r="F193" s="60">
        <v>103437.587</v>
      </c>
      <c r="G193" s="67">
        <f>IF(Table3[[#This Row],[Trade ID]]&lt;&gt;"", IF(COUNTIF(INDEX(Table3[Trade ID],1):Table3[[#This Row],[Trade ID]], Table3[[#This Row],[Trade ID]])=1, SUMIFS(Table3[Entry Position Size], Table3[Trade ID], Table3[[#This Row],[Trade ID]]), ""), "")</f>
        <v>103422.7132</v>
      </c>
      <c r="H193" s="67">
        <f>Table3[[#This Row],[Position Size]]/Table3[[#This Row],[Leverage]]</f>
        <v>1615.97989375</v>
      </c>
      <c r="I193" s="61">
        <v>107776.9</v>
      </c>
      <c r="J193" s="61">
        <v>107792.4</v>
      </c>
      <c r="K193" s="30" cm="1">
        <f t="array" ref="K193">IFERROR(SUMPRODUCT((Table3[Entry]),(Table3[Entry Position Size]) * (Table3[Trade ID] = B193)) / SUMIF(Table3[Trade ID], B193, Table3[Entry Position Size]), "Check Data")</f>
        <v>107776.9</v>
      </c>
      <c r="L193" s="67" cm="1">
        <f t="array" ref="L193">IFERROR(SUMPRODUCT((Table3[[Exit ]]),(Table3[Exit Position Size]) * (Table3[Trade ID] = B193)) / SUMIF(Table3[Trade ID], B193, Table3[Exit Position Size]), "Check Data")</f>
        <v>107792.4</v>
      </c>
      <c r="M193" s="62"/>
      <c r="N193" s="67"/>
      <c r="O193" s="66"/>
    </row>
    <row r="194" spans="2:15" x14ac:dyDescent="0.25">
      <c r="B194" s="18">
        <v>33</v>
      </c>
      <c r="C194" s="18" t="s">
        <v>31</v>
      </c>
      <c r="D194" s="65">
        <v>33</v>
      </c>
      <c r="E194" s="60">
        <v>17784.427500000002</v>
      </c>
      <c r="F194" s="60">
        <v>17778.892500000002</v>
      </c>
      <c r="G194" s="67">
        <f>IF(Table3[[#This Row],[Trade ID]]&lt;&gt;"", IF(COUNTIF(INDEX(Table3[Trade ID],1):Table3[[#This Row],[Trade ID]], Table3[[#This Row],[Trade ID]])=1, SUMIFS(Table3[Entry Position Size], Table3[Trade ID], Table3[[#This Row],[Trade ID]]), ""), "")</f>
        <v>17784.427500000002</v>
      </c>
      <c r="H194" s="67">
        <f>Table3[[#This Row],[Position Size]]/Table3[[#This Row],[Leverage]]</f>
        <v>538.92204545454547</v>
      </c>
      <c r="I194" s="61">
        <v>2634.73</v>
      </c>
      <c r="J194" s="61">
        <v>2633.91</v>
      </c>
      <c r="K194" s="30" cm="1">
        <f t="array" ref="K194">IFERROR(SUMPRODUCT((Table3[Entry]),(Table3[Entry Position Size]) * (Table3[Trade ID] = B194)) / SUMIF(Table3[Trade ID], B194, Table3[Entry Position Size]), "Check Data")</f>
        <v>2634.73</v>
      </c>
      <c r="L194" s="67" cm="1">
        <f t="array" ref="L194">IFERROR(SUMPRODUCT((Table3[[Exit ]]),(Table3[Exit Position Size]) * (Table3[Trade ID] = B194)) / SUMIF(Table3[Trade ID], B194, Table3[Exit Position Size]), "Check Data")</f>
        <v>2633.91</v>
      </c>
      <c r="M194" s="62"/>
      <c r="N194" s="67"/>
      <c r="O194" s="66"/>
    </row>
    <row r="195" spans="2:15" x14ac:dyDescent="0.25">
      <c r="B195" s="18">
        <v>34</v>
      </c>
      <c r="C195" s="18" t="s">
        <v>31</v>
      </c>
      <c r="D195" s="65">
        <v>63</v>
      </c>
      <c r="E195" s="60">
        <v>33219.839999999997</v>
      </c>
      <c r="F195" s="60">
        <v>33171.31</v>
      </c>
      <c r="G195" s="67">
        <f>IF(Table3[[#This Row],[Trade ID]]&lt;&gt;"", IF(COUNTIF(INDEX(Table3[Trade ID],1):Table3[[#This Row],[Trade ID]], Table3[[#This Row],[Trade ID]])=1, SUMIFS(Table3[Entry Position Size], Table3[Trade ID], Table3[[#This Row],[Trade ID]]), ""), "")</f>
        <v>33219.839999999997</v>
      </c>
      <c r="H195" s="67">
        <f>Table3[[#This Row],[Position Size]]/Table3[[#This Row],[Leverage]]</f>
        <v>527.29904761904754</v>
      </c>
      <c r="I195" s="61">
        <v>157.44</v>
      </c>
      <c r="J195" s="61">
        <v>157.21</v>
      </c>
      <c r="K195" s="30" cm="1">
        <f t="array" ref="K195">IFERROR(SUMPRODUCT((Table3[Entry]),(Table3[Entry Position Size]) * (Table3[Trade ID] = B195)) / SUMIF(Table3[Trade ID], B195, Table3[Entry Position Size]), "Check Data")</f>
        <v>157.44</v>
      </c>
      <c r="L195" s="67" cm="1">
        <f t="array" ref="L195">IFERROR(SUMPRODUCT((Table3[[Exit ]]),(Table3[Exit Position Size]) * (Table3[Trade ID] = B195)) / SUMIF(Table3[Trade ID], B195, Table3[Exit Position Size]), "Check Data")</f>
        <v>157.21</v>
      </c>
      <c r="M195" s="62"/>
      <c r="N195" s="67"/>
      <c r="O195" s="66"/>
    </row>
    <row r="196" spans="2:15" x14ac:dyDescent="0.25">
      <c r="B196" s="18">
        <v>35</v>
      </c>
      <c r="C196" s="18" t="s">
        <v>59</v>
      </c>
      <c r="D196" s="65">
        <v>63</v>
      </c>
      <c r="E196" s="60">
        <v>32909.296000000002</v>
      </c>
      <c r="F196" s="60">
        <v>32923.968000000001</v>
      </c>
      <c r="G196" s="67">
        <f>IF(Table3[[#This Row],[Trade ID]]&lt;&gt;"", IF(COUNTIF(INDEX(Table3[Trade ID],1):Table3[[#This Row],[Trade ID]], Table3[[#This Row],[Trade ID]])=1, SUMIFS(Table3[Entry Position Size], Table3[Trade ID], Table3[[#This Row],[Trade ID]]), ""), "")</f>
        <v>32909.296000000002</v>
      </c>
      <c r="H196" s="67">
        <f>Table3[[#This Row],[Position Size]]/Table3[[#This Row],[Leverage]]</f>
        <v>522.36977777777781</v>
      </c>
      <c r="I196" s="61">
        <v>157.01</v>
      </c>
      <c r="J196" s="61">
        <v>157.08000000000001</v>
      </c>
      <c r="K196" s="30" cm="1">
        <f t="array" ref="K196">IFERROR(SUMPRODUCT((Table3[Entry]),(Table3[Entry Position Size]) * (Table3[Trade ID] = B196)) / SUMIF(Table3[Trade ID], B196, Table3[Entry Position Size]), "Check Data")</f>
        <v>157.01</v>
      </c>
      <c r="L196" s="67" cm="1">
        <f t="array" ref="L196">IFERROR(SUMPRODUCT((Table3[[Exit ]]),(Table3[Exit Position Size]) * (Table3[Trade ID] = B196)) / SUMIF(Table3[Trade ID], B196, Table3[Exit Position Size]), "Check Data")</f>
        <v>157.08000000000001</v>
      </c>
      <c r="M196" s="62"/>
      <c r="N196" s="67"/>
      <c r="O196" s="66"/>
    </row>
    <row r="197" spans="2:15" x14ac:dyDescent="0.25">
      <c r="B197" s="18">
        <v>36</v>
      </c>
      <c r="C197" s="18" t="s">
        <v>59</v>
      </c>
      <c r="D197" s="65">
        <v>20</v>
      </c>
      <c r="E197" s="60">
        <v>263.822</v>
      </c>
      <c r="F197" s="60">
        <v>439.33499999999998</v>
      </c>
      <c r="G197" s="67">
        <f>IF(Table3[[#This Row],[Trade ID]]&lt;&gt;"", IF(COUNTIF(INDEX(Table3[Trade ID],1):Table3[[#This Row],[Trade ID]], Table3[[#This Row],[Trade ID]])=1, SUMIFS(Table3[Entry Position Size], Table3[Trade ID], Table3[[#This Row],[Trade ID]]), ""), "")</f>
        <v>2929.9468999999999</v>
      </c>
      <c r="H197" s="67">
        <f>Table3[[#This Row],[Position Size]]/Table3[[#This Row],[Leverage]]</f>
        <v>146.497345</v>
      </c>
      <c r="I197" s="61">
        <v>7.2999999999999996E-4</v>
      </c>
      <c r="J197" s="61">
        <v>7.5100000000000004E-4</v>
      </c>
      <c r="K197" s="30" cm="1">
        <f t="array" ref="K197">IFERROR(SUMPRODUCT((Table3[Entry]),(Table3[Entry Position Size]) * (Table3[Trade ID] = B197)) / SUMIF(Table3[Trade ID], B197, Table3[Entry Position Size]), "Check Data")</f>
        <v>7.3219060051907432E-4</v>
      </c>
      <c r="L197" s="67" cm="1">
        <f t="array" ref="L197">IFERROR(SUMPRODUCT((Table3[[Exit ]]),(Table3[Exit Position Size]) * (Table3[Trade ID] = B197)) / SUMIF(Table3[Trade ID], B197, Table3[Exit Position Size]), "Check Data")</f>
        <v>7.495330496939404E-4</v>
      </c>
      <c r="M197" s="62"/>
      <c r="N197" s="67"/>
      <c r="O197" s="66"/>
    </row>
    <row r="198" spans="2:15" x14ac:dyDescent="0.25">
      <c r="B198" s="18">
        <v>36</v>
      </c>
      <c r="C198" s="18"/>
      <c r="D198" s="65"/>
      <c r="E198" s="60">
        <v>116.8</v>
      </c>
      <c r="F198" s="60">
        <v>77.503200000000007</v>
      </c>
      <c r="G198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198" s="67"/>
      <c r="I198" s="61">
        <v>7.2999999999999996E-4</v>
      </c>
      <c r="J198" s="61">
        <v>7.5100000000000004E-4</v>
      </c>
      <c r="K198" s="30" cm="1">
        <f t="array" ref="K198">IFERROR(SUMPRODUCT((Table3[Entry]),(Table3[Entry Position Size]) * (Table3[Trade ID] = B198)) / SUMIF(Table3[Trade ID], B198, Table3[Entry Position Size]), "Check Data")</f>
        <v>7.3219060051907432E-4</v>
      </c>
      <c r="L198" s="67" cm="1">
        <f t="array" ref="L198">IFERROR(SUMPRODUCT((Table3[[Exit ]]),(Table3[Exit Position Size]) * (Table3[Trade ID] = B198)) / SUMIF(Table3[Trade ID], B198, Table3[Exit Position Size]), "Check Data")</f>
        <v>7.495330496939404E-4</v>
      </c>
      <c r="M198" s="62"/>
      <c r="N198" s="67"/>
      <c r="O198" s="66"/>
    </row>
    <row r="199" spans="2:15" x14ac:dyDescent="0.25">
      <c r="B199" s="18">
        <v>36</v>
      </c>
      <c r="C199" s="18"/>
      <c r="D199" s="65"/>
      <c r="E199" s="60">
        <v>27.74</v>
      </c>
      <c r="F199" s="60">
        <v>499.95</v>
      </c>
      <c r="G199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199" s="67"/>
      <c r="I199" s="61">
        <v>7.2999999999999996E-4</v>
      </c>
      <c r="J199" s="61">
        <v>7.5000000000000002E-4</v>
      </c>
      <c r="K199" s="30" cm="1">
        <f t="array" ref="K199">IFERROR(SUMPRODUCT((Table3[Entry]),(Table3[Entry Position Size]) * (Table3[Trade ID] = B199)) / SUMIF(Table3[Trade ID], B199, Table3[Entry Position Size]), "Check Data")</f>
        <v>7.3219060051907432E-4</v>
      </c>
      <c r="L199" s="67" cm="1">
        <f t="array" ref="L199">IFERROR(SUMPRODUCT((Table3[[Exit ]]),(Table3[Exit Position Size]) * (Table3[Trade ID] = B199)) / SUMIF(Table3[Trade ID], B199, Table3[Exit Position Size]), "Check Data")</f>
        <v>7.495330496939404E-4</v>
      </c>
      <c r="M199" s="62"/>
      <c r="N199" s="67"/>
      <c r="O199" s="66"/>
    </row>
    <row r="200" spans="2:15" x14ac:dyDescent="0.25">
      <c r="B200" s="18">
        <v>36</v>
      </c>
      <c r="C200" s="18"/>
      <c r="D200" s="65"/>
      <c r="E200" s="60">
        <v>8.4064999999999994</v>
      </c>
      <c r="F200" s="60">
        <v>71.174999999999997</v>
      </c>
      <c r="G200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200" s="67"/>
      <c r="I200" s="61">
        <v>7.3099999999999999E-4</v>
      </c>
      <c r="J200" s="61">
        <v>7.5000000000000002E-4</v>
      </c>
      <c r="K200" s="30" cm="1">
        <f t="array" ref="K200">IFERROR(SUMPRODUCT((Table3[Entry]),(Table3[Entry Position Size]) * (Table3[Trade ID] = B200)) / SUMIF(Table3[Trade ID], B200, Table3[Entry Position Size]), "Check Data")</f>
        <v>7.3219060051907432E-4</v>
      </c>
      <c r="L200" s="67" cm="1">
        <f t="array" ref="L200">IFERROR(SUMPRODUCT((Table3[[Exit ]]),(Table3[Exit Position Size]) * (Table3[Trade ID] = B200)) / SUMIF(Table3[Trade ID], B200, Table3[Exit Position Size]), "Check Data")</f>
        <v>7.495330496939404E-4</v>
      </c>
      <c r="M200" s="62"/>
      <c r="N200" s="67"/>
      <c r="O200" s="66"/>
    </row>
    <row r="201" spans="2:15" x14ac:dyDescent="0.25">
      <c r="B201" s="18">
        <v>36</v>
      </c>
      <c r="C201" s="18"/>
      <c r="D201" s="65"/>
      <c r="E201" s="60">
        <v>34.283900000000003</v>
      </c>
      <c r="F201" s="60">
        <v>210.75</v>
      </c>
      <c r="G201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201" s="67"/>
      <c r="I201" s="61">
        <v>7.3099999999999999E-4</v>
      </c>
      <c r="J201" s="61">
        <v>7.5000000000000002E-4</v>
      </c>
      <c r="K201" s="30" cm="1">
        <f t="array" ref="K201">IFERROR(SUMPRODUCT((Table3[Entry]),(Table3[Entry Position Size]) * (Table3[Trade ID] = B201)) / SUMIF(Table3[Trade ID], B201, Table3[Entry Position Size]), "Check Data")</f>
        <v>7.3219060051907432E-4</v>
      </c>
      <c r="L201" s="67" cm="1">
        <f t="array" ref="L201">IFERROR(SUMPRODUCT((Table3[[Exit ]]),(Table3[Exit Position Size]) * (Table3[Trade ID] = B201)) / SUMIF(Table3[Trade ID], B201, Table3[Exit Position Size]), "Check Data")</f>
        <v>7.495330496939404E-4</v>
      </c>
      <c r="M201" s="62"/>
      <c r="N201" s="67"/>
      <c r="O201" s="66"/>
    </row>
    <row r="202" spans="2:15" x14ac:dyDescent="0.25">
      <c r="B202" s="18">
        <v>36</v>
      </c>
      <c r="C202" s="18"/>
      <c r="D202" s="65"/>
      <c r="E202" s="60">
        <v>48.319099999999999</v>
      </c>
      <c r="F202" s="60">
        <v>116.47499999999999</v>
      </c>
      <c r="G202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202" s="67"/>
      <c r="I202" s="61">
        <v>7.3099999999999999E-4</v>
      </c>
      <c r="J202" s="61">
        <v>7.5000000000000002E-4</v>
      </c>
      <c r="K202" s="30" cm="1">
        <f t="array" ref="K202">IFERROR(SUMPRODUCT((Table3[Entry]),(Table3[Entry Position Size]) * (Table3[Trade ID] = B202)) / SUMIF(Table3[Trade ID], B202, Table3[Entry Position Size]), "Check Data")</f>
        <v>7.3219060051907432E-4</v>
      </c>
      <c r="L202" s="67" cm="1">
        <f t="array" ref="L202">IFERROR(SUMPRODUCT((Table3[[Exit ]]),(Table3[Exit Position Size]) * (Table3[Trade ID] = B202)) / SUMIF(Table3[Trade ID], B202, Table3[Exit Position Size]), "Check Data")</f>
        <v>7.495330496939404E-4</v>
      </c>
      <c r="M202" s="62"/>
      <c r="N202" s="67"/>
      <c r="O202" s="66"/>
    </row>
    <row r="203" spans="2:15" x14ac:dyDescent="0.25">
      <c r="B203" s="18">
        <v>36</v>
      </c>
      <c r="C203" s="18"/>
      <c r="D203" s="65"/>
      <c r="E203" s="60">
        <v>67.636799999999994</v>
      </c>
      <c r="F203" s="60">
        <v>324.14999999999998</v>
      </c>
      <c r="G203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203" s="67"/>
      <c r="I203" s="61">
        <v>7.3200000000000001E-4</v>
      </c>
      <c r="J203" s="61">
        <v>7.5000000000000002E-4</v>
      </c>
      <c r="K203" s="30" cm="1">
        <f t="array" ref="K203">IFERROR(SUMPRODUCT((Table3[Entry]),(Table3[Entry Position Size]) * (Table3[Trade ID] = B203)) / SUMIF(Table3[Trade ID], B203, Table3[Entry Position Size]), "Check Data")</f>
        <v>7.3219060051907432E-4</v>
      </c>
      <c r="L203" s="67" cm="1">
        <f t="array" ref="L203">IFERROR(SUMPRODUCT((Table3[[Exit ]]),(Table3[Exit Position Size]) * (Table3[Trade ID] = B203)) / SUMIF(Table3[Trade ID], B203, Table3[Exit Position Size]), "Check Data")</f>
        <v>7.495330496939404E-4</v>
      </c>
      <c r="M203" s="62"/>
      <c r="N203" s="67"/>
      <c r="O203" s="66"/>
    </row>
    <row r="204" spans="2:15" x14ac:dyDescent="0.25">
      <c r="B204" s="18">
        <v>36</v>
      </c>
      <c r="C204" s="18"/>
      <c r="D204" s="65"/>
      <c r="E204" s="60">
        <v>369.00119999999998</v>
      </c>
      <c r="F204" s="60">
        <v>11.4</v>
      </c>
      <c r="G204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204" s="67"/>
      <c r="I204" s="61">
        <v>7.3200000000000001E-4</v>
      </c>
      <c r="J204" s="61">
        <v>7.5000000000000002E-4</v>
      </c>
      <c r="K204" s="30" cm="1">
        <f t="array" ref="K204">IFERROR(SUMPRODUCT((Table3[Entry]),(Table3[Entry Position Size]) * (Table3[Trade ID] = B204)) / SUMIF(Table3[Trade ID], B204, Table3[Entry Position Size]), "Check Data")</f>
        <v>7.3219060051907432E-4</v>
      </c>
      <c r="L204" s="67" cm="1">
        <f t="array" ref="L204">IFERROR(SUMPRODUCT((Table3[[Exit ]]),(Table3[Exit Position Size]) * (Table3[Trade ID] = B204)) / SUMIF(Table3[Trade ID], B204, Table3[Exit Position Size]), "Check Data")</f>
        <v>7.495330496939404E-4</v>
      </c>
      <c r="M204" s="62"/>
      <c r="N204" s="67"/>
      <c r="O204" s="66"/>
    </row>
    <row r="205" spans="2:15" x14ac:dyDescent="0.25">
      <c r="B205" s="18">
        <v>36</v>
      </c>
      <c r="C205" s="18"/>
      <c r="D205" s="65"/>
      <c r="E205" s="60">
        <v>486.6336</v>
      </c>
      <c r="F205" s="60">
        <v>72.674999999999997</v>
      </c>
      <c r="G205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205" s="67"/>
      <c r="I205" s="61">
        <v>7.3200000000000001E-4</v>
      </c>
      <c r="J205" s="61">
        <v>7.5000000000000002E-4</v>
      </c>
      <c r="K205" s="30" cm="1">
        <f t="array" ref="K205">IFERROR(SUMPRODUCT((Table3[Entry]),(Table3[Entry Position Size]) * (Table3[Trade ID] = B205)) / SUMIF(Table3[Trade ID], B205, Table3[Entry Position Size]), "Check Data")</f>
        <v>7.3219060051907432E-4</v>
      </c>
      <c r="L205" s="67" cm="1">
        <f t="array" ref="L205">IFERROR(SUMPRODUCT((Table3[[Exit ]]),(Table3[Exit Position Size]) * (Table3[Trade ID] = B205)) / SUMIF(Table3[Trade ID], B205, Table3[Exit Position Size]), "Check Data")</f>
        <v>7.495330496939404E-4</v>
      </c>
      <c r="M205" s="62"/>
      <c r="N205" s="67"/>
      <c r="O205" s="66"/>
    </row>
    <row r="206" spans="2:15" x14ac:dyDescent="0.25">
      <c r="B206" s="18">
        <v>36</v>
      </c>
      <c r="C206" s="18"/>
      <c r="D206" s="65"/>
      <c r="E206" s="60">
        <v>59.438400000000001</v>
      </c>
      <c r="F206" s="60">
        <v>7.4999999999999997E-2</v>
      </c>
      <c r="G206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206" s="67"/>
      <c r="I206" s="61">
        <v>7.3200000000000001E-4</v>
      </c>
      <c r="J206" s="61">
        <v>7.5000000000000002E-4</v>
      </c>
      <c r="K206" s="30" cm="1">
        <f t="array" ref="K206">IFERROR(SUMPRODUCT((Table3[Entry]),(Table3[Entry Position Size]) * (Table3[Trade ID] = B206)) / SUMIF(Table3[Trade ID], B206, Table3[Entry Position Size]), "Check Data")</f>
        <v>7.3219060051907432E-4</v>
      </c>
      <c r="L206" s="67" cm="1">
        <f t="array" ref="L206">IFERROR(SUMPRODUCT((Table3[[Exit ]]),(Table3[Exit Position Size]) * (Table3[Trade ID] = B206)) / SUMIF(Table3[Trade ID], B206, Table3[Exit Position Size]), "Check Data")</f>
        <v>7.495330496939404E-4</v>
      </c>
      <c r="M206" s="62"/>
      <c r="N206" s="67"/>
      <c r="O206" s="66"/>
    </row>
    <row r="207" spans="2:15" x14ac:dyDescent="0.25">
      <c r="B207" s="18">
        <v>36</v>
      </c>
      <c r="C207" s="18"/>
      <c r="D207" s="65"/>
      <c r="E207" s="60">
        <v>499.97930000000002</v>
      </c>
      <c r="F207" s="60">
        <v>29.625</v>
      </c>
      <c r="G207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207" s="67"/>
      <c r="I207" s="61">
        <v>7.3200000000000001E-4</v>
      </c>
      <c r="J207" s="61">
        <v>7.5000000000000002E-4</v>
      </c>
      <c r="K207" s="30" cm="1">
        <f t="array" ref="K207">IFERROR(SUMPRODUCT((Table3[Entry]),(Table3[Entry Position Size]) * (Table3[Trade ID] = B207)) / SUMIF(Table3[Trade ID], B207, Table3[Entry Position Size]), "Check Data")</f>
        <v>7.3219060051907432E-4</v>
      </c>
      <c r="L207" s="67" cm="1">
        <f t="array" ref="L207">IFERROR(SUMPRODUCT((Table3[[Exit ]]),(Table3[Exit Position Size]) * (Table3[Trade ID] = B207)) / SUMIF(Table3[Trade ID], B207, Table3[Exit Position Size]), "Check Data")</f>
        <v>7.495330496939404E-4</v>
      </c>
      <c r="M207" s="62"/>
      <c r="N207" s="67"/>
      <c r="O207" s="66"/>
    </row>
    <row r="208" spans="2:15" x14ac:dyDescent="0.25">
      <c r="B208" s="18">
        <v>36</v>
      </c>
      <c r="C208" s="18"/>
      <c r="D208" s="65"/>
      <c r="E208" s="60">
        <v>11.434799999999999</v>
      </c>
      <c r="F208" s="60">
        <v>28.162400000000002</v>
      </c>
      <c r="G208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208" s="67"/>
      <c r="I208" s="61">
        <v>7.3200000000000001E-4</v>
      </c>
      <c r="J208" s="61">
        <v>7.4899999999999999E-4</v>
      </c>
      <c r="K208" s="30" cm="1">
        <f t="array" ref="K208">IFERROR(SUMPRODUCT((Table3[Entry]),(Table3[Entry Position Size]) * (Table3[Trade ID] = B208)) / SUMIF(Table3[Trade ID], B208, Table3[Entry Position Size]), "Check Data")</f>
        <v>7.3219060051907432E-4</v>
      </c>
      <c r="L208" s="67" cm="1">
        <f t="array" ref="L208">IFERROR(SUMPRODUCT((Table3[[Exit ]]),(Table3[Exit Position Size]) * (Table3[Trade ID] = B208)) / SUMIF(Table3[Trade ID], B208, Table3[Exit Position Size]), "Check Data")</f>
        <v>7.495330496939404E-4</v>
      </c>
      <c r="M208" s="62"/>
      <c r="N208" s="67"/>
      <c r="O208" s="66"/>
    </row>
    <row r="209" spans="2:15" x14ac:dyDescent="0.25">
      <c r="B209" s="18">
        <v>36</v>
      </c>
      <c r="C209" s="18"/>
      <c r="D209" s="65"/>
      <c r="E209" s="60">
        <v>99.981200000000001</v>
      </c>
      <c r="F209" s="60">
        <v>42.168700000000001</v>
      </c>
      <c r="G209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209" s="67"/>
      <c r="I209" s="61">
        <v>7.3200000000000001E-4</v>
      </c>
      <c r="J209" s="61">
        <v>7.4899999999999999E-4</v>
      </c>
      <c r="K209" s="30" cm="1">
        <f t="array" ref="K209">IFERROR(SUMPRODUCT((Table3[Entry]),(Table3[Entry Position Size]) * (Table3[Trade ID] = B209)) / SUMIF(Table3[Trade ID], B209, Table3[Entry Position Size]), "Check Data")</f>
        <v>7.3219060051907432E-4</v>
      </c>
      <c r="L209" s="67" cm="1">
        <f t="array" ref="L209">IFERROR(SUMPRODUCT((Table3[[Exit ]]),(Table3[Exit Position Size]) * (Table3[Trade ID] = B209)) / SUMIF(Table3[Trade ID], B209, Table3[Exit Position Size]), "Check Data")</f>
        <v>7.495330496939404E-4</v>
      </c>
      <c r="M209" s="62"/>
      <c r="N209" s="67"/>
      <c r="O209" s="66"/>
    </row>
    <row r="210" spans="2:15" x14ac:dyDescent="0.25">
      <c r="B210" s="18">
        <v>36</v>
      </c>
      <c r="C210" s="18"/>
      <c r="D210" s="65"/>
      <c r="E210" s="60">
        <v>99.981200000000001</v>
      </c>
      <c r="F210" s="60">
        <v>203.27860000000001</v>
      </c>
      <c r="G210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210" s="67"/>
      <c r="I210" s="61">
        <v>7.3200000000000001E-4</v>
      </c>
      <c r="J210" s="61">
        <v>7.4899999999999999E-4</v>
      </c>
      <c r="K210" s="30" cm="1">
        <f t="array" ref="K210">IFERROR(SUMPRODUCT((Table3[Entry]),(Table3[Entry Position Size]) * (Table3[Trade ID] = B210)) / SUMIF(Table3[Trade ID], B210, Table3[Entry Position Size]), "Check Data")</f>
        <v>7.3219060051907432E-4</v>
      </c>
      <c r="L210" s="67" cm="1">
        <f t="array" ref="L210">IFERROR(SUMPRODUCT((Table3[[Exit ]]),(Table3[Exit Position Size]) * (Table3[Trade ID] = B210)) / SUMIF(Table3[Trade ID], B210, Table3[Exit Position Size]), "Check Data")</f>
        <v>7.495330496939404E-4</v>
      </c>
      <c r="M210" s="62"/>
      <c r="N210" s="67"/>
      <c r="O210" s="66"/>
    </row>
    <row r="211" spans="2:15" x14ac:dyDescent="0.25">
      <c r="B211" s="18">
        <v>36</v>
      </c>
      <c r="C211" s="18"/>
      <c r="D211" s="65"/>
      <c r="E211" s="60">
        <v>79.970299999999995</v>
      </c>
      <c r="F211" s="60">
        <v>49.958300000000001</v>
      </c>
      <c r="G211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211" s="67"/>
      <c r="I211" s="61">
        <v>7.3200000000000001E-4</v>
      </c>
      <c r="J211" s="61">
        <v>7.4899999999999999E-4</v>
      </c>
      <c r="K211" s="30" cm="1">
        <f t="array" ref="K211">IFERROR(SUMPRODUCT((Table3[Entry]),(Table3[Entry Position Size]) * (Table3[Trade ID] = B211)) / SUMIF(Table3[Trade ID], B211, Table3[Entry Position Size]), "Check Data")</f>
        <v>7.3219060051907432E-4</v>
      </c>
      <c r="L211" s="67" cm="1">
        <f t="array" ref="L211">IFERROR(SUMPRODUCT((Table3[[Exit ]]),(Table3[Exit Position Size]) * (Table3[Trade ID] = B211)) / SUMIF(Table3[Trade ID], B211, Table3[Exit Position Size]), "Check Data")</f>
        <v>7.495330496939404E-4</v>
      </c>
      <c r="M211" s="62"/>
      <c r="N211" s="67"/>
      <c r="O211" s="66"/>
    </row>
    <row r="212" spans="2:15" x14ac:dyDescent="0.25">
      <c r="B212" s="18">
        <v>36</v>
      </c>
      <c r="C212" s="18"/>
      <c r="D212" s="65"/>
      <c r="E212" s="60">
        <v>84.221699999999998</v>
      </c>
      <c r="F212" s="60">
        <v>99.991500000000002</v>
      </c>
      <c r="G212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212" s="67"/>
      <c r="I212" s="61">
        <v>7.3200000000000001E-4</v>
      </c>
      <c r="J212" s="61">
        <v>7.4899999999999999E-4</v>
      </c>
      <c r="K212" s="30" cm="1">
        <f t="array" ref="K212">IFERROR(SUMPRODUCT((Table3[Entry]),(Table3[Entry Position Size]) * (Table3[Trade ID] = B212)) / SUMIF(Table3[Trade ID], B212, Table3[Entry Position Size]), "Check Data")</f>
        <v>7.3219060051907432E-4</v>
      </c>
      <c r="L212" s="67" cm="1">
        <f t="array" ref="L212">IFERROR(SUMPRODUCT((Table3[[Exit ]]),(Table3[Exit Position Size]) * (Table3[Trade ID] = B212)) / SUMIF(Table3[Trade ID], B212, Table3[Exit Position Size]), "Check Data")</f>
        <v>7.495330496939404E-4</v>
      </c>
      <c r="M212" s="62"/>
      <c r="N212" s="67"/>
      <c r="O212" s="66"/>
    </row>
    <row r="213" spans="2:15" x14ac:dyDescent="0.25">
      <c r="B213" s="18">
        <v>36</v>
      </c>
      <c r="C213" s="18"/>
      <c r="D213" s="65"/>
      <c r="E213" s="60">
        <v>14.8268</v>
      </c>
      <c r="F213" s="60">
        <v>61.71</v>
      </c>
      <c r="G213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213" s="67"/>
      <c r="I213" s="61">
        <v>7.3399999999999995E-4</v>
      </c>
      <c r="J213" s="61">
        <v>7.4799999999999997E-4</v>
      </c>
      <c r="K213" s="30" cm="1">
        <f t="array" ref="K213">IFERROR(SUMPRODUCT((Table3[Entry]),(Table3[Entry Position Size]) * (Table3[Trade ID] = B213)) / SUMIF(Table3[Trade ID], B213, Table3[Entry Position Size]), "Check Data")</f>
        <v>7.3219060051907432E-4</v>
      </c>
      <c r="L213" s="67" cm="1">
        <f t="array" ref="L213">IFERROR(SUMPRODUCT((Table3[[Exit ]]),(Table3[Exit Position Size]) * (Table3[Trade ID] = B213)) / SUMIF(Table3[Trade ID], B213, Table3[Exit Position Size]), "Check Data")</f>
        <v>7.495330496939404E-4</v>
      </c>
      <c r="M213" s="62"/>
      <c r="N213" s="67"/>
      <c r="O213" s="66"/>
    </row>
    <row r="214" spans="2:15" x14ac:dyDescent="0.25">
      <c r="B214" s="18">
        <v>36</v>
      </c>
      <c r="C214" s="18"/>
      <c r="D214" s="65"/>
      <c r="E214" s="60">
        <v>4.3305999999999996</v>
      </c>
      <c r="F214" s="60">
        <v>555.61440000000005</v>
      </c>
      <c r="G214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214" s="67"/>
      <c r="I214" s="61">
        <v>7.3399999999999995E-4</v>
      </c>
      <c r="J214" s="61">
        <v>7.4799999999999997E-4</v>
      </c>
      <c r="K214" s="30" cm="1">
        <f t="array" ref="K214">IFERROR(SUMPRODUCT((Table3[Entry]),(Table3[Entry Position Size]) * (Table3[Trade ID] = B214)) / SUMIF(Table3[Trade ID], B214, Table3[Entry Position Size]), "Check Data")</f>
        <v>7.3219060051907432E-4</v>
      </c>
      <c r="L214" s="67" cm="1">
        <f t="array" ref="L214">IFERROR(SUMPRODUCT((Table3[[Exit ]]),(Table3[Exit Position Size]) * (Table3[Trade ID] = B214)) / SUMIF(Table3[Trade ID], B214, Table3[Exit Position Size]), "Check Data")</f>
        <v>7.495330496939404E-4</v>
      </c>
      <c r="M214" s="62"/>
      <c r="N214" s="67"/>
      <c r="O214" s="66"/>
    </row>
    <row r="215" spans="2:15" x14ac:dyDescent="0.25">
      <c r="B215" s="18">
        <v>36</v>
      </c>
      <c r="C215" s="18"/>
      <c r="D215" s="65"/>
      <c r="E215" s="60">
        <v>67.968400000000003</v>
      </c>
      <c r="F215" s="60">
        <v>10.023199999999999</v>
      </c>
      <c r="G215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215" s="67"/>
      <c r="I215" s="61">
        <v>7.3399999999999995E-4</v>
      </c>
      <c r="J215" s="61">
        <v>7.4799999999999997E-4</v>
      </c>
      <c r="K215" s="30" cm="1">
        <f t="array" ref="K215">IFERROR(SUMPRODUCT((Table3[Entry]),(Table3[Entry Position Size]) * (Table3[Trade ID] = B215)) / SUMIF(Table3[Trade ID], B215, Table3[Entry Position Size]), "Check Data")</f>
        <v>7.3219060051907432E-4</v>
      </c>
      <c r="L215" s="67" cm="1">
        <f t="array" ref="L215">IFERROR(SUMPRODUCT((Table3[[Exit ]]),(Table3[Exit Position Size]) * (Table3[Trade ID] = B215)) / SUMIF(Table3[Trade ID], B215, Table3[Exit Position Size]), "Check Data")</f>
        <v>7.495330496939404E-4</v>
      </c>
      <c r="M215" s="62"/>
      <c r="N215" s="67"/>
      <c r="O215" s="66"/>
    </row>
    <row r="216" spans="2:15" x14ac:dyDescent="0.25">
      <c r="B216" s="18">
        <v>36</v>
      </c>
      <c r="C216" s="18"/>
      <c r="D216" s="65"/>
      <c r="E216" s="60">
        <v>24.956</v>
      </c>
      <c r="F216" s="60">
        <v>10.023199999999999</v>
      </c>
      <c r="G216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216" s="67"/>
      <c r="I216" s="61">
        <v>7.3399999999999995E-4</v>
      </c>
      <c r="J216" s="61">
        <v>7.4799999999999997E-4</v>
      </c>
      <c r="K216" s="30" cm="1">
        <f t="array" ref="K216">IFERROR(SUMPRODUCT((Table3[Entry]),(Table3[Entry Position Size]) * (Table3[Trade ID] = B216)) / SUMIF(Table3[Trade ID], B216, Table3[Entry Position Size]), "Check Data")</f>
        <v>7.3219060051907432E-4</v>
      </c>
      <c r="L216" s="67" cm="1">
        <f t="array" ref="L216">IFERROR(SUMPRODUCT((Table3[[Exit ]]),(Table3[Exit Position Size]) * (Table3[Trade ID] = B216)) / SUMIF(Table3[Trade ID], B216, Table3[Exit Position Size]), "Check Data")</f>
        <v>7.495330496939404E-4</v>
      </c>
      <c r="M216" s="62"/>
      <c r="N216" s="67"/>
      <c r="O216" s="66"/>
    </row>
    <row r="217" spans="2:15" x14ac:dyDescent="0.25">
      <c r="B217" s="18">
        <v>36</v>
      </c>
      <c r="C217" s="18"/>
      <c r="D217" s="65"/>
      <c r="E217" s="60">
        <v>47.196199999999997</v>
      </c>
      <c r="F217" s="60">
        <v>19.971599999999999</v>
      </c>
      <c r="G217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217" s="67"/>
      <c r="I217" s="61">
        <v>7.3399999999999995E-4</v>
      </c>
      <c r="J217" s="61">
        <v>7.4799999999999997E-4</v>
      </c>
      <c r="K217" s="30" cm="1">
        <f t="array" ref="K217">IFERROR(SUMPRODUCT((Table3[Entry]),(Table3[Entry Position Size]) * (Table3[Trade ID] = B217)) / SUMIF(Table3[Trade ID], B217, Table3[Entry Position Size]), "Check Data")</f>
        <v>7.3219060051907432E-4</v>
      </c>
      <c r="L217" s="67" cm="1">
        <f t="array" ref="L217">IFERROR(SUMPRODUCT((Table3[[Exit ]]),(Table3[Exit Position Size]) * (Table3[Trade ID] = B217)) / SUMIF(Table3[Trade ID], B217, Table3[Exit Position Size]), "Check Data")</f>
        <v>7.495330496939404E-4</v>
      </c>
      <c r="M217" s="62"/>
      <c r="N217" s="67"/>
      <c r="O217" s="66"/>
    </row>
    <row r="218" spans="2:15" x14ac:dyDescent="0.25">
      <c r="B218" s="18">
        <v>36</v>
      </c>
      <c r="C218" s="18"/>
      <c r="D218" s="65"/>
      <c r="E218" s="60">
        <v>101.2186</v>
      </c>
      <c r="F218" s="60">
        <v>10.023199999999999</v>
      </c>
      <c r="G218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218" s="67"/>
      <c r="I218" s="61">
        <v>7.3399999999999995E-4</v>
      </c>
      <c r="J218" s="61">
        <v>7.4799999999999997E-4</v>
      </c>
      <c r="K218" s="30" cm="1">
        <f t="array" ref="K218">IFERROR(SUMPRODUCT((Table3[Entry]),(Table3[Entry Position Size]) * (Table3[Trade ID] = B218)) / SUMIF(Table3[Trade ID], B218, Table3[Entry Position Size]), "Check Data")</f>
        <v>7.3219060051907432E-4</v>
      </c>
      <c r="L218" s="67" cm="1">
        <f t="array" ref="L218">IFERROR(SUMPRODUCT((Table3[[Exit ]]),(Table3[Exit Position Size]) * (Table3[Trade ID] = B218)) / SUMIF(Table3[Trade ID], B218, Table3[Exit Position Size]), "Check Data")</f>
        <v>7.495330496939404E-4</v>
      </c>
      <c r="M218" s="62"/>
      <c r="N218" s="67"/>
      <c r="O218" s="66"/>
    </row>
    <row r="219" spans="2:15" x14ac:dyDescent="0.25">
      <c r="B219" s="18">
        <v>36</v>
      </c>
      <c r="C219" s="18"/>
      <c r="D219" s="65"/>
      <c r="E219" s="60">
        <v>101.3565</v>
      </c>
      <c r="F219" s="60">
        <v>3.74</v>
      </c>
      <c r="G219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219" s="67"/>
      <c r="I219" s="61">
        <v>7.3499999999999998E-4</v>
      </c>
      <c r="J219" s="61">
        <v>7.4799999999999997E-4</v>
      </c>
      <c r="K219" s="30" cm="1">
        <f t="array" ref="K219">IFERROR(SUMPRODUCT((Table3[Entry]),(Table3[Entry Position Size]) * (Table3[Trade ID] = B219)) / SUMIF(Table3[Trade ID], B219, Table3[Entry Position Size]), "Check Data")</f>
        <v>7.3219060051907432E-4</v>
      </c>
      <c r="L219" s="67" cm="1">
        <f t="array" ref="L219">IFERROR(SUMPRODUCT((Table3[[Exit ]]),(Table3[Exit Position Size]) * (Table3[Trade ID] = B219)) / SUMIF(Table3[Trade ID], B219, Table3[Exit Position Size]), "Check Data")</f>
        <v>7.495330496939404E-4</v>
      </c>
      <c r="M219" s="62"/>
      <c r="N219" s="67"/>
      <c r="O219" s="66"/>
    </row>
    <row r="220" spans="2:15" x14ac:dyDescent="0.25">
      <c r="B220" s="18">
        <v>36</v>
      </c>
      <c r="C220" s="18"/>
      <c r="D220" s="65"/>
      <c r="E220" s="60">
        <v>199.99350000000001</v>
      </c>
      <c r="F220" s="60">
        <v>50.347799999999999</v>
      </c>
      <c r="G220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220" s="67"/>
      <c r="I220" s="61">
        <v>7.3499999999999998E-4</v>
      </c>
      <c r="J220" s="61">
        <v>7.4700000000000005E-4</v>
      </c>
      <c r="K220" s="30" cm="1">
        <f t="array" ref="K220">IFERROR(SUMPRODUCT((Table3[Entry]),(Table3[Entry Position Size]) * (Table3[Trade ID] = B220)) / SUMIF(Table3[Trade ID], B220, Table3[Entry Position Size]), "Check Data")</f>
        <v>7.3219060051907432E-4</v>
      </c>
      <c r="L220" s="67" cm="1">
        <f t="array" ref="L220">IFERROR(SUMPRODUCT((Table3[[Exit ]]),(Table3[Exit Position Size]) * (Table3[Trade ID] = B220)) / SUMIF(Table3[Trade ID], B220, Table3[Exit Position Size]), "Check Data")</f>
        <v>7.495330496939404E-4</v>
      </c>
      <c r="M220" s="62"/>
      <c r="N220" s="67"/>
      <c r="O220" s="66"/>
    </row>
    <row r="221" spans="2:15" x14ac:dyDescent="0.25">
      <c r="B221" s="18">
        <v>36</v>
      </c>
      <c r="C221" s="18"/>
      <c r="D221" s="65"/>
      <c r="E221" s="60">
        <v>0.66149999999999998</v>
      </c>
      <c r="F221" s="60"/>
      <c r="G221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221" s="67"/>
      <c r="I221" s="61">
        <v>7.3499999999999998E-4</v>
      </c>
      <c r="J221" s="61"/>
      <c r="K221" s="30" cm="1">
        <f t="array" ref="K221">IFERROR(SUMPRODUCT((Table3[Entry]),(Table3[Entry Position Size]) * (Table3[Trade ID] = B221)) / SUMIF(Table3[Trade ID], B221, Table3[Entry Position Size]), "Check Data")</f>
        <v>7.3219060051907432E-4</v>
      </c>
      <c r="L221" s="67" cm="1">
        <f t="array" ref="L221">IFERROR(SUMPRODUCT((Table3[[Exit ]]),(Table3[Exit Position Size]) * (Table3[Trade ID] = B221)) / SUMIF(Table3[Trade ID], B221, Table3[Exit Position Size]), "Check Data")</f>
        <v>7.495330496939404E-4</v>
      </c>
      <c r="M221" s="62"/>
      <c r="N221" s="67"/>
      <c r="O221" s="66"/>
    </row>
    <row r="222" spans="2:15" x14ac:dyDescent="0.25">
      <c r="B222" s="18">
        <v>36</v>
      </c>
      <c r="C222" s="18"/>
      <c r="D222" s="65"/>
      <c r="E222" s="60">
        <v>9.7888000000000002</v>
      </c>
      <c r="F222" s="60"/>
      <c r="G222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222" s="67"/>
      <c r="I222" s="61">
        <v>7.36E-4</v>
      </c>
      <c r="J222" s="61"/>
      <c r="K222" s="30" cm="1">
        <f t="array" ref="K222">IFERROR(SUMPRODUCT((Table3[Entry]),(Table3[Entry Position Size]) * (Table3[Trade ID] = B222)) / SUMIF(Table3[Trade ID], B222, Table3[Entry Position Size]), "Check Data")</f>
        <v>7.3219060051907432E-4</v>
      </c>
      <c r="L222" s="67" cm="1">
        <f t="array" ref="L222">IFERROR(SUMPRODUCT((Table3[[Exit ]]),(Table3[Exit Position Size]) * (Table3[Trade ID] = B222)) / SUMIF(Table3[Trade ID], B222, Table3[Exit Position Size]), "Check Data")</f>
        <v>7.495330496939404E-4</v>
      </c>
      <c r="M222" s="62"/>
      <c r="N222" s="67"/>
      <c r="O222" s="66"/>
    </row>
    <row r="223" spans="2:15" x14ac:dyDescent="0.25">
      <c r="B223" s="18">
        <v>37</v>
      </c>
      <c r="C223" s="18" t="s">
        <v>31</v>
      </c>
      <c r="D223" s="65">
        <v>20</v>
      </c>
      <c r="E223" s="60">
        <v>62.488999999999997</v>
      </c>
      <c r="F223" s="60">
        <v>177.92699999999999</v>
      </c>
      <c r="G223" s="67">
        <f>IF(Table3[[#This Row],[Trade ID]]&lt;&gt;"", IF(COUNTIF(INDEX(Table3[Trade ID],1):Table3[[#This Row],[Trade ID]], Table3[[#This Row],[Trade ID]])=1, SUMIFS(Table3[Entry Position Size], Table3[Trade ID], Table3[[#This Row],[Trade ID]]), ""), "")</f>
        <v>3155.5828999999999</v>
      </c>
      <c r="H223" s="67">
        <f>Table3[[#This Row],[Position Size]]/Table3[[#This Row],[Leverage]]</f>
        <v>157.779145</v>
      </c>
      <c r="I223" s="61">
        <v>7.9000000000000001E-4</v>
      </c>
      <c r="J223" s="61">
        <v>7.6199999999999998E-4</v>
      </c>
      <c r="K223" s="30" cm="1">
        <f t="array" ref="K223">IFERROR(SUMPRODUCT((Table3[Entry]),(Table3[Entry Position Size]) * (Table3[Trade ID] = B223)) / SUMIF(Table3[Trade ID], B223, Table3[Entry Position Size]), "Check Data")</f>
        <v>7.8889621594159379E-4</v>
      </c>
      <c r="L223" s="67" cm="1">
        <f t="array" ref="L223">IFERROR(SUMPRODUCT((Table3[[Exit ]]),(Table3[Exit Position Size]) * (Table3[Trade ID] = B223)) / SUMIF(Table3[Trade ID], B223, Table3[Exit Position Size]), "Check Data")</f>
        <v>7.6252486299208436E-4</v>
      </c>
      <c r="M223" s="62"/>
      <c r="N223" s="67"/>
      <c r="O223" s="66"/>
    </row>
    <row r="224" spans="2:15" x14ac:dyDescent="0.25">
      <c r="B224" s="18">
        <v>37</v>
      </c>
      <c r="C224" s="18"/>
      <c r="D224" s="65"/>
      <c r="E224" s="60">
        <v>10.981</v>
      </c>
      <c r="F224" s="60">
        <v>43.814999999999998</v>
      </c>
      <c r="G224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224" s="67"/>
      <c r="I224" s="61">
        <v>7.9000000000000001E-4</v>
      </c>
      <c r="J224" s="61">
        <v>7.6199999999999998E-4</v>
      </c>
      <c r="K224" s="30" cm="1">
        <f t="array" ref="K224">IFERROR(SUMPRODUCT((Table3[Entry]),(Table3[Entry Position Size]) * (Table3[Trade ID] = B224)) / SUMIF(Table3[Trade ID], B224, Table3[Entry Position Size]), "Check Data")</f>
        <v>7.8889621594159379E-4</v>
      </c>
      <c r="L224" s="67" cm="1">
        <f t="array" ref="L224">IFERROR(SUMPRODUCT((Table3[[Exit ]]),(Table3[Exit Position Size]) * (Table3[Trade ID] = B224)) / SUMIF(Table3[Trade ID], B224, Table3[Exit Position Size]), "Check Data")</f>
        <v>7.6252486299208436E-4</v>
      </c>
      <c r="M224" s="62"/>
      <c r="N224" s="67"/>
      <c r="O224" s="66"/>
    </row>
    <row r="225" spans="2:15" x14ac:dyDescent="0.25">
      <c r="B225" s="18">
        <v>37</v>
      </c>
      <c r="C225" s="18"/>
      <c r="D225" s="65"/>
      <c r="E225" s="60">
        <v>30.652000000000001</v>
      </c>
      <c r="F225" s="60">
        <v>1027.4808</v>
      </c>
      <c r="G225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225" s="67"/>
      <c r="I225" s="61">
        <v>7.9000000000000001E-4</v>
      </c>
      <c r="J225" s="61">
        <v>7.6199999999999998E-4</v>
      </c>
      <c r="K225" s="30" cm="1">
        <f t="array" ref="K225">IFERROR(SUMPRODUCT((Table3[Entry]),(Table3[Entry Position Size]) * (Table3[Trade ID] = B225)) / SUMIF(Table3[Trade ID], B225, Table3[Entry Position Size]), "Check Data")</f>
        <v>7.8889621594159379E-4</v>
      </c>
      <c r="L225" s="67" cm="1">
        <f t="array" ref="L225">IFERROR(SUMPRODUCT((Table3[[Exit ]]),(Table3[Exit Position Size]) * (Table3[Trade ID] = B225)) / SUMIF(Table3[Trade ID], B225, Table3[Exit Position Size]), "Check Data")</f>
        <v>7.6252486299208436E-4</v>
      </c>
      <c r="M225" s="62"/>
      <c r="N225" s="67"/>
      <c r="O225" s="66"/>
    </row>
    <row r="226" spans="2:15" x14ac:dyDescent="0.25">
      <c r="B226" s="18">
        <v>37</v>
      </c>
      <c r="C226" s="18"/>
      <c r="D226" s="65"/>
      <c r="E226" s="60">
        <v>13.824999999999999</v>
      </c>
      <c r="F226" s="60">
        <v>21.716999999999999</v>
      </c>
      <c r="G226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226" s="67"/>
      <c r="I226" s="61">
        <v>7.9000000000000001E-4</v>
      </c>
      <c r="J226" s="61">
        <v>7.6199999999999998E-4</v>
      </c>
      <c r="K226" s="30" cm="1">
        <f t="array" ref="K226">IFERROR(SUMPRODUCT((Table3[Entry]),(Table3[Entry Position Size]) * (Table3[Trade ID] = B226)) / SUMIF(Table3[Trade ID], B226, Table3[Entry Position Size]), "Check Data")</f>
        <v>7.8889621594159379E-4</v>
      </c>
      <c r="L226" s="67" cm="1">
        <f t="array" ref="L226">IFERROR(SUMPRODUCT((Table3[[Exit ]]),(Table3[Exit Position Size]) * (Table3[Trade ID] = B226)) / SUMIF(Table3[Trade ID], B226, Table3[Exit Position Size]), "Check Data")</f>
        <v>7.6252486299208436E-4</v>
      </c>
      <c r="M226" s="62"/>
      <c r="N226" s="67"/>
      <c r="O226" s="66"/>
    </row>
    <row r="227" spans="2:15" x14ac:dyDescent="0.25">
      <c r="B227" s="18">
        <v>37</v>
      </c>
      <c r="C227" s="18"/>
      <c r="D227" s="65"/>
      <c r="E227" s="60">
        <v>10.981</v>
      </c>
      <c r="F227" s="60">
        <v>365.76</v>
      </c>
      <c r="G227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227" s="67"/>
      <c r="I227" s="61">
        <v>7.9000000000000001E-4</v>
      </c>
      <c r="J227" s="61">
        <v>7.6199999999999998E-4</v>
      </c>
      <c r="K227" s="30" cm="1">
        <f t="array" ref="K227">IFERROR(SUMPRODUCT((Table3[Entry]),(Table3[Entry Position Size]) * (Table3[Trade ID] = B227)) / SUMIF(Table3[Trade ID], B227, Table3[Entry Position Size]), "Check Data")</f>
        <v>7.8889621594159379E-4</v>
      </c>
      <c r="L227" s="67" cm="1">
        <f t="array" ref="L227">IFERROR(SUMPRODUCT((Table3[[Exit ]]),(Table3[Exit Position Size]) * (Table3[Trade ID] = B227)) / SUMIF(Table3[Trade ID], B227, Table3[Exit Position Size]), "Check Data")</f>
        <v>7.6252486299208436E-4</v>
      </c>
      <c r="M227" s="62"/>
      <c r="N227" s="67"/>
      <c r="O227" s="66"/>
    </row>
    <row r="228" spans="2:15" x14ac:dyDescent="0.25">
      <c r="B228" s="18">
        <v>37</v>
      </c>
      <c r="C228" s="18"/>
      <c r="D228" s="65"/>
      <c r="E228" s="60">
        <v>72.759</v>
      </c>
      <c r="F228" s="60">
        <v>4.9595000000000002</v>
      </c>
      <c r="G228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228" s="67"/>
      <c r="I228" s="61">
        <v>7.9000000000000001E-4</v>
      </c>
      <c r="J228" s="61">
        <v>7.6300000000000001E-4</v>
      </c>
      <c r="K228" s="30" cm="1">
        <f t="array" ref="K228">IFERROR(SUMPRODUCT((Table3[Entry]),(Table3[Entry Position Size]) * (Table3[Trade ID] = B228)) / SUMIF(Table3[Trade ID], B228, Table3[Entry Position Size]), "Check Data")</f>
        <v>7.8889621594159379E-4</v>
      </c>
      <c r="L228" s="67" cm="1">
        <f t="array" ref="L228">IFERROR(SUMPRODUCT((Table3[[Exit ]]),(Table3[Exit Position Size]) * (Table3[Trade ID] = B228)) / SUMIF(Table3[Trade ID], B228, Table3[Exit Position Size]), "Check Data")</f>
        <v>7.6252486299208436E-4</v>
      </c>
      <c r="M228" s="62"/>
      <c r="N228" s="67"/>
      <c r="O228" s="66"/>
    </row>
    <row r="229" spans="2:15" x14ac:dyDescent="0.25">
      <c r="B229" s="18">
        <v>37</v>
      </c>
      <c r="C229" s="18"/>
      <c r="D229" s="65"/>
      <c r="E229" s="60">
        <v>24.963999999999999</v>
      </c>
      <c r="F229" s="60">
        <v>38.8367</v>
      </c>
      <c r="G229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229" s="67"/>
      <c r="I229" s="61">
        <v>7.9000000000000001E-4</v>
      </c>
      <c r="J229" s="61">
        <v>7.6300000000000001E-4</v>
      </c>
      <c r="K229" s="30" cm="1">
        <f t="array" ref="K229">IFERROR(SUMPRODUCT((Table3[Entry]),(Table3[Entry Position Size]) * (Table3[Trade ID] = B229)) / SUMIF(Table3[Trade ID], B229, Table3[Entry Position Size]), "Check Data")</f>
        <v>7.8889621594159379E-4</v>
      </c>
      <c r="L229" s="67" cm="1">
        <f t="array" ref="L229">IFERROR(SUMPRODUCT((Table3[[Exit ]]),(Table3[Exit Position Size]) * (Table3[Trade ID] = B229)) / SUMIF(Table3[Trade ID], B229, Table3[Exit Position Size]), "Check Data")</f>
        <v>7.6252486299208436E-4</v>
      </c>
      <c r="M229" s="62"/>
      <c r="N229" s="67"/>
      <c r="O229" s="66"/>
    </row>
    <row r="230" spans="2:15" x14ac:dyDescent="0.25">
      <c r="B230" s="18">
        <v>37</v>
      </c>
      <c r="C230" s="18"/>
      <c r="D230" s="65"/>
      <c r="E230" s="60">
        <v>222.97139999999999</v>
      </c>
      <c r="F230" s="60">
        <v>471.38139999999999</v>
      </c>
      <c r="G230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230" s="67"/>
      <c r="I230" s="61">
        <v>7.8899999999999999E-4</v>
      </c>
      <c r="J230" s="61">
        <v>7.6300000000000001E-4</v>
      </c>
      <c r="K230" s="30" cm="1">
        <f t="array" ref="K230">IFERROR(SUMPRODUCT((Table3[Entry]),(Table3[Entry Position Size]) * (Table3[Trade ID] = B230)) / SUMIF(Table3[Trade ID], B230, Table3[Entry Position Size]), "Check Data")</f>
        <v>7.8889621594159379E-4</v>
      </c>
      <c r="L230" s="67" cm="1">
        <f t="array" ref="L230">IFERROR(SUMPRODUCT((Table3[[Exit ]]),(Table3[Exit Position Size]) * (Table3[Trade ID] = B230)) / SUMIF(Table3[Trade ID], B230, Table3[Exit Position Size]), "Check Data")</f>
        <v>7.6252486299208436E-4</v>
      </c>
      <c r="M230" s="62"/>
      <c r="N230" s="67"/>
      <c r="O230" s="66"/>
    </row>
    <row r="231" spans="2:15" x14ac:dyDescent="0.25">
      <c r="B231" s="18">
        <v>37</v>
      </c>
      <c r="C231" s="18"/>
      <c r="D231" s="65"/>
      <c r="E231" s="60">
        <v>289.79969999999997</v>
      </c>
      <c r="F231" s="60">
        <v>299.93529999999998</v>
      </c>
      <c r="G231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231" s="67"/>
      <c r="I231" s="61">
        <v>7.8899999999999999E-4</v>
      </c>
      <c r="J231" s="61">
        <v>7.6300000000000001E-4</v>
      </c>
      <c r="K231" s="30" cm="1">
        <f t="array" ref="K231">IFERROR(SUMPRODUCT((Table3[Entry]),(Table3[Entry Position Size]) * (Table3[Trade ID] = B231)) / SUMIF(Table3[Trade ID], B231, Table3[Entry Position Size]), "Check Data")</f>
        <v>7.8889621594159379E-4</v>
      </c>
      <c r="L231" s="67" cm="1">
        <f t="array" ref="L231">IFERROR(SUMPRODUCT((Table3[[Exit ]]),(Table3[Exit Position Size]) * (Table3[Trade ID] = B231)) / SUMIF(Table3[Trade ID], B231, Table3[Exit Position Size]), "Check Data")</f>
        <v>7.6252486299208436E-4</v>
      </c>
      <c r="M231" s="62"/>
      <c r="N231" s="67"/>
      <c r="O231" s="66"/>
    </row>
    <row r="232" spans="2:15" x14ac:dyDescent="0.25">
      <c r="B232" s="18">
        <v>37</v>
      </c>
      <c r="C232" s="18"/>
      <c r="D232" s="65"/>
      <c r="E232" s="60">
        <v>60.437399999999997</v>
      </c>
      <c r="F232" s="60">
        <v>15.0311</v>
      </c>
      <c r="G232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232" s="67"/>
      <c r="I232" s="61">
        <v>7.8899999999999999E-4</v>
      </c>
      <c r="J232" s="61">
        <v>7.6300000000000001E-4</v>
      </c>
      <c r="K232" s="30" cm="1">
        <f t="array" ref="K232">IFERROR(SUMPRODUCT((Table3[Entry]),(Table3[Entry Position Size]) * (Table3[Trade ID] = B232)) / SUMIF(Table3[Trade ID], B232, Table3[Entry Position Size]), "Check Data")</f>
        <v>7.8889621594159379E-4</v>
      </c>
      <c r="L232" s="67" cm="1">
        <f t="array" ref="L232">IFERROR(SUMPRODUCT((Table3[[Exit ]]),(Table3[Exit Position Size]) * (Table3[Trade ID] = B232)) / SUMIF(Table3[Trade ID], B232, Table3[Exit Position Size]), "Check Data")</f>
        <v>7.6252486299208436E-4</v>
      </c>
      <c r="M232" s="62"/>
      <c r="N232" s="67"/>
      <c r="O232" s="66"/>
    </row>
    <row r="233" spans="2:15" x14ac:dyDescent="0.25">
      <c r="B233" s="18">
        <v>37</v>
      </c>
      <c r="C233" s="18"/>
      <c r="D233" s="65"/>
      <c r="E233" s="60">
        <v>299.9778</v>
      </c>
      <c r="F233" s="60">
        <v>29.985900000000001</v>
      </c>
      <c r="G233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233" s="67"/>
      <c r="I233" s="61">
        <v>7.8899999999999999E-4</v>
      </c>
      <c r="J233" s="61">
        <v>7.6300000000000001E-4</v>
      </c>
      <c r="K233" s="30" cm="1">
        <f t="array" ref="K233">IFERROR(SUMPRODUCT((Table3[Entry]),(Table3[Entry Position Size]) * (Table3[Trade ID] = B233)) / SUMIF(Table3[Trade ID], B233, Table3[Entry Position Size]), "Check Data")</f>
        <v>7.8889621594159379E-4</v>
      </c>
      <c r="L233" s="67" cm="1">
        <f t="array" ref="L233">IFERROR(SUMPRODUCT((Table3[[Exit ]]),(Table3[Exit Position Size]) * (Table3[Trade ID] = B233)) / SUMIF(Table3[Trade ID], B233, Table3[Exit Position Size]), "Check Data")</f>
        <v>7.6252486299208436E-4</v>
      </c>
      <c r="M233" s="62"/>
      <c r="N233" s="67"/>
      <c r="O233" s="66"/>
    </row>
    <row r="234" spans="2:15" x14ac:dyDescent="0.25">
      <c r="B234" s="18">
        <v>37</v>
      </c>
      <c r="C234" s="18"/>
      <c r="D234" s="65"/>
      <c r="E234" s="60">
        <v>149.9889</v>
      </c>
      <c r="F234" s="60">
        <v>29.985900000000001</v>
      </c>
      <c r="G234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234" s="67"/>
      <c r="I234" s="61">
        <v>7.8899999999999999E-4</v>
      </c>
      <c r="J234" s="61">
        <v>7.6300000000000001E-4</v>
      </c>
      <c r="K234" s="30" cm="1">
        <f t="array" ref="K234">IFERROR(SUMPRODUCT((Table3[Entry]),(Table3[Entry Position Size]) * (Table3[Trade ID] = B234)) / SUMIF(Table3[Trade ID], B234, Table3[Entry Position Size]), "Check Data")</f>
        <v>7.8889621594159379E-4</v>
      </c>
      <c r="L234" s="67" cm="1">
        <f t="array" ref="L234">IFERROR(SUMPRODUCT((Table3[[Exit ]]),(Table3[Exit Position Size]) * (Table3[Trade ID] = B234)) / SUMIF(Table3[Trade ID], B234, Table3[Exit Position Size]), "Check Data")</f>
        <v>7.6252486299208436E-4</v>
      </c>
      <c r="M234" s="62"/>
      <c r="N234" s="67"/>
      <c r="O234" s="66"/>
    </row>
    <row r="235" spans="2:15" x14ac:dyDescent="0.25">
      <c r="B235" s="18">
        <v>37</v>
      </c>
      <c r="C235" s="18"/>
      <c r="D235" s="65"/>
      <c r="E235" s="60">
        <v>1470.5382</v>
      </c>
      <c r="F235" s="60">
        <v>335.79629999999997</v>
      </c>
      <c r="G235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235" s="67"/>
      <c r="I235" s="61">
        <v>7.8899999999999999E-4</v>
      </c>
      <c r="J235" s="61">
        <v>7.6300000000000001E-4</v>
      </c>
      <c r="K235" s="30" cm="1">
        <f t="array" ref="K235">IFERROR(SUMPRODUCT((Table3[Entry]),(Table3[Entry Position Size]) * (Table3[Trade ID] = B235)) / SUMIF(Table3[Trade ID], B235, Table3[Entry Position Size]), "Check Data")</f>
        <v>7.8889621594159379E-4</v>
      </c>
      <c r="L235" s="67" cm="1">
        <f t="array" ref="L235">IFERROR(SUMPRODUCT((Table3[[Exit ]]),(Table3[Exit Position Size]) * (Table3[Trade ID] = B235)) / SUMIF(Table3[Trade ID], B235, Table3[Exit Position Size]), "Check Data")</f>
        <v>7.6252486299208436E-4</v>
      </c>
      <c r="M235" s="62"/>
      <c r="N235" s="67"/>
      <c r="O235" s="66"/>
    </row>
    <row r="236" spans="2:15" x14ac:dyDescent="0.25">
      <c r="B236" s="18">
        <v>37</v>
      </c>
      <c r="C236" s="18"/>
      <c r="D236" s="65"/>
      <c r="E236" s="60">
        <v>79.981999999999999</v>
      </c>
      <c r="F236" s="60">
        <v>49.965600000000002</v>
      </c>
      <c r="G236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236" s="67"/>
      <c r="I236" s="61">
        <v>7.8799999999999996E-4</v>
      </c>
      <c r="J236" s="61">
        <v>7.6400000000000003E-4</v>
      </c>
      <c r="K236" s="30" cm="1">
        <f t="array" ref="K236">IFERROR(SUMPRODUCT((Table3[Entry]),(Table3[Entry Position Size]) * (Table3[Trade ID] = B236)) / SUMIF(Table3[Trade ID], B236, Table3[Entry Position Size]), "Check Data")</f>
        <v>7.8889621594159379E-4</v>
      </c>
      <c r="L236" s="67" cm="1">
        <f t="array" ref="L236">IFERROR(SUMPRODUCT((Table3[[Exit ]]),(Table3[Exit Position Size]) * (Table3[Trade ID] = B236)) / SUMIF(Table3[Trade ID], B236, Table3[Exit Position Size]), "Check Data")</f>
        <v>7.6252486299208436E-4</v>
      </c>
      <c r="M236" s="62"/>
      <c r="N236" s="67"/>
      <c r="O236" s="66"/>
    </row>
    <row r="237" spans="2:15" x14ac:dyDescent="0.25">
      <c r="B237" s="18">
        <v>37</v>
      </c>
      <c r="C237" s="18"/>
      <c r="D237" s="65"/>
      <c r="E237" s="60">
        <v>50.747199999999999</v>
      </c>
      <c r="F237" s="60">
        <v>14.8216</v>
      </c>
      <c r="G237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237" s="67"/>
      <c r="I237" s="61">
        <v>7.8799999999999996E-4</v>
      </c>
      <c r="J237" s="61">
        <v>7.6400000000000003E-4</v>
      </c>
      <c r="K237" s="30" cm="1">
        <f t="array" ref="K237">IFERROR(SUMPRODUCT((Table3[Entry]),(Table3[Entry Position Size]) * (Table3[Trade ID] = B237)) / SUMIF(Table3[Trade ID], B237, Table3[Entry Position Size]), "Check Data")</f>
        <v>7.8889621594159379E-4</v>
      </c>
      <c r="L237" s="67" cm="1">
        <f t="array" ref="L237">IFERROR(SUMPRODUCT((Table3[[Exit ]]),(Table3[Exit Position Size]) * (Table3[Trade ID] = B237)) / SUMIF(Table3[Trade ID], B237, Table3[Exit Position Size]), "Check Data")</f>
        <v>7.6252486299208436E-4</v>
      </c>
      <c r="M237" s="62"/>
      <c r="N237" s="67"/>
      <c r="O237" s="66"/>
    </row>
    <row r="238" spans="2:15" x14ac:dyDescent="0.25">
      <c r="B238" s="18">
        <v>37</v>
      </c>
      <c r="C238" s="18"/>
      <c r="D238" s="65"/>
      <c r="E238" s="60">
        <v>38.690800000000003</v>
      </c>
      <c r="F238" s="60">
        <v>122.69840000000001</v>
      </c>
      <c r="G238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238" s="67"/>
      <c r="I238" s="61">
        <v>7.8799999999999996E-4</v>
      </c>
      <c r="J238" s="61">
        <v>7.6400000000000003E-4</v>
      </c>
      <c r="K238" s="30" cm="1">
        <f t="array" ref="K238">IFERROR(SUMPRODUCT((Table3[Entry]),(Table3[Entry Position Size]) * (Table3[Trade ID] = B238)) / SUMIF(Table3[Trade ID], B238, Table3[Entry Position Size]), "Check Data")</f>
        <v>7.8889621594159379E-4</v>
      </c>
      <c r="L238" s="67" cm="1">
        <f t="array" ref="L238">IFERROR(SUMPRODUCT((Table3[[Exit ]]),(Table3[Exit Position Size]) * (Table3[Trade ID] = B238)) / SUMIF(Table3[Trade ID], B238, Table3[Exit Position Size]), "Check Data")</f>
        <v>7.6252486299208436E-4</v>
      </c>
      <c r="M238" s="62"/>
      <c r="N238" s="67"/>
      <c r="O238" s="66"/>
    </row>
    <row r="239" spans="2:15" x14ac:dyDescent="0.25">
      <c r="B239" s="18">
        <v>37</v>
      </c>
      <c r="C239" s="18"/>
      <c r="D239" s="65"/>
      <c r="E239" s="60">
        <v>205.4316</v>
      </c>
      <c r="F239" s="60"/>
      <c r="G239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239" s="67"/>
      <c r="I239" s="61">
        <v>7.8799999999999996E-4</v>
      </c>
      <c r="J239" s="61"/>
      <c r="K239" s="30" cm="1">
        <f t="array" ref="K239">IFERROR(SUMPRODUCT((Table3[Entry]),(Table3[Entry Position Size]) * (Table3[Trade ID] = B239)) / SUMIF(Table3[Trade ID], B239, Table3[Entry Position Size]), "Check Data")</f>
        <v>7.8889621594159379E-4</v>
      </c>
      <c r="L239" s="67" cm="1">
        <f t="array" ref="L239">IFERROR(SUMPRODUCT((Table3[[Exit ]]),(Table3[Exit Position Size]) * (Table3[Trade ID] = B239)) / SUMIF(Table3[Trade ID], B239, Table3[Exit Position Size]), "Check Data")</f>
        <v>7.6252486299208436E-4</v>
      </c>
      <c r="M239" s="62"/>
      <c r="N239" s="67"/>
      <c r="O239" s="66"/>
    </row>
    <row r="240" spans="2:15" x14ac:dyDescent="0.25">
      <c r="B240" s="18">
        <v>37</v>
      </c>
      <c r="C240" s="18"/>
      <c r="D240" s="65"/>
      <c r="E240" s="60">
        <v>40.845300000000002</v>
      </c>
      <c r="F240" s="60"/>
      <c r="G240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240" s="67"/>
      <c r="I240" s="61">
        <v>7.8700000000000005E-4</v>
      </c>
      <c r="J240" s="61"/>
      <c r="K240" s="30" cm="1">
        <f t="array" ref="K240">IFERROR(SUMPRODUCT((Table3[Entry]),(Table3[Entry Position Size]) * (Table3[Trade ID] = B240)) / SUMIF(Table3[Trade ID], B240, Table3[Entry Position Size]), "Check Data")</f>
        <v>7.8889621594159379E-4</v>
      </c>
      <c r="L240" s="67" cm="1">
        <f t="array" ref="L240">IFERROR(SUMPRODUCT((Table3[[Exit ]]),(Table3[Exit Position Size]) * (Table3[Trade ID] = B240)) / SUMIF(Table3[Trade ID], B240, Table3[Exit Position Size]), "Check Data")</f>
        <v>7.6252486299208436E-4</v>
      </c>
      <c r="M240" s="62"/>
      <c r="N240" s="67"/>
      <c r="O240" s="66"/>
    </row>
    <row r="241" spans="2:15" x14ac:dyDescent="0.25">
      <c r="B241" s="18">
        <v>37</v>
      </c>
      <c r="C241" s="18"/>
      <c r="D241" s="65"/>
      <c r="E241" s="60">
        <v>19.521599999999999</v>
      </c>
      <c r="F241" s="60"/>
      <c r="G241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241" s="67"/>
      <c r="I241" s="61">
        <v>7.8399999999999997E-4</v>
      </c>
      <c r="J241" s="61"/>
      <c r="K241" s="30" cm="1">
        <f t="array" ref="K241">IFERROR(SUMPRODUCT((Table3[Entry]),(Table3[Entry Position Size]) * (Table3[Trade ID] = B241)) / SUMIF(Table3[Trade ID], B241, Table3[Entry Position Size]), "Check Data")</f>
        <v>7.8889621594159379E-4</v>
      </c>
      <c r="L241" s="67" cm="1">
        <f t="array" ref="L241">IFERROR(SUMPRODUCT((Table3[[Exit ]]),(Table3[Exit Position Size]) * (Table3[Trade ID] = B241)) / SUMIF(Table3[Trade ID], B241, Table3[Exit Position Size]), "Check Data")</f>
        <v>7.6252486299208436E-4</v>
      </c>
      <c r="M241" s="62"/>
      <c r="N241" s="67"/>
      <c r="O241" s="66"/>
    </row>
    <row r="242" spans="2:15" x14ac:dyDescent="0.25">
      <c r="B242" s="18">
        <v>38</v>
      </c>
      <c r="C242" s="18" t="s">
        <v>31</v>
      </c>
      <c r="D242" s="65">
        <v>1</v>
      </c>
      <c r="E242" s="60">
        <v>561.46842000000004</v>
      </c>
      <c r="F242" s="60">
        <v>1189.1584</v>
      </c>
      <c r="G242" s="67">
        <f>IF(Table3[[#This Row],[Trade ID]]&lt;&gt;"", IF(COUNTIF(INDEX(Table3[Trade ID],1):Table3[[#This Row],[Trade ID]], Table3[[#This Row],[Trade ID]])=1, SUMIFS(Table3[Entry Position Size], Table3[Trade ID], Table3[[#This Row],[Trade ID]]), ""), "")</f>
        <v>1262.1688300000001</v>
      </c>
      <c r="H242" s="67">
        <f>Table3[[#This Row],[Position Size]]/Table3[[#This Row],[Leverage]]</f>
        <v>1262.1688300000001</v>
      </c>
      <c r="I242" s="61">
        <v>2.5230000000000001</v>
      </c>
      <c r="J242" s="61">
        <v>2.3883000000000001</v>
      </c>
      <c r="K242" s="30" cm="1">
        <f t="array" ref="K242">IFERROR(SUMPRODUCT((Table3[Entry]),(Table3[Entry Position Size]) * (Table3[Trade ID] = B242)) / SUMIF(Table3[Trade ID], B242, Table3[Entry Position Size]), "Check Data")</f>
        <v>2.524338558836063</v>
      </c>
      <c r="L242" s="67" cm="1">
        <f t="array" ref="L242">IFERROR(SUMPRODUCT((Table3[[Exit ]]),(Table3[Exit Position Size]) * (Table3[Trade ID] = B242)) / SUMIF(Table3[Trade ID], B242, Table3[Exit Position Size]), "Check Data")</f>
        <v>2.3882987461568042</v>
      </c>
      <c r="M242" s="62"/>
      <c r="N242" s="67"/>
      <c r="O242" s="66"/>
    </row>
    <row r="243" spans="2:15" x14ac:dyDescent="0.25">
      <c r="B243" s="18">
        <v>38</v>
      </c>
      <c r="C243" s="18"/>
      <c r="D243" s="65"/>
      <c r="E243" s="60">
        <v>97.312110000000004</v>
      </c>
      <c r="F243" s="60">
        <v>4.99092</v>
      </c>
      <c r="G243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243" s="67"/>
      <c r="I243" s="61">
        <v>2.5230000000000001</v>
      </c>
      <c r="J243" s="61">
        <v>2.3879999999999999</v>
      </c>
      <c r="K243" s="30" cm="1">
        <f t="array" ref="K243">IFERROR(SUMPRODUCT((Table3[Entry]),(Table3[Entry Position Size]) * (Table3[Trade ID] = B243)) / SUMIF(Table3[Trade ID], B243, Table3[Entry Position Size]), "Check Data")</f>
        <v>2.524338558836063</v>
      </c>
      <c r="L243" s="67" cm="1">
        <f t="array" ref="L243">IFERROR(SUMPRODUCT((Table3[[Exit ]]),(Table3[Exit Position Size]) * (Table3[Trade ID] = B243)) / SUMIF(Table3[Trade ID], B243, Table3[Exit Position Size]), "Check Data")</f>
        <v>2.3882987461568042</v>
      </c>
      <c r="M243" s="62"/>
      <c r="N243" s="67"/>
      <c r="O243" s="66"/>
    </row>
    <row r="244" spans="2:15" x14ac:dyDescent="0.25">
      <c r="B244" s="18">
        <v>38</v>
      </c>
      <c r="C244" s="18"/>
      <c r="D244" s="65"/>
      <c r="E244" s="60">
        <v>603.38829999999996</v>
      </c>
      <c r="F244" s="60"/>
      <c r="G244" s="67" t="str">
        <f>IF(Table3[[#This Row],[Trade ID]]&lt;&gt;"", IF(COUNTIF(INDEX(Table3[Trade ID],1):Table3[[#This Row],[Trade ID]], Table3[[#This Row],[Trade ID]])=1, SUMIFS(Table3[Entry Position Size], Table3[Trade ID], Table3[[#This Row],[Trade ID]]), ""), "")</f>
        <v/>
      </c>
      <c r="H244" s="67"/>
      <c r="I244" s="61">
        <v>2.5257999999999998</v>
      </c>
      <c r="J244" s="61"/>
      <c r="K244" s="30" cm="1">
        <f t="array" ref="K244">IFERROR(SUMPRODUCT((Table3[Entry]),(Table3[Entry Position Size]) * (Table3[Trade ID] = B244)) / SUMIF(Table3[Trade ID], B244, Table3[Entry Position Size]), "Check Data")</f>
        <v>2.524338558836063</v>
      </c>
      <c r="L244" s="67" cm="1">
        <f t="array" ref="L244">IFERROR(SUMPRODUCT((Table3[[Exit ]]),(Table3[Exit Position Size]) * (Table3[Trade ID] = B244)) / SUMIF(Table3[Trade ID], B244, Table3[Exit Position Size]), "Check Data")</f>
        <v>2.3882987461568042</v>
      </c>
      <c r="M244" s="62"/>
      <c r="N244" s="67"/>
      <c r="O244" s="66"/>
    </row>
    <row r="247" spans="2:15" x14ac:dyDescent="0.25">
      <c r="E247" s="59"/>
    </row>
  </sheetData>
  <mergeCells count="1">
    <mergeCell ref="D2:J3"/>
  </mergeCells>
  <phoneticPr fontId="5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Trading Journal</vt:lpstr>
      <vt:lpstr>Order Entries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Jabra Baddour</dc:creator>
  <cp:lastModifiedBy>null</cp:lastModifiedBy>
  <dcterms:created xsi:type="dcterms:W3CDTF">2025-04-13T17:46:55Z</dcterms:created>
  <dcterms:modified xsi:type="dcterms:W3CDTF">2025-08-29T14:20:49Z</dcterms:modified>
</cp:coreProperties>
</file>