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1"/>
  </bookViews>
  <sheets>
    <sheet r:id="rId1" sheetId="1" name="Front Page"/>
    <sheet r:id="rId2" sheetId="2" name="Data Base"/>
    <sheet r:id="rId3" sheetId="3" name="Factories"/>
    <sheet r:id="rId4" sheetId="4" name="War Exhaustion"/>
    <sheet r:id="rId5" sheetId="5" name="People"/>
    <sheet r:id="rId6" sheetId="6" name="Taxes"/>
    <sheet r:id="rId7" sheetId="7" name="Loans"/>
    <sheet r:id="rId8" sheetId="8" name="State Bank"/>
    <sheet r:id="rId9" sheetId="9" name="Expenses"/>
    <sheet r:id="rId10" sheetId="10" name="Trade"/>
    <sheet r:id="rId11" sheetId="11" name="Inflation"/>
    <sheet r:id="rId12" sheetId="12" name="Happines"/>
    <sheet r:id="rId13" sheetId="13" name="BETA"/>
  </sheets>
  <definedNames>
    <definedName name="_xlnm._FilterDatabase" localSheetId="1">'Data Base'!$A$1:$E$323</definedName>
  </definedNames>
  <calcPr fullCalcOnLoad="1"/>
</workbook>
</file>

<file path=xl/sharedStrings.xml><?xml version="1.0" encoding="utf-8"?>
<sst xmlns="http://schemas.openxmlformats.org/spreadsheetml/2006/main" count="883" uniqueCount="459">
  <si>
    <t>Production</t>
  </si>
  <si>
    <t>Build Cost</t>
  </si>
  <si>
    <t>Tax (No Inflation)</t>
  </si>
  <si>
    <t>Formel</t>
  </si>
  <si>
    <t>Funktions</t>
  </si>
  <si>
    <t>Adjustable</t>
  </si>
  <si>
    <t>Dynamic</t>
  </si>
  <si>
    <t>infrastructure</t>
  </si>
  <si>
    <t>Consumtion Tax</t>
  </si>
  <si>
    <t>Consumergoods * Population * Taxrate</t>
  </si>
  <si>
    <t>Erwerbstätig</t>
  </si>
  <si>
    <t>Volljärige - Rentner - Arbeitslose</t>
  </si>
  <si>
    <t>Volljährigkeitsalter</t>
  </si>
  <si>
    <t>Arbeitslosenrate</t>
  </si>
  <si>
    <t>arms_factory</t>
  </si>
  <si>
    <t>Income Tax</t>
  </si>
  <si>
    <t>Population * Erwerbstätig(H2) * 200 * Taxrate</t>
  </si>
  <si>
    <t>Rentner</t>
  </si>
  <si>
    <t>Populations * (1-(80 - Rentenalter)/80)</t>
  </si>
  <si>
    <t>Rentenalter</t>
  </si>
  <si>
    <t>Population</t>
  </si>
  <si>
    <t>industrial_complex</t>
  </si>
  <si>
    <t>Wealth Tax</t>
  </si>
  <si>
    <t>Population * Rich * 1000 * Taxrate</t>
  </si>
  <si>
    <t>Vollährige</t>
  </si>
  <si>
    <t>Populations * (1-Volljährigkeitsalter/80)</t>
  </si>
  <si>
    <t>air_base</t>
  </si>
  <si>
    <t>Trade Tax</t>
  </si>
  <si>
    <t>Civs * Revenue * Taxrate</t>
  </si>
  <si>
    <t>Arbeitslose</t>
  </si>
  <si>
    <t>Volljärige - Rentner * Arbeitslosenrate</t>
  </si>
  <si>
    <t>supply_node</t>
  </si>
  <si>
    <t>Reiche</t>
  </si>
  <si>
    <t>Population * 0,002 * (1-Income Tax Rate)</t>
  </si>
  <si>
    <t>rail_way</t>
  </si>
  <si>
    <t>Naval_base</t>
  </si>
  <si>
    <t>bunker</t>
  </si>
  <si>
    <t>coastal_bunker</t>
  </si>
  <si>
    <t>Monthly Expenses</t>
  </si>
  <si>
    <t>Loans</t>
  </si>
  <si>
    <t>Trade</t>
  </si>
  <si>
    <t>dockyard</t>
  </si>
  <si>
    <t>Healtcare</t>
  </si>
  <si>
    <t>(15 * Population + 50 * Soldiers)* Inflation</t>
  </si>
  <si>
    <t>Amount</t>
  </si>
  <si>
    <t>Export</t>
  </si>
  <si>
    <t>Resources Sold * 900 * Inflation</t>
  </si>
  <si>
    <t>anti_air_building</t>
  </si>
  <si>
    <t>Pension</t>
  </si>
  <si>
    <t>100*Rentner * Inflation</t>
  </si>
  <si>
    <t>Percentage - %</t>
  </si>
  <si>
    <t>Amount / (Income * 12)</t>
  </si>
  <si>
    <t>Import</t>
  </si>
  <si>
    <t>Resources Bought * 1100 * Inflation</t>
  </si>
  <si>
    <t>synthetic_refinery</t>
  </si>
  <si>
    <t>Building Upkeep</t>
  </si>
  <si>
    <t>Siehe Links * Inflation</t>
  </si>
  <si>
    <t>Interest - %</t>
  </si>
  <si>
    <t>(0.000149 * Percentage * 100)^(3)-(0.00893 * Percentage * 100)^(2)-0.08095 * Percentage * 100 + 10</t>
  </si>
  <si>
    <t>fuel_silo</t>
  </si>
  <si>
    <t>Saleries</t>
  </si>
  <si>
    <t>200 * (Soldiers + Erwerbstätige * 0.01) * Inflation</t>
  </si>
  <si>
    <t xml:space="preserve">One T. Repay Loan </t>
  </si>
  <si>
    <t>(Repay Amount + Repay Penalty ) * Inflation</t>
  </si>
  <si>
    <t>radar_station</t>
  </si>
  <si>
    <t>Social Welfare</t>
  </si>
  <si>
    <t>100 * Rentner * Inflation</t>
  </si>
  <si>
    <t xml:space="preserve">Repay Penalty </t>
  </si>
  <si>
    <t>((Repay Amount * Percentage) / Loan Amount) * Repay Amount</t>
  </si>
  <si>
    <t>rocket_side</t>
  </si>
  <si>
    <t>nuclear_reactor</t>
  </si>
  <si>
    <t>steel_mill</t>
  </si>
  <si>
    <t>grain_farm</t>
  </si>
  <si>
    <t>State Bank</t>
  </si>
  <si>
    <t>Inflation</t>
  </si>
  <si>
    <t>War Exhaustion</t>
  </si>
  <si>
    <t>lumber_mill</t>
  </si>
  <si>
    <t>Reduced Printing</t>
  </si>
  <si>
    <t>-10.000.000; -4% Inflation</t>
  </si>
  <si>
    <t>Inflation = 1</t>
  </si>
  <si>
    <t>Inflation * (1 + Real Inflation)</t>
  </si>
  <si>
    <t>Dauer Des Krieges</t>
  </si>
  <si>
    <t>int &gt; 0; Each Month +1</t>
  </si>
  <si>
    <t>war_time</t>
  </si>
  <si>
    <t>steel_mill_inactive</t>
  </si>
  <si>
    <t>Balanced Printing</t>
  </si>
  <si>
    <t>0; 0% Inflation</t>
  </si>
  <si>
    <t>Real Inflation Rate</t>
  </si>
  <si>
    <t>Base Inflation + Printing Inflation + Economic Inflation + One Time Inflation</t>
  </si>
  <si>
    <t>Reelle Verluste</t>
  </si>
  <si>
    <t>(death * 2)/recrutable</t>
  </si>
  <si>
    <t>death_ratio</t>
  </si>
  <si>
    <t>grain_farm_inactive</t>
  </si>
  <si>
    <t>Extensive Printing</t>
  </si>
  <si>
    <t>10.000.000; 4% Inflation</t>
  </si>
  <si>
    <t>Base Inflation</t>
  </si>
  <si>
    <t>D/K</t>
  </si>
  <si>
    <t>death/kills</t>
  </si>
  <si>
    <t>kill_ratio</t>
  </si>
  <si>
    <t>lumber_mill_inactive</t>
  </si>
  <si>
    <t>Emmergency Printing</t>
  </si>
  <si>
    <t>30.000.000; 16% Inflation</t>
  </si>
  <si>
    <t>Printing Inflation</t>
  </si>
  <si>
    <t>-4 bis 16%</t>
  </si>
  <si>
    <t>Verluste</t>
  </si>
  <si>
    <t>death_ration * kill_ratio</t>
  </si>
  <si>
    <t>death_value</t>
  </si>
  <si>
    <t>Economic Inflation</t>
  </si>
  <si>
    <t>(((Mils + Docks) * 2) / Civs ) - 2</t>
  </si>
  <si>
    <t>War Support</t>
  </si>
  <si>
    <t>Leitzins?</t>
  </si>
  <si>
    <t>One Time Inflation</t>
  </si>
  <si>
    <t>((Spendings Last Month - (0,1 * Income)) / Income ) / 3</t>
  </si>
  <si>
    <t>Propaganda?</t>
  </si>
  <si>
    <t>Ideen</t>
  </si>
  <si>
    <t>Loan Inflation</t>
  </si>
  <si>
    <t>(Income * 12 / Loans) / 10</t>
  </si>
  <si>
    <t>Exhaustion</t>
  </si>
  <si>
    <t>war_time * death_value * war_support</t>
  </si>
  <si>
    <t>war_exhaustion</t>
  </si>
  <si>
    <t>Leitzins</t>
  </si>
  <si>
    <t>Exhaustion Minus</t>
  </si>
  <si>
    <t>1 - war_exhaustion</t>
  </si>
  <si>
    <t>war_exhaustion_minus</t>
  </si>
  <si>
    <t>Propaganda</t>
  </si>
  <si>
    <t>Musn't be smaller than 0</t>
  </si>
  <si>
    <t>Angebot/Nachfrage</t>
  </si>
  <si>
    <t>Happines?</t>
  </si>
  <si>
    <t>0 - 100</t>
  </si>
  <si>
    <t>war_happines_effect * income_tax_happines_effect * consumtion_tax_happines_effect</t>
  </si>
  <si>
    <t>War</t>
  </si>
  <si>
    <t>Is War?</t>
  </si>
  <si>
    <t>if = { limit = { is_at_war = yes } set_variable = { war_happines_effect = war_exhaustion_minus }}</t>
  </si>
  <si>
    <t>War?</t>
  </si>
  <si>
    <t>else = { set_variable = { war_happines_effect = 1 } }</t>
  </si>
  <si>
    <t>Healt Care/ Life Expectancy</t>
  </si>
  <si>
    <t>Retirement Age</t>
  </si>
  <si>
    <t>income_tax_happines_effect</t>
  </si>
  <si>
    <t>1 - Income Tax</t>
  </si>
  <si>
    <t>Salleries</t>
  </si>
  <si>
    <t>consumtion_tax_happines_effect</t>
  </si>
  <si>
    <t>1 - ( 0.3 * Consumtion Tax )</t>
  </si>
  <si>
    <t>Inflation_rate_happines_effect</t>
  </si>
  <si>
    <t>((10 * Inflation_rate) * (10 * Inflation_rate))</t>
  </si>
  <si>
    <t>inflation_happines_effect</t>
  </si>
  <si>
    <t>1/Inflation</t>
  </si>
  <si>
    <t>Effects</t>
  </si>
  <si>
    <t>Natinal Unrest</t>
  </si>
  <si>
    <t>&gt;90</t>
  </si>
  <si>
    <t>National Unrest -1; 5 Ws &amp; Stabi</t>
  </si>
  <si>
    <t>Rebbelion</t>
  </si>
  <si>
    <t>&lt;90</t>
  </si>
  <si>
    <t>-</t>
  </si>
  <si>
    <t>&gt;80</t>
  </si>
  <si>
    <t>Better &amp; More Partisan Troops</t>
  </si>
  <si>
    <t>&lt;70</t>
  </si>
  <si>
    <t>-5 WS; -5 Stabi</t>
  </si>
  <si>
    <t>&gt;60</t>
  </si>
  <si>
    <t>Partisan Troops</t>
  </si>
  <si>
    <t>&lt;50</t>
  </si>
  <si>
    <t>National Unrest +2 Monthly; -5 Ws &amp; Stabi</t>
  </si>
  <si>
    <t>&gt;40</t>
  </si>
  <si>
    <t>Building Destructions</t>
  </si>
  <si>
    <t>&lt;30</t>
  </si>
  <si>
    <t>Natinal Unrest +5 Monthly; -10 Ws Stabi</t>
  </si>
  <si>
    <t>&gt;30</t>
  </si>
  <si>
    <t>Recrutable Pop -1%</t>
  </si>
  <si>
    <t>&lt;10</t>
  </si>
  <si>
    <t>National Unrest +10 Monthly; -5 Cons; -10 Ws Stabi</t>
  </si>
  <si>
    <t>Income</t>
  </si>
  <si>
    <t>Consumtion</t>
  </si>
  <si>
    <t>Inflation Rate</t>
  </si>
  <si>
    <t>Happines</t>
  </si>
  <si>
    <t>War Happines Effekt</t>
  </si>
  <si>
    <t>1,1 - War Exhaustion</t>
  </si>
  <si>
    <t>Happines Effekts</t>
  </si>
  <si>
    <t>Income Tax Rate</t>
  </si>
  <si>
    <t>Income Tax Happines Effekt</t>
  </si>
  <si>
    <t>1,1 - Income Tax Rate</t>
  </si>
  <si>
    <t>Natinal Unrest Rate</t>
  </si>
  <si>
    <t>Consumtion Tax Rate</t>
  </si>
  <si>
    <t>Consumtion Tax Happines Effekt</t>
  </si>
  <si>
    <t>1 - (0,3 *Consumtion Tax Rate)</t>
  </si>
  <si>
    <t>War Support Rate</t>
  </si>
  <si>
    <t>Inflation Rate Happines Effekt</t>
  </si>
  <si>
    <t>(1,1 - Inflation Rate) ^ 4</t>
  </si>
  <si>
    <t>Stability Rate</t>
  </si>
  <si>
    <t>Inflation Happines Effekt</t>
  </si>
  <si>
    <t>1 / Inflation</t>
  </si>
  <si>
    <t>Consumer Goods Rate</t>
  </si>
  <si>
    <t>National Unrest</t>
  </si>
  <si>
    <t>Healthcare Happines Effekt</t>
  </si>
  <si>
    <t>Healthcare Rate / 150 (ebf_economy_recommended_healtcare_rate)</t>
  </si>
  <si>
    <t>Healthcare Rate</t>
  </si>
  <si>
    <t>Soilders Healthcare Happines Effekt</t>
  </si>
  <si>
    <t>Soilders Healtcare Rate / 500</t>
  </si>
  <si>
    <t>Soilders Healtcare Rate</t>
  </si>
  <si>
    <t>Pension Happines Effekt</t>
  </si>
  <si>
    <t>Pension Rate / 1000</t>
  </si>
  <si>
    <t>Pension Rate</t>
  </si>
  <si>
    <t>Saleries Happines Effekt</t>
  </si>
  <si>
    <t>Saleries Rate / 2000</t>
  </si>
  <si>
    <t>Saleries Rate</t>
  </si>
  <si>
    <t>Social Welfare Happines Effekt</t>
  </si>
  <si>
    <t>Social Welfare Rate / 1000</t>
  </si>
  <si>
    <t>Social Welfare Rate</t>
  </si>
  <si>
    <t>Expenses Happines Effekt</t>
  </si>
  <si>
    <t>(0,3 * Healthcare Happines Effekt) + (0,4 * Soilders Healthcare Effekt) + (1,35 * Pension Happines Effekt) + (1,7 * Saleries Happines Effekt) + (1,35 * Socila Welfare Happines Effekt)</t>
  </si>
  <si>
    <t>Total Happines</t>
  </si>
  <si>
    <t>Money Printing</t>
  </si>
  <si>
    <t>Mils</t>
  </si>
  <si>
    <t>((Relative Printing Rate - 1)^3)/100</t>
  </si>
  <si>
    <t>Docks</t>
  </si>
  <si>
    <t>(((Mils + Docks) * 2) / Civs)  - 1 / 100</t>
  </si>
  <si>
    <t>Civs</t>
  </si>
  <si>
    <t>Investment Inflation</t>
  </si>
  <si>
    <t>((Investments - (0,1 * Monthly Income)) / Monthly Income) / 3</t>
  </si>
  <si>
    <t>Investments</t>
  </si>
  <si>
    <t>(Loans Amount / (Monthly Income * 12)) / 50</t>
  </si>
  <si>
    <t>Monthly Income</t>
  </si>
  <si>
    <t>Loans Amount</t>
  </si>
  <si>
    <t>Resources Sold</t>
  </si>
  <si>
    <t>Resources Sold Income</t>
  </si>
  <si>
    <t>Resources Bought</t>
  </si>
  <si>
    <t>Resources Bought Expenses</t>
  </si>
  <si>
    <t>Resources Sold Rate</t>
  </si>
  <si>
    <t>Resources Revenue</t>
  </si>
  <si>
    <t>Resources Bought Rate</t>
  </si>
  <si>
    <t>Done in Code in the expenses tab</t>
  </si>
  <si>
    <t>Healtcare Expenses</t>
  </si>
  <si>
    <t>(Healthcare Rate * Population + Soldier Healtcare Rate * Soldiers) * Inflation</t>
  </si>
  <si>
    <t>Single Monthly Cost</t>
  </si>
  <si>
    <t>Monthly Cost</t>
  </si>
  <si>
    <t>Pension Expenses</t>
  </si>
  <si>
    <t>Pension Rate * Retired * Inflation</t>
  </si>
  <si>
    <t>Retired</t>
  </si>
  <si>
    <t>Saleries Expenses</t>
  </si>
  <si>
    <t>Saleries Rate * (Soldiers + (Workforce * 0,01)) * Inflation</t>
  </si>
  <si>
    <t>Soldiers</t>
  </si>
  <si>
    <t>Social Welfare Rate * Unemployed * Inflation</t>
  </si>
  <si>
    <t>Workforce</t>
  </si>
  <si>
    <t>Buildings Expenses</t>
  </si>
  <si>
    <t>All Buildings Cost * Inflation</t>
  </si>
  <si>
    <t>Unemployed</t>
  </si>
  <si>
    <t>All Buildings</t>
  </si>
  <si>
    <t>nucl Reaccto inaktive fehlt</t>
  </si>
  <si>
    <t>Money Amount</t>
  </si>
  <si>
    <t>Money Printing Inflation</t>
  </si>
  <si>
    <t>Money Printing Amount</t>
  </si>
  <si>
    <t>(National Economy Money * (Money Relative Printing Rate - Money Decay Rate + 1)) - National Economy Money</t>
  </si>
  <si>
    <t>Money Relative Printing Rate</t>
  </si>
  <si>
    <t>Money Printing Rate / Money Decay Rate</t>
  </si>
  <si>
    <t>Rich</t>
  </si>
  <si>
    <t>National Economy Money</t>
  </si>
  <si>
    <t>(Civs * 10000000000) + ((Population - Rich) * 10000) + (Rich * 1000000)</t>
  </si>
  <si>
    <t>Money Printing Income</t>
  </si>
  <si>
    <t>Money Printing Amount - ((National Economy Money * (Money Decay Rate + 1)) - National Economy Money</t>
  </si>
  <si>
    <t>Money Decay Rate</t>
  </si>
  <si>
    <t>Money Printing Rate - even usefull?</t>
  </si>
  <si>
    <t>Money Decay Rate + Relative Money Printing Rate</t>
  </si>
  <si>
    <t>Relative Money Printing Rate</t>
  </si>
  <si>
    <t>Loans Income Ratio</t>
  </si>
  <si>
    <t>Amount/(Monthly Income * 12)</t>
  </si>
  <si>
    <t>Intrest Rate</t>
  </si>
  <si>
    <t>"-0.1*Loan Income Ratio + 10"</t>
  </si>
  <si>
    <t>1.215^(-0.1*Loans Income Ratio+10)+1</t>
  </si>
  <si>
    <t>Monthly Repay</t>
  </si>
  <si>
    <t>One Time Repay Combined</t>
  </si>
  <si>
    <t>(One Time Repay Penalty + One Time Repay Amount) * Inflation</t>
  </si>
  <si>
    <t>One Time Repay Amount</t>
  </si>
  <si>
    <t>One Time Repay Penalty</t>
  </si>
  <si>
    <t>((One Time Repay Amount * Loans Income Ratio) / Loans Amount) * One Time Repay Amount</t>
  </si>
  <si>
    <t>Consumer Goods</t>
  </si>
  <si>
    <t>Consumergoods * Population * Taxrate * Consumtion Money</t>
  </si>
  <si>
    <t>Erwerbstätig * Income * Taxrate</t>
  </si>
  <si>
    <t>Rich * Rich People Wealth * Taxrate</t>
  </si>
  <si>
    <t>Wealt Tax Rate</t>
  </si>
  <si>
    <t>Combined Tax</t>
  </si>
  <si>
    <t>Rich People</t>
  </si>
  <si>
    <t>Rich People Wealth</t>
  </si>
  <si>
    <t>Consumtion Money</t>
  </si>
  <si>
    <t>Revenue</t>
  </si>
  <si>
    <t>Trade Tax Rate</t>
  </si>
  <si>
    <t>Adults - Retired - Unemployed</t>
  </si>
  <si>
    <t>Population*(Life Expectancy - Retirement Age) / Life Expectancy</t>
  </si>
  <si>
    <t>Life Expectancy</t>
  </si>
  <si>
    <t>Underage</t>
  </si>
  <si>
    <t>Population * (Full Age/Life Expectancy)</t>
  </si>
  <si>
    <t>Full Age</t>
  </si>
  <si>
    <t>Adults</t>
  </si>
  <si>
    <t>Population - Underage</t>
  </si>
  <si>
    <t>Unemployment Rate</t>
  </si>
  <si>
    <t>(Adults - Retired) * Unemployment Rate</t>
  </si>
  <si>
    <t>Riche Base Rate</t>
  </si>
  <si>
    <t>Theoratical Rich</t>
  </si>
  <si>
    <t>Adults * Rich Base Rate * (1-Income Tax Rate)* (1-Wealth Tax Rate)</t>
  </si>
  <si>
    <t>If More Rich =&gt; People Rich = People</t>
  </si>
  <si>
    <t>Wealth Tax Rate</t>
  </si>
  <si>
    <t>Rich Rate</t>
  </si>
  <si>
    <t>War Duration</t>
  </si>
  <si>
    <t>Adjustet Casualties</t>
  </si>
  <si>
    <t>(Casualities * 2) / Recrutible Population</t>
  </si>
  <si>
    <t>Casualties</t>
  </si>
  <si>
    <t>Casualties Ratio</t>
  </si>
  <si>
    <t>Casualties / Enemy Casualties</t>
  </si>
  <si>
    <t>Fielded  Manpower</t>
  </si>
  <si>
    <t>Weighted Casualties</t>
  </si>
  <si>
    <t>Adjustet Casualties * Casualties Ratio</t>
  </si>
  <si>
    <t>Enemy Casualties</t>
  </si>
  <si>
    <t>War Duration (in Months) * Weighted Casualties * (1,1 - War Support)</t>
  </si>
  <si>
    <t>Recrutible Population</t>
  </si>
  <si>
    <t>Economic Value</t>
  </si>
  <si>
    <t>Consumption + Investment + Government Spending + Net Exports</t>
  </si>
  <si>
    <t>Consumption</t>
  </si>
  <si>
    <t>((Population - Rich - Soilders) * Income * Income Tax Rate * Consumtion Rate) + (Rich * Income * Income Tax Rate * Consumtion Rate) + (Soilders * Income * Income Tax Rate * Consumtion Rate)</t>
  </si>
  <si>
    <t>Investment</t>
  </si>
  <si>
    <t>(Factories * Revenue * (1 - Trade Tax) * (1 - Commercial Expenses Rate)) * Commercial Investment Rate</t>
  </si>
  <si>
    <t>Government Spending</t>
  </si>
  <si>
    <t>Gouvernment Expenses + Gouvernment Spendings</t>
  </si>
  <si>
    <t>Soilders</t>
  </si>
  <si>
    <t>Net Exports</t>
  </si>
  <si>
    <t>Resourcces Sold Income - Resources Bought Expenses</t>
  </si>
  <si>
    <t>People Income</t>
  </si>
  <si>
    <t>Soilders Income</t>
  </si>
  <si>
    <t>Factories</t>
  </si>
  <si>
    <t>Rich Income</t>
  </si>
  <si>
    <t>Consumtion Rate</t>
  </si>
  <si>
    <t>Investment Rate</t>
  </si>
  <si>
    <t>Expenses Rate</t>
  </si>
  <si>
    <t>C = consumption or all private consumer spending within a country’s economy, including, durable goods (items with a lifespan greater than three years), non-durable goods (food &amp; clothing), and services.</t>
  </si>
  <si>
    <t>Gouvernment Monthly Expenses</t>
  </si>
  <si>
    <t>Gouvernment Investments</t>
  </si>
  <si>
    <t>G = total government expenditures, including salaries of government employees, road construction/repair, public schools, and military expenditure.</t>
  </si>
  <si>
    <t>I = sum of a country’s investments spent on capital equipment, inventories, and housing.</t>
  </si>
  <si>
    <t>NX = net exports or a country’s total exports less total imports.</t>
  </si>
  <si>
    <t>State Initiatet Factory Construction</t>
  </si>
  <si>
    <t>Private Initiatet Civ Construction</t>
  </si>
  <si>
    <t>Rich * Base Rate * Stability * Happines * War Effekt</t>
  </si>
  <si>
    <t>Private Initiatet Mils Construction</t>
  </si>
  <si>
    <t>Private Initiatet Docks Construction</t>
  </si>
  <si>
    <t>Base Rate</t>
  </si>
  <si>
    <t>Stability</t>
  </si>
  <si>
    <t>Civ War Effekt</t>
  </si>
  <si>
    <t>At War = 0,33</t>
  </si>
  <si>
    <t>Mils/Docks War Effekt</t>
  </si>
  <si>
    <t>At War = 1</t>
  </si>
  <si>
    <t>ID</t>
  </si>
  <si>
    <t>Name</t>
  </si>
  <si>
    <t>Variable</t>
  </si>
  <si>
    <t>Value</t>
  </si>
  <si>
    <t>Input</t>
  </si>
  <si>
    <t>Note</t>
  </si>
  <si>
    <t>Tag2</t>
  </si>
  <si>
    <t>ebf_economy_population</t>
  </si>
  <si>
    <t>Set</t>
  </si>
  <si>
    <t>in M</t>
  </si>
  <si>
    <t>People</t>
  </si>
  <si>
    <t>ebf_economy_workforce</t>
  </si>
  <si>
    <t>No</t>
  </si>
  <si>
    <t>ebf_economy_retired</t>
  </si>
  <si>
    <t>ebf_economy_underage</t>
  </si>
  <si>
    <t>ebf_economy_adults</t>
  </si>
  <si>
    <t>ebf_economy_unempolyed</t>
  </si>
  <si>
    <t>ebf_economy_rich</t>
  </si>
  <si>
    <t>Has to be &lt;= Population</t>
  </si>
  <si>
    <t>ebf_economy_retirement_age</t>
  </si>
  <si>
    <t>Yes</t>
  </si>
  <si>
    <t>Has to be &lt;= Life Expectancy</t>
  </si>
  <si>
    <t>ebf_economy_life_expectancy</t>
  </si>
  <si>
    <t>ebf_economy_full_age</t>
  </si>
  <si>
    <t>ebf_economy_base_unemployment_rate</t>
  </si>
  <si>
    <t>ebf_economy_total_inflation</t>
  </si>
  <si>
    <t>manpower_k / 1000</t>
  </si>
  <si>
    <t>ebf_economy_healthcare_rate</t>
  </si>
  <si>
    <t>Expenses</t>
  </si>
  <si>
    <t>ebf_economy_soilders_healtcare_rate</t>
  </si>
  <si>
    <t>ebf_economy_pension_rate</t>
  </si>
  <si>
    <t>ebf_economy_saleries_rate</t>
  </si>
  <si>
    <t>ebf_economy_social_welfare_rate</t>
  </si>
  <si>
    <t>ebf_economy_healtcare_expenses</t>
  </si>
  <si>
    <t>ebf_economy_pension_expenses</t>
  </si>
  <si>
    <t>ebf_economy_saleries_expenses</t>
  </si>
  <si>
    <t>ebf_economy_social_welfare</t>
  </si>
  <si>
    <t>ebf_economy_monthly_expenses</t>
  </si>
  <si>
    <t>Rich Base Rate</t>
  </si>
  <si>
    <t>ebf_economy_rich_base_rate</t>
  </si>
  <si>
    <t>1 Civ auf 1Mio Menschen = 2%</t>
  </si>
  <si>
    <t>Tax</t>
  </si>
  <si>
    <t>ebf_economy_income_tax_rate</t>
  </si>
  <si>
    <t>ebf_economy_consumtion_tax_rate</t>
  </si>
  <si>
    <t>ebf_economy_wealth_tax_rate</t>
  </si>
  <si>
    <t>ebf_economy_trade_tax_rate</t>
  </si>
  <si>
    <t>Consumergoods</t>
  </si>
  <si>
    <t>ebf_economy_consumergoods</t>
  </si>
  <si>
    <t>ebf_economy_personal_income</t>
  </si>
  <si>
    <t>ebf_economy_consumtion_money</t>
  </si>
  <si>
    <t>Rich Peoples Wealth</t>
  </si>
  <si>
    <t>ebf_economy_rich_peoples_wealth</t>
  </si>
  <si>
    <t>ebf_economy_factory_revenue</t>
  </si>
  <si>
    <t>ebf_economy_consumtion_tax_amount</t>
  </si>
  <si>
    <t>ebf_economy_income_tax_amount</t>
  </si>
  <si>
    <t>ebf_economy_wealth_tax_amount</t>
  </si>
  <si>
    <t>ebf_economy_trade_tax_amount</t>
  </si>
  <si>
    <t>ebf_economy_combined_tax_amount</t>
  </si>
  <si>
    <t>Buildings</t>
  </si>
  <si>
    <t>ebf_economy_investment</t>
  </si>
  <si>
    <t>ebf_economy_monthly_income</t>
  </si>
  <si>
    <t>Money</t>
  </si>
  <si>
    <t>Monthly Loans Repayment</t>
  </si>
  <si>
    <t>ebf_economy_monthly_loans_repayment_rate</t>
  </si>
  <si>
    <t>Loans Intrest Rate</t>
  </si>
  <si>
    <t>ebf_economy_loans_intrest_rate</t>
  </si>
  <si>
    <t>ebf_economy_loans_income_ratio</t>
  </si>
  <si>
    <t>ebf_economy_loans_amount</t>
  </si>
  <si>
    <t>Loans Repay Amount</t>
  </si>
  <si>
    <t>ebf_economy_loans_repay_amount</t>
  </si>
  <si>
    <t>Monthly Profit</t>
  </si>
  <si>
    <t>ebf_economy_monthly_profit</t>
  </si>
  <si>
    <t>Monthly Spendings</t>
  </si>
  <si>
    <t>ebf_economy_monthly_spendings</t>
  </si>
  <si>
    <t>ebf_economy_money</t>
  </si>
  <si>
    <t>ebf_economy_money_printing_inflation</t>
  </si>
  <si>
    <t>ebf_economy_money_printing_amount</t>
  </si>
  <si>
    <t>ebf_economy_national_economy_money</t>
  </si>
  <si>
    <t>ebf_economy_money_printing_income</t>
  </si>
  <si>
    <t>ebf_economy_money_decay_rate</t>
  </si>
  <si>
    <t>Money Printing Rate</t>
  </si>
  <si>
    <t>ebf_economy_money_printing_rate</t>
  </si>
  <si>
    <t>ebf_economy_relative_money_printing_rate</t>
  </si>
  <si>
    <t>ebf_economy_inflation_rate</t>
  </si>
  <si>
    <t>ebf_economy_resources_sold_rate</t>
  </si>
  <si>
    <t>ebf_economy_resources_bought_rate</t>
  </si>
  <si>
    <t>ebf_economy_resources_sold_income</t>
  </si>
  <si>
    <t>ebf_economy_resources_bought_expenses</t>
  </si>
  <si>
    <t>ebf_economy_resources_revenue</t>
  </si>
  <si>
    <t>ebf_economy_war_duration</t>
  </si>
  <si>
    <t>ebf_economy_recrutible_population</t>
  </si>
  <si>
    <t>ebf_economy_war_support</t>
  </si>
  <si>
    <t>ebf_economy_war_exhaustion</t>
  </si>
  <si>
    <t>ebf_economy_natinal_unrest</t>
  </si>
  <si>
    <t>ebf_economy_war_happines_effekt</t>
  </si>
  <si>
    <t>ebf_economy_income_tax_happines_effekt</t>
  </si>
  <si>
    <t>ebf_economy_consumtion_tax_happines_effekt</t>
  </si>
  <si>
    <t>ebf_economy_inflation_rate_happines_effekt</t>
  </si>
  <si>
    <t>ebf_economy_inflation_happines_effekt</t>
  </si>
  <si>
    <t>ebf_economy_total_happines</t>
  </si>
  <si>
    <t>ebf_economy_natinal_unrest_rate</t>
  </si>
  <si>
    <t>ebf_economy_war_support_rate</t>
  </si>
  <si>
    <t>ebf_economy_stability_rate</t>
  </si>
  <si>
    <t>ebf_economy_consumer_goods_rate</t>
  </si>
  <si>
    <t>ebf_economy_expenses_happines_effekt</t>
  </si>
  <si>
    <t>ebf_economy_rich_income</t>
  </si>
  <si>
    <t>ebf_economy_investment_rate</t>
  </si>
  <si>
    <t>Economy</t>
  </si>
  <si>
    <t>ebf_economy_expenses_rate</t>
  </si>
  <si>
    <t>ebf_economy_gouvernment_investments</t>
  </si>
  <si>
    <t>Just for Testing Purposes: Profit * 0,1</t>
  </si>
  <si>
    <t>ebf_economy_stability</t>
  </si>
  <si>
    <t>EBF has to set flag ebf_is_active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</si>
</sst>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#,##0%"/>
    <numFmt numFmtId="165" formatCode="#,##0.0000000"/>
    <numFmt numFmtId="166" formatCode="#,##0.000000"/>
    <numFmt numFmtId="167" formatCode="#,##0.000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rgb="FF000000"/>
      <name val="Arial"/>
      <family val="2"/>
    </font>
    <font>
      <b/>
      <sz val="22"/>
      <color rgb="FF000000"/>
      <name val="Calibri"/>
      <family val="2"/>
    </font>
    <font>
      <sz val="11"/>
      <color rgb="FFce9178"/>
      <name val="Consolas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ae3f3"/>
      </patternFill>
    </fill>
    <fill>
      <patternFill patternType="solid">
        <fgColor rgb="FF92d050"/>
      </patternFill>
    </fill>
    <fill>
      <patternFill patternType="solid">
        <fgColor rgb="FFe2f0d9"/>
      </patternFill>
    </fill>
    <fill>
      <patternFill patternType="solid">
        <fgColor rgb="FFc5e0b4"/>
      </patternFill>
    </fill>
    <fill>
      <patternFill patternType="solid">
        <fgColor rgb="FFa9d18e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 style="thin">
        <color rgb="FFc6c6c6"/>
      </left>
      <right style="thin">
        <color rgb="FFc6c6c6"/>
      </right>
      <top style="thin">
        <color rgb="FF8faadc"/>
      </top>
      <bottom style="thin">
        <color rgb="FF8faadc"/>
      </bottom>
      <diagonal/>
    </border>
    <border>
      <left/>
      <right style="thin">
        <color rgb="FF8faadc"/>
      </right>
      <top style="thin">
        <color rgb="FF8faadc"/>
      </top>
      <bottom style="thin">
        <color rgb="FF8faadc"/>
      </bottom>
      <diagonal/>
    </border>
  </borders>
  <cellStyleXfs count="1">
    <xf numFmtId="0" fontId="0" fillId="0" borderId="0"/>
  </cellStyleXfs>
  <cellXfs count="6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4" applyNumberFormat="1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164" applyNumberFormat="1" borderId="2" applyBorder="1" fontId="2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4" applyNumberFormat="1" borderId="2" applyBorder="1" fontId="2" applyFont="1" fillId="2" applyFill="1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2" applyBorder="1" fontId="3" applyFont="1" fillId="2" applyFill="1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3" applyNumberFormat="1" borderId="2" applyBorder="1" fontId="2" applyFont="1" fillId="2" applyFill="1" applyAlignment="1">
      <alignment horizontal="right"/>
    </xf>
    <xf xfId="0" numFmtId="4" applyNumberFormat="1" borderId="2" applyBorder="1" fontId="5" applyFont="1" fillId="2" applyFill="1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165" applyNumberFormat="1" borderId="0" fontId="0" fillId="0" applyAlignment="1">
      <alignment horizontal="general"/>
    </xf>
    <xf xfId="0" numFmtId="166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165" applyNumberFormat="1" borderId="0" fontId="0" fillId="0" applyAlignment="1">
      <alignment horizontal="general"/>
    </xf>
    <xf xfId="0" numFmtId="0" borderId="3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67" applyNumberFormat="1" borderId="0" fontId="0" fillId="0" applyAlignment="1">
      <alignment horizontal="general"/>
    </xf>
    <xf xfId="0" numFmtId="167" applyNumberFormat="1" borderId="1" applyBorder="1" fontId="2" applyFont="1" fillId="0" applyAlignment="1">
      <alignment horizontal="right"/>
    </xf>
    <xf xfId="0" numFmtId="1" applyNumberFormat="1" borderId="2" applyBorder="1" fontId="2" applyFont="1" fillId="2" applyFill="1" applyAlignment="1">
      <alignment horizontal="right"/>
    </xf>
    <xf xfId="0" numFmtId="1" applyNumberFormat="1" borderId="0" fontId="0" fillId="0" applyAlignment="1">
      <alignment horizontal="general"/>
    </xf>
    <xf xfId="0" numFmtId="167" applyNumberFormat="1" borderId="0" fontId="0" fillId="0" applyAlignment="1">
      <alignment horizontal="general"/>
    </xf>
    <xf xfId="0" numFmtId="0" borderId="4" applyBorder="1" fontId="2" applyFont="1" fillId="3" applyFill="1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5" applyBorder="1" fontId="2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2" applyBorder="1" fontId="2" applyFont="1" fillId="4" applyFill="1" applyAlignment="1">
      <alignment horizontal="left"/>
    </xf>
    <xf xfId="0" numFmtId="166" applyNumberFormat="1" borderId="2" applyBorder="1" fontId="2" applyFont="1" fillId="4" applyFill="1" applyAlignment="1">
      <alignment horizontal="right"/>
    </xf>
    <xf xfId="0" numFmtId="166" applyNumberFormat="1" borderId="0" fontId="0" fillId="0" applyAlignment="1">
      <alignment horizontal="general"/>
    </xf>
    <xf xfId="0" numFmtId="0" borderId="2" applyBorder="1" fontId="2" applyFont="1" fillId="5" applyFill="1" applyAlignment="1">
      <alignment horizontal="center"/>
    </xf>
    <xf xfId="0" numFmtId="3" applyNumberFormat="1" borderId="2" applyBorder="1" fontId="2" applyFont="1" fillId="5" applyFill="1" applyAlignment="1">
      <alignment horizontal="center"/>
    </xf>
    <xf xfId="0" numFmtId="166" applyNumberFormat="1" borderId="2" applyBorder="1" fontId="2" applyFont="1" fillId="5" applyFill="1" applyAlignment="1">
      <alignment horizontal="center"/>
    </xf>
    <xf xfId="0" numFmtId="0" borderId="2" applyBorder="1" fontId="2" applyFont="1" fillId="6" applyFill="1" applyAlignment="1">
      <alignment horizontal="left"/>
    </xf>
    <xf xfId="0" numFmtId="4" applyNumberFormat="1" borderId="2" applyBorder="1" fontId="2" applyFont="1" fillId="6" applyFill="1" applyAlignment="1">
      <alignment horizontal="right"/>
    </xf>
    <xf xfId="0" numFmtId="0" borderId="2" applyBorder="1" fontId="2" applyFont="1" fillId="7" applyFill="1" applyAlignment="1">
      <alignment horizontal="left"/>
    </xf>
    <xf xfId="0" numFmtId="166" applyNumberFormat="1" borderId="2" applyBorder="1" fontId="2" applyFont="1" fillId="7" applyFill="1" applyAlignment="1">
      <alignment horizontal="right"/>
    </xf>
    <xf xfId="0" numFmtId="3" applyNumberFormat="1" borderId="2" applyBorder="1" fontId="2" applyFont="1" fillId="6" applyFill="1" applyAlignment="1">
      <alignment horizontal="right"/>
    </xf>
    <xf xfId="0" numFmtId="3" applyNumberFormat="1" borderId="2" applyBorder="1" fontId="2" applyFont="1" fillId="6" applyFill="1" applyAlignment="1">
      <alignment horizontal="left"/>
    </xf>
    <xf xfId="0" numFmtId="166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4"/><Relationship Target="styles.xml" Type="http://schemas.openxmlformats.org/officeDocument/2006/relationships/styles" Id="rId15"/><Relationship Target="theme/theme1.xml" Type="http://schemas.openxmlformats.org/officeDocument/2006/relationships/theme" Id="rId16"/></Relationships>
</file>

<file path=xl/tables/table1.xml><?xml version="1.0" encoding="utf-8"?>
<table xmlns="http://schemas.openxmlformats.org/spreadsheetml/2006/main" ref="A1:G323" displayName="Tabelle1" name="Tabelle1" id="1" totalsRowShown="0">
  <autoFilter ref="A1:G323"/>
  <tableColumns count="7">
    <tableColumn name="ID" id="1"/>
    <tableColumn name="Name" id="2"/>
    <tableColumn name="Variable" id="3"/>
    <tableColumn name="Value" id="4"/>
    <tableColumn name="Input" id="5"/>
    <tableColumn name="Note" id="6"/>
    <tableColumn name="Tag2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4"/>
  <sheetViews>
    <sheetView workbookViewId="0"/>
  </sheetViews>
  <sheetFormatPr defaultRowHeight="15" x14ac:dyDescent="0.25"/>
  <cols>
    <col min="1" max="1" style="25" width="11.576428571428572" customWidth="1" bestFit="1"/>
    <col min="2" max="2" style="25" width="23.14785714285714" customWidth="1" bestFit="1"/>
    <col min="3" max="3" style="26" width="11.576428571428572" customWidth="1" bestFit="1"/>
    <col min="4" max="4" style="25" width="23.14785714285714" customWidth="1" bestFit="1"/>
    <col min="5" max="5" style="65" width="11.576428571428572" customWidth="1" bestFit="1"/>
    <col min="6" max="6" style="25" width="11.576428571428572" customWidth="1" bestFit="1"/>
    <col min="7" max="7" style="25" width="23.14785714285714" customWidth="1" bestFit="1"/>
    <col min="8" max="8" style="26" width="11.576428571428572" customWidth="1" bestFit="1"/>
    <col min="9" max="9" style="25" width="23.14785714285714" customWidth="1" bestFit="1"/>
    <col min="10" max="10" style="65" width="13.576428571428572" customWidth="1" bestFit="1"/>
  </cols>
  <sheetData>
    <row x14ac:dyDescent="0.25" r="1" customHeight="1" ht="18.75">
      <c r="A1" s="1"/>
      <c r="B1" s="1"/>
      <c r="C1" s="16"/>
      <c r="D1" s="1"/>
      <c r="E1" s="55"/>
      <c r="F1" s="1"/>
      <c r="G1" s="1"/>
      <c r="H1" s="16"/>
      <c r="I1" s="1"/>
      <c r="J1" s="55"/>
    </row>
    <row x14ac:dyDescent="0.25" r="2" customHeight="1" ht="18.75">
      <c r="A2" s="1"/>
      <c r="B2" s="56" t="s">
        <v>387</v>
      </c>
      <c r="C2" s="57"/>
      <c r="D2" s="56"/>
      <c r="E2" s="58"/>
      <c r="F2" s="1"/>
      <c r="G2" s="56" t="s">
        <v>374</v>
      </c>
      <c r="H2" s="57"/>
      <c r="I2" s="56"/>
      <c r="J2" s="58"/>
    </row>
    <row x14ac:dyDescent="0.25" r="3" customHeight="1" ht="18.75">
      <c r="A3" s="1"/>
      <c r="B3" s="59" t="s">
        <v>176</v>
      </c>
      <c r="C3" s="60">
        <v>0.4</v>
      </c>
      <c r="D3" s="61" t="s">
        <v>8</v>
      </c>
      <c r="E3" s="62">
        <f>'Data Base'!D35</f>
      </c>
      <c r="F3" s="1"/>
      <c r="G3" s="59" t="s">
        <v>193</v>
      </c>
      <c r="H3" s="63">
        <v>15</v>
      </c>
      <c r="I3" s="61" t="s">
        <v>229</v>
      </c>
      <c r="J3" s="62">
        <f>'Data Base'!D20</f>
      </c>
    </row>
    <row x14ac:dyDescent="0.25" r="4" customHeight="1" ht="18.75">
      <c r="A4" s="1"/>
      <c r="B4" s="59" t="s">
        <v>180</v>
      </c>
      <c r="C4" s="60">
        <v>0.18</v>
      </c>
      <c r="D4" s="61" t="s">
        <v>15</v>
      </c>
      <c r="E4" s="62">
        <f>'Data Base'!D36</f>
      </c>
      <c r="F4" s="1"/>
      <c r="G4" s="59" t="s">
        <v>196</v>
      </c>
      <c r="H4" s="63">
        <v>50</v>
      </c>
      <c r="I4" s="61" t="s">
        <v>233</v>
      </c>
      <c r="J4" s="62">
        <f>'Data Base'!D21</f>
      </c>
    </row>
    <row x14ac:dyDescent="0.25" r="5" customHeight="1" ht="18.75">
      <c r="A5" s="1"/>
      <c r="B5" s="59" t="s">
        <v>276</v>
      </c>
      <c r="C5" s="60">
        <v>0.3</v>
      </c>
      <c r="D5" s="61" t="s">
        <v>22</v>
      </c>
      <c r="E5" s="62">
        <f>'Data Base'!D37</f>
      </c>
      <c r="F5" s="1"/>
      <c r="G5" s="59" t="s">
        <v>199</v>
      </c>
      <c r="H5" s="63">
        <v>100</v>
      </c>
      <c r="I5" s="61" t="s">
        <v>236</v>
      </c>
      <c r="J5" s="62">
        <f>'Data Base'!D22</f>
      </c>
    </row>
    <row x14ac:dyDescent="0.25" r="6" customHeight="1" ht="18.75">
      <c r="A6" s="1"/>
      <c r="B6" s="59" t="s">
        <v>282</v>
      </c>
      <c r="C6" s="60">
        <v>0.05</v>
      </c>
      <c r="D6" s="61" t="s">
        <v>27</v>
      </c>
      <c r="E6" s="62">
        <f>'Data Base'!D38</f>
      </c>
      <c r="F6" s="1"/>
      <c r="G6" s="59" t="s">
        <v>202</v>
      </c>
      <c r="H6" s="63">
        <v>200</v>
      </c>
      <c r="I6" s="61" t="s">
        <v>65</v>
      </c>
      <c r="J6" s="62">
        <f>'Data Base'!D23</f>
      </c>
    </row>
    <row x14ac:dyDescent="0.25" r="7" customHeight="1" ht="18.75">
      <c r="A7" s="1"/>
      <c r="B7" s="59"/>
      <c r="C7" s="64"/>
      <c r="D7" s="61" t="s">
        <v>277</v>
      </c>
      <c r="E7" s="62">
        <f>'Data Base'!D39</f>
      </c>
      <c r="F7" s="1"/>
      <c r="G7" s="59" t="s">
        <v>205</v>
      </c>
      <c r="H7" s="63">
        <v>100</v>
      </c>
      <c r="I7" s="61" t="s">
        <v>38</v>
      </c>
      <c r="J7" s="62">
        <f>'Data Base'!D24</f>
      </c>
    </row>
    <row x14ac:dyDescent="0.25" r="8" customHeight="1" ht="18.75">
      <c r="A8" s="1"/>
      <c r="B8" s="1"/>
      <c r="C8" s="16"/>
      <c r="D8" s="1"/>
      <c r="E8" s="55"/>
      <c r="F8" s="1"/>
      <c r="G8" s="1"/>
      <c r="H8" s="16"/>
      <c r="I8" s="1"/>
      <c r="J8" s="55"/>
    </row>
    <row x14ac:dyDescent="0.25" r="9" customHeight="1" ht="18.75">
      <c r="A9" s="1"/>
      <c r="B9" s="56" t="s">
        <v>356</v>
      </c>
      <c r="C9" s="57"/>
      <c r="D9" s="56"/>
      <c r="E9" s="58"/>
      <c r="F9" s="1"/>
      <c r="G9" s="1"/>
      <c r="H9" s="16"/>
      <c r="I9" s="1"/>
      <c r="J9" s="55"/>
    </row>
    <row x14ac:dyDescent="0.25" r="10" customHeight="1" ht="18.75">
      <c r="A10" s="1"/>
      <c r="B10" s="59" t="s">
        <v>20</v>
      </c>
      <c r="C10" s="63">
        <v>83000000</v>
      </c>
      <c r="D10" s="61" t="s">
        <v>240</v>
      </c>
      <c r="E10" s="62">
        <f>'Data Base'!D3</f>
      </c>
      <c r="F10" s="1"/>
      <c r="G10" s="1"/>
      <c r="H10" s="16"/>
      <c r="I10" s="1"/>
      <c r="J10" s="55"/>
    </row>
    <row x14ac:dyDescent="0.25" r="11" customHeight="1" ht="18.75">
      <c r="A11" s="1"/>
      <c r="B11" s="59" t="s">
        <v>136</v>
      </c>
      <c r="C11" s="64"/>
      <c r="D11" s="61" t="s">
        <v>235</v>
      </c>
      <c r="E11" s="62">
        <f>'Data Base'!D4</f>
      </c>
      <c r="F11" s="1"/>
      <c r="G11" s="1"/>
      <c r="H11" s="16"/>
      <c r="I11" s="1"/>
      <c r="J11" s="55"/>
    </row>
    <row x14ac:dyDescent="0.25" r="12" customHeight="1" ht="18.75">
      <c r="A12" s="1"/>
      <c r="B12" s="59" t="s">
        <v>288</v>
      </c>
      <c r="C12" s="64"/>
      <c r="D12" s="61" t="s">
        <v>286</v>
      </c>
      <c r="E12" s="62">
        <f>'Data Base'!D5</f>
      </c>
      <c r="F12" s="1"/>
      <c r="G12" s="1"/>
      <c r="H12" s="16"/>
      <c r="I12" s="1"/>
      <c r="J12" s="55"/>
    </row>
    <row x14ac:dyDescent="0.25" r="13" customHeight="1" ht="18.75">
      <c r="A13" s="1"/>
      <c r="B13" s="59"/>
      <c r="C13" s="64"/>
      <c r="D13" s="61" t="s">
        <v>289</v>
      </c>
      <c r="E13" s="62">
        <f>'Data Base'!D6</f>
      </c>
      <c r="F13" s="1"/>
      <c r="G13" s="1"/>
      <c r="H13" s="16"/>
      <c r="I13" s="1"/>
      <c r="J13" s="55"/>
    </row>
    <row x14ac:dyDescent="0.25" r="14" customHeight="1" ht="18.75">
      <c r="A14" s="1"/>
      <c r="B14" s="59"/>
      <c r="C14" s="64"/>
      <c r="D14" s="61" t="s">
        <v>243</v>
      </c>
      <c r="E14" s="62">
        <f>'Data Base'!D7</f>
      </c>
      <c r="F14" s="1"/>
      <c r="G14" s="1"/>
      <c r="H14" s="16"/>
      <c r="I14" s="1"/>
      <c r="J14" s="55"/>
    </row>
    <row x14ac:dyDescent="0.25" r="15" customHeight="1" ht="18.75">
      <c r="A15" s="1"/>
      <c r="B15" s="1"/>
      <c r="C15" s="16"/>
      <c r="D15" s="61" t="s">
        <v>252</v>
      </c>
      <c r="E15" s="62">
        <f>'Data Base'!D8</f>
      </c>
      <c r="F15" s="1"/>
      <c r="G15" s="1"/>
      <c r="H15" s="16"/>
      <c r="I15" s="1"/>
      <c r="J15" s="55"/>
    </row>
    <row x14ac:dyDescent="0.25" r="16" customHeight="1" ht="18.75">
      <c r="A16" s="1"/>
      <c r="B16" s="1"/>
      <c r="C16" s="16"/>
      <c r="D16" s="1"/>
      <c r="E16" s="55"/>
      <c r="F16" s="1"/>
      <c r="G16" s="1"/>
      <c r="H16" s="16"/>
      <c r="I16" s="1"/>
      <c r="J16" s="55"/>
    </row>
    <row x14ac:dyDescent="0.25" r="17" customHeight="1" ht="18.75">
      <c r="A17" s="1"/>
      <c r="B17" s="1"/>
      <c r="C17" s="16"/>
      <c r="D17" s="1"/>
      <c r="E17" s="55"/>
      <c r="F17" s="1"/>
      <c r="G17" s="1"/>
      <c r="H17" s="16"/>
      <c r="I17" s="1"/>
      <c r="J17" s="55"/>
    </row>
    <row x14ac:dyDescent="0.25" r="18" customHeight="1" ht="18.75">
      <c r="A18" s="1"/>
      <c r="B18" s="1"/>
      <c r="C18" s="16"/>
      <c r="D18" s="1"/>
      <c r="E18" s="55"/>
      <c r="F18" s="1"/>
      <c r="G18" s="1"/>
      <c r="H18" s="16"/>
      <c r="I18" s="1"/>
      <c r="J18" s="55"/>
    </row>
    <row x14ac:dyDescent="0.25" r="19" customHeight="1" ht="18.75">
      <c r="A19" s="1"/>
      <c r="B19" s="1"/>
      <c r="C19" s="16"/>
      <c r="D19" s="1"/>
      <c r="E19" s="55"/>
      <c r="F19" s="1"/>
      <c r="G19" s="1"/>
      <c r="H19" s="16"/>
      <c r="I19" s="1"/>
      <c r="J19" s="55"/>
    </row>
    <row x14ac:dyDescent="0.25" r="20" customHeight="1" ht="18.75">
      <c r="A20" s="1"/>
      <c r="B20" s="1"/>
      <c r="C20" s="16"/>
      <c r="D20" s="1"/>
      <c r="E20" s="55"/>
      <c r="F20" s="1"/>
      <c r="G20" s="1"/>
      <c r="H20" s="16"/>
      <c r="I20" s="1"/>
      <c r="J20" s="55"/>
    </row>
    <row x14ac:dyDescent="0.25" r="21" customHeight="1" ht="18.75">
      <c r="A21" s="1"/>
      <c r="B21" s="1"/>
      <c r="C21" s="16"/>
      <c r="D21" s="1"/>
      <c r="E21" s="55"/>
      <c r="F21" s="1"/>
      <c r="G21" s="1"/>
      <c r="H21" s="16"/>
      <c r="I21" s="1"/>
      <c r="J21" s="55"/>
    </row>
    <row x14ac:dyDescent="0.25" r="22" customHeight="1" ht="18.75">
      <c r="A22" s="1"/>
      <c r="B22" s="1"/>
      <c r="C22" s="16"/>
      <c r="D22" s="1"/>
      <c r="E22" s="55"/>
      <c r="F22" s="1"/>
      <c r="G22" s="1"/>
      <c r="H22" s="16"/>
      <c r="I22" s="1"/>
      <c r="J22" s="55"/>
    </row>
    <row x14ac:dyDescent="0.25" r="23" customHeight="1" ht="18.75">
      <c r="A23" s="1"/>
      <c r="B23" s="1"/>
      <c r="C23" s="16"/>
      <c r="D23" s="1"/>
      <c r="E23" s="55"/>
      <c r="F23" s="1"/>
      <c r="G23" s="1"/>
      <c r="H23" s="16"/>
      <c r="I23" s="1"/>
      <c r="J23" s="55"/>
    </row>
    <row x14ac:dyDescent="0.25" r="24" customHeight="1" ht="18.75">
      <c r="A24" s="1"/>
      <c r="B24" s="1" t="s">
        <v>458</v>
      </c>
      <c r="C24" s="16"/>
      <c r="D24" s="1"/>
      <c r="E24" s="55"/>
      <c r="F24" s="1"/>
      <c r="G24" s="1"/>
      <c r="H24" s="16"/>
      <c r="I24" s="1"/>
      <c r="J24" s="55"/>
    </row>
  </sheetData>
  <mergeCells count="3">
    <mergeCell ref="B2:E2"/>
    <mergeCell ref="G2:J2"/>
    <mergeCell ref="B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23"/>
  <sheetViews>
    <sheetView workbookViewId="0"/>
  </sheetViews>
  <sheetFormatPr defaultRowHeight="15" x14ac:dyDescent="0.25"/>
  <cols>
    <col min="1" max="1" style="48" width="5.719285714285714" customWidth="1" bestFit="1"/>
    <col min="2" max="2" style="25" width="34.29071428571429" customWidth="1" bestFit="1"/>
    <col min="3" max="3" style="25" width="45.71928571428572" customWidth="1" bestFit="1"/>
    <col min="4" max="4" style="28" width="17.290714285714284" customWidth="1" bestFit="1"/>
    <col min="5" max="5" style="25" width="5.719285714285714" customWidth="1" bestFit="1"/>
    <col min="6" max="6" style="25" width="34.71928571428572" customWidth="1" bestFit="1"/>
    <col min="7" max="7" style="25" width="13.576428571428572" customWidth="1" bestFit="1"/>
    <col min="8" max="8" style="25" width="13.576428571428572" customWidth="1" bestFit="1"/>
    <col min="9" max="9" style="25" width="13.576428571428572" customWidth="1" bestFit="1"/>
    <col min="10" max="10" style="25" width="13.576428571428572" customWidth="1" bestFit="1"/>
    <col min="11" max="11" style="25" width="13.576428571428572" customWidth="1" bestFit="1"/>
    <col min="12" max="12" style="25" width="13.576428571428572" customWidth="1" bestFit="1"/>
    <col min="13" max="13" style="25" width="18.576428571428572" customWidth="1" bestFit="1"/>
    <col min="14" max="14" style="25" width="13.576428571428572" customWidth="1" bestFit="1"/>
  </cols>
  <sheetData>
    <row x14ac:dyDescent="0.25" r="1" customHeight="1" ht="18.75">
      <c r="A1" s="47" t="s">
        <v>346</v>
      </c>
      <c r="B1" s="1" t="s">
        <v>347</v>
      </c>
      <c r="C1" s="1" t="s">
        <v>348</v>
      </c>
      <c r="D1" s="7" t="s">
        <v>349</v>
      </c>
      <c r="E1" s="1" t="s">
        <v>350</v>
      </c>
      <c r="F1" s="1" t="s">
        <v>351</v>
      </c>
      <c r="G1" s="1" t="s">
        <v>352</v>
      </c>
      <c r="H1" s="1"/>
      <c r="I1" s="1"/>
      <c r="J1" s="1"/>
      <c r="K1" s="1"/>
      <c r="L1" s="1"/>
      <c r="M1" s="1"/>
      <c r="N1" s="1"/>
    </row>
    <row x14ac:dyDescent="0.25" r="2" customHeight="1" ht="18.75">
      <c r="A2" s="8">
        <v>1</v>
      </c>
      <c r="B2" s="1" t="s">
        <v>20</v>
      </c>
      <c r="C2" s="1" t="s">
        <v>353</v>
      </c>
      <c r="D2" s="8">
        <v>83</v>
      </c>
      <c r="E2" s="1" t="s">
        <v>354</v>
      </c>
      <c r="F2" s="1" t="s">
        <v>355</v>
      </c>
      <c r="G2" s="1" t="s">
        <v>356</v>
      </c>
      <c r="H2" s="1"/>
      <c r="I2" s="1"/>
      <c r="J2" s="1"/>
      <c r="K2" s="1"/>
      <c r="L2" s="1"/>
      <c r="M2" s="1"/>
      <c r="N2" s="1"/>
    </row>
    <row x14ac:dyDescent="0.25" r="3" customHeight="1" ht="18.75">
      <c r="A3" s="8">
        <v>2</v>
      </c>
      <c r="B3" s="1" t="s">
        <v>240</v>
      </c>
      <c r="C3" s="1" t="s">
        <v>357</v>
      </c>
      <c r="D3" s="24">
        <f>People!E1</f>
      </c>
      <c r="E3" s="1" t="s">
        <v>358</v>
      </c>
      <c r="F3" s="1"/>
      <c r="G3" s="1" t="s">
        <v>356</v>
      </c>
      <c r="H3" s="1"/>
      <c r="I3" s="1"/>
      <c r="J3" s="1"/>
      <c r="K3" s="1"/>
      <c r="L3" s="1"/>
      <c r="M3" s="1"/>
      <c r="N3" s="1"/>
    </row>
    <row x14ac:dyDescent="0.25" r="4" customHeight="1" ht="18.75">
      <c r="A4" s="8">
        <v>3</v>
      </c>
      <c r="B4" s="1" t="s">
        <v>235</v>
      </c>
      <c r="C4" s="1" t="s">
        <v>359</v>
      </c>
      <c r="D4" s="8">
        <f>People!E2</f>
      </c>
      <c r="E4" s="1" t="s">
        <v>358</v>
      </c>
      <c r="F4" s="1"/>
      <c r="G4" s="1" t="s">
        <v>356</v>
      </c>
      <c r="H4" s="51"/>
      <c r="I4" s="1"/>
      <c r="J4" s="1"/>
      <c r="K4" s="1"/>
      <c r="L4" s="1"/>
      <c r="M4" s="1"/>
      <c r="N4" s="1"/>
    </row>
    <row x14ac:dyDescent="0.25" r="5" customHeight="1" ht="18.75">
      <c r="A5" s="8">
        <v>4</v>
      </c>
      <c r="B5" s="1" t="s">
        <v>286</v>
      </c>
      <c r="C5" s="1" t="s">
        <v>360</v>
      </c>
      <c r="D5" s="8">
        <f>People!E3</f>
      </c>
      <c r="E5" s="1" t="s">
        <v>358</v>
      </c>
      <c r="F5" s="1"/>
      <c r="G5" s="1" t="s">
        <v>356</v>
      </c>
      <c r="H5" s="1"/>
      <c r="I5" s="1"/>
      <c r="J5" s="1"/>
      <c r="K5" s="1"/>
      <c r="L5" s="1"/>
      <c r="M5" s="32"/>
      <c r="N5" s="1"/>
    </row>
    <row x14ac:dyDescent="0.25" r="6" customHeight="1" ht="18.75">
      <c r="A6" s="8">
        <v>5</v>
      </c>
      <c r="B6" s="1" t="s">
        <v>289</v>
      </c>
      <c r="C6" s="1" t="s">
        <v>361</v>
      </c>
      <c r="D6" s="8">
        <f>People!E4</f>
      </c>
      <c r="E6" s="1" t="s">
        <v>358</v>
      </c>
      <c r="F6" s="1"/>
      <c r="G6" s="1" t="s">
        <v>356</v>
      </c>
      <c r="H6" s="1"/>
      <c r="I6" s="1"/>
      <c r="J6" s="1"/>
      <c r="K6" s="1"/>
      <c r="L6" s="1"/>
      <c r="M6" s="1"/>
      <c r="N6" s="1"/>
    </row>
    <row x14ac:dyDescent="0.25" r="7" customHeight="1" ht="18.75">
      <c r="A7" s="8">
        <v>6</v>
      </c>
      <c r="B7" s="1" t="s">
        <v>243</v>
      </c>
      <c r="C7" s="1" t="s">
        <v>362</v>
      </c>
      <c r="D7" s="24">
        <f>People!E5</f>
      </c>
      <c r="E7" s="1" t="s">
        <v>358</v>
      </c>
      <c r="F7" s="1"/>
      <c r="G7" s="1" t="s">
        <v>356</v>
      </c>
      <c r="H7" s="1"/>
      <c r="I7" s="1"/>
      <c r="J7" s="1"/>
      <c r="K7" s="1"/>
      <c r="L7" s="1"/>
      <c r="M7" s="1"/>
      <c r="N7" s="1"/>
    </row>
    <row x14ac:dyDescent="0.25" r="8" customHeight="1" ht="18.75">
      <c r="A8" s="8">
        <v>7</v>
      </c>
      <c r="B8" s="1" t="s">
        <v>252</v>
      </c>
      <c r="C8" s="1" t="s">
        <v>363</v>
      </c>
      <c r="D8" s="8">
        <f>People!E7</f>
      </c>
      <c r="E8" s="1" t="s">
        <v>358</v>
      </c>
      <c r="F8" s="1" t="s">
        <v>364</v>
      </c>
      <c r="G8" s="1" t="s">
        <v>356</v>
      </c>
      <c r="H8" s="1"/>
      <c r="I8" s="1"/>
      <c r="J8" s="1"/>
      <c r="K8" s="1"/>
      <c r="L8" s="1"/>
      <c r="M8" s="1"/>
      <c r="N8" s="1"/>
    </row>
    <row x14ac:dyDescent="0.25" r="9" customHeight="1" ht="18.75">
      <c r="A9" s="8">
        <v>8</v>
      </c>
      <c r="B9" s="1" t="s">
        <v>136</v>
      </c>
      <c r="C9" s="1" t="s">
        <v>365</v>
      </c>
      <c r="D9" s="8">
        <v>65</v>
      </c>
      <c r="E9" s="1" t="s">
        <v>366</v>
      </c>
      <c r="F9" s="1" t="s">
        <v>367</v>
      </c>
      <c r="G9" s="1" t="s">
        <v>356</v>
      </c>
      <c r="H9" s="1"/>
      <c r="I9" s="1"/>
      <c r="J9" s="1"/>
      <c r="K9" s="1"/>
      <c r="L9" s="1"/>
      <c r="M9" s="1"/>
      <c r="N9" s="1"/>
    </row>
    <row x14ac:dyDescent="0.25" r="10" customHeight="1" ht="18.75">
      <c r="A10" s="8">
        <v>9</v>
      </c>
      <c r="B10" s="1" t="s">
        <v>285</v>
      </c>
      <c r="C10" s="1" t="s">
        <v>368</v>
      </c>
      <c r="D10" s="8">
        <v>83</v>
      </c>
      <c r="E10" s="1" t="s">
        <v>354</v>
      </c>
      <c r="F10" s="1"/>
      <c r="G10" s="1" t="s">
        <v>356</v>
      </c>
      <c r="H10" s="1"/>
      <c r="I10" s="1"/>
      <c r="J10" s="1"/>
      <c r="K10" s="1"/>
      <c r="L10" s="1"/>
      <c r="M10" s="1"/>
      <c r="N10" s="1"/>
    </row>
    <row x14ac:dyDescent="0.25" r="11" customHeight="1" ht="18.75">
      <c r="A11" s="8">
        <v>10</v>
      </c>
      <c r="B11" s="1" t="s">
        <v>288</v>
      </c>
      <c r="C11" s="1" t="s">
        <v>369</v>
      </c>
      <c r="D11" s="8">
        <v>18</v>
      </c>
      <c r="E11" s="1" t="s">
        <v>366</v>
      </c>
      <c r="F11" s="1"/>
      <c r="G11" s="1" t="s">
        <v>356</v>
      </c>
      <c r="H11" s="1"/>
      <c r="I11" s="1"/>
      <c r="J11" s="1"/>
      <c r="K11" s="1"/>
      <c r="L11" s="1"/>
      <c r="M11" s="1"/>
      <c r="N11" s="1"/>
    </row>
    <row x14ac:dyDescent="0.25" r="12" customHeight="1" ht="18.75">
      <c r="A12" s="8">
        <v>11</v>
      </c>
      <c r="B12" s="1" t="s">
        <v>291</v>
      </c>
      <c r="C12" s="1" t="s">
        <v>370</v>
      </c>
      <c r="D12" s="24">
        <v>0.05</v>
      </c>
      <c r="E12" s="1" t="s">
        <v>354</v>
      </c>
      <c r="F12" s="1"/>
      <c r="G12" s="1" t="s">
        <v>356</v>
      </c>
      <c r="H12" s="1"/>
      <c r="I12" s="1"/>
      <c r="J12" s="1"/>
      <c r="K12" s="1"/>
      <c r="L12" s="1"/>
      <c r="M12" s="1"/>
      <c r="N12" s="1"/>
    </row>
    <row x14ac:dyDescent="0.25" r="13" customHeight="1" ht="18.75">
      <c r="A13" s="8">
        <v>12</v>
      </c>
      <c r="B13" s="1" t="s">
        <v>74</v>
      </c>
      <c r="C13" s="1" t="s">
        <v>371</v>
      </c>
      <c r="D13" s="8">
        <v>1</v>
      </c>
      <c r="E13" s="1" t="s">
        <v>358</v>
      </c>
      <c r="F13" s="1"/>
      <c r="G13" s="1" t="s">
        <v>74</v>
      </c>
      <c r="H13" s="1"/>
      <c r="I13" s="1"/>
      <c r="J13" s="1"/>
      <c r="K13" s="1"/>
      <c r="L13" s="1"/>
      <c r="M13" s="1"/>
      <c r="N13" s="1"/>
    </row>
    <row x14ac:dyDescent="0.25" r="14" customHeight="1" ht="18.75">
      <c r="A14" s="8">
        <v>13</v>
      </c>
      <c r="B14" s="1" t="s">
        <v>319</v>
      </c>
      <c r="C14" s="52" t="s">
        <v>372</v>
      </c>
      <c r="D14" s="24">
        <f>D70</f>
      </c>
      <c r="E14" s="1" t="s">
        <v>358</v>
      </c>
      <c r="F14" s="1"/>
      <c r="G14" s="1" t="s">
        <v>356</v>
      </c>
      <c r="H14" s="1"/>
      <c r="I14" s="1"/>
      <c r="J14" s="1"/>
      <c r="K14" s="1"/>
      <c r="L14" s="1"/>
      <c r="M14" s="1"/>
      <c r="N14" s="1"/>
    </row>
    <row x14ac:dyDescent="0.25" r="15" customHeight="1" ht="18.75">
      <c r="A15" s="8">
        <v>14</v>
      </c>
      <c r="B15" s="1" t="s">
        <v>193</v>
      </c>
      <c r="C15" s="1" t="s">
        <v>373</v>
      </c>
      <c r="D15" s="8">
        <v>150</v>
      </c>
      <c r="E15" s="1" t="s">
        <v>366</v>
      </c>
      <c r="F15" s="1"/>
      <c r="G15" s="1" t="s">
        <v>374</v>
      </c>
      <c r="H15" s="1"/>
      <c r="I15" s="1"/>
      <c r="J15" s="1"/>
      <c r="K15" s="1"/>
      <c r="L15" s="1"/>
      <c r="M15" s="1"/>
      <c r="N15" s="1"/>
    </row>
    <row x14ac:dyDescent="0.25" r="16" customHeight="1" ht="18.75">
      <c r="A16" s="8">
        <v>15</v>
      </c>
      <c r="B16" s="1" t="s">
        <v>196</v>
      </c>
      <c r="C16" s="1" t="s">
        <v>375</v>
      </c>
      <c r="D16" s="8">
        <v>500</v>
      </c>
      <c r="E16" s="1" t="s">
        <v>366</v>
      </c>
      <c r="F16" s="1"/>
      <c r="G16" s="1" t="s">
        <v>374</v>
      </c>
      <c r="H16" s="1"/>
      <c r="I16" s="1"/>
      <c r="J16" s="1"/>
      <c r="K16" s="1"/>
      <c r="L16" s="1"/>
      <c r="M16" s="37"/>
      <c r="N16" s="37"/>
    </row>
    <row x14ac:dyDescent="0.25" r="17" customHeight="1" ht="18.75">
      <c r="A17" s="8">
        <v>16</v>
      </c>
      <c r="B17" s="1" t="s">
        <v>199</v>
      </c>
      <c r="C17" s="1" t="s">
        <v>376</v>
      </c>
      <c r="D17" s="8">
        <v>1000</v>
      </c>
      <c r="E17" s="1" t="s">
        <v>366</v>
      </c>
      <c r="F17" s="1"/>
      <c r="G17" s="1" t="s">
        <v>374</v>
      </c>
      <c r="H17" s="1"/>
      <c r="I17" s="1"/>
      <c r="J17" s="1"/>
      <c r="K17" s="1"/>
      <c r="L17" s="1"/>
      <c r="M17" s="1"/>
      <c r="N17" s="1"/>
    </row>
    <row x14ac:dyDescent="0.25" r="18" customHeight="1" ht="18.75">
      <c r="A18" s="8">
        <v>17</v>
      </c>
      <c r="B18" s="1" t="s">
        <v>202</v>
      </c>
      <c r="C18" s="1" t="s">
        <v>377</v>
      </c>
      <c r="D18" s="8">
        <v>2000</v>
      </c>
      <c r="E18" s="1" t="s">
        <v>366</v>
      </c>
      <c r="F18" s="1"/>
      <c r="G18" s="1" t="s">
        <v>374</v>
      </c>
      <c r="H18" s="1"/>
      <c r="I18" s="1"/>
      <c r="J18" s="1"/>
      <c r="K18" s="1"/>
      <c r="L18" s="1"/>
      <c r="M18" s="1"/>
      <c r="N18" s="1"/>
    </row>
    <row x14ac:dyDescent="0.25" r="19" customHeight="1" ht="18.75">
      <c r="A19" s="8">
        <v>18</v>
      </c>
      <c r="B19" s="1" t="s">
        <v>205</v>
      </c>
      <c r="C19" s="1" t="s">
        <v>378</v>
      </c>
      <c r="D19" s="8">
        <v>1000</v>
      </c>
      <c r="E19" s="1" t="s">
        <v>366</v>
      </c>
      <c r="F19" s="1"/>
      <c r="G19" s="1" t="s">
        <v>374</v>
      </c>
      <c r="H19" s="1"/>
      <c r="I19" s="1"/>
      <c r="J19" s="1"/>
      <c r="K19" s="1"/>
      <c r="L19" s="1"/>
      <c r="M19" s="1"/>
      <c r="N19" s="1"/>
    </row>
    <row x14ac:dyDescent="0.25" r="20" customHeight="1" ht="18.75">
      <c r="A20" s="8">
        <v>19</v>
      </c>
      <c r="B20" s="1" t="s">
        <v>229</v>
      </c>
      <c r="C20" s="1" t="s">
        <v>379</v>
      </c>
      <c r="D20" s="32">
        <f>Expenses!E1</f>
      </c>
      <c r="E20" s="1" t="s">
        <v>358</v>
      </c>
      <c r="F20" s="1"/>
      <c r="G20" s="1" t="s">
        <v>374</v>
      </c>
      <c r="H20" s="1"/>
      <c r="I20" s="1"/>
      <c r="J20" s="1"/>
      <c r="K20" s="1"/>
      <c r="L20" s="1"/>
      <c r="M20" s="1"/>
      <c r="N20" s="1"/>
    </row>
    <row x14ac:dyDescent="0.25" r="21" customHeight="1" ht="18.75">
      <c r="A21" s="8">
        <v>20</v>
      </c>
      <c r="B21" s="1" t="s">
        <v>233</v>
      </c>
      <c r="C21" s="1" t="s">
        <v>380</v>
      </c>
      <c r="D21" s="32">
        <f>Expenses!E2</f>
      </c>
      <c r="E21" s="1" t="s">
        <v>358</v>
      </c>
      <c r="F21" s="1"/>
      <c r="G21" s="1" t="s">
        <v>374</v>
      </c>
      <c r="H21" s="1"/>
      <c r="I21" s="1"/>
      <c r="J21" s="1"/>
      <c r="K21" s="1"/>
      <c r="L21" s="1"/>
      <c r="M21" s="1"/>
      <c r="N21" s="1"/>
    </row>
    <row x14ac:dyDescent="0.25" r="22" customHeight="1" ht="18.75">
      <c r="A22" s="8">
        <v>21</v>
      </c>
      <c r="B22" s="1" t="s">
        <v>236</v>
      </c>
      <c r="C22" s="1" t="s">
        <v>381</v>
      </c>
      <c r="D22" s="32">
        <f>Expenses!E3</f>
      </c>
      <c r="E22" s="1" t="s">
        <v>358</v>
      </c>
      <c r="F22" s="1"/>
      <c r="G22" s="1" t="s">
        <v>374</v>
      </c>
      <c r="H22" s="1"/>
      <c r="I22" s="1"/>
      <c r="J22" s="1"/>
      <c r="K22" s="1"/>
      <c r="L22" s="1"/>
      <c r="M22" s="1"/>
      <c r="N22" s="1"/>
    </row>
    <row x14ac:dyDescent="0.25" r="23" customHeight="1" ht="18.75">
      <c r="A23" s="8">
        <v>22</v>
      </c>
      <c r="B23" s="1" t="s">
        <v>65</v>
      </c>
      <c r="C23" s="1" t="s">
        <v>382</v>
      </c>
      <c r="D23" s="32">
        <f>Expenses!E4</f>
      </c>
      <c r="E23" s="1" t="s">
        <v>358</v>
      </c>
      <c r="F23" s="1"/>
      <c r="G23" s="1" t="s">
        <v>374</v>
      </c>
      <c r="H23" s="1"/>
      <c r="I23" s="1"/>
      <c r="J23" s="1"/>
      <c r="K23" s="1"/>
      <c r="L23" s="1"/>
      <c r="M23" s="1"/>
      <c r="N23" s="1"/>
    </row>
    <row x14ac:dyDescent="0.25" r="24" customHeight="1" ht="18.75">
      <c r="A24" s="8">
        <v>23</v>
      </c>
      <c r="B24" s="1" t="s">
        <v>38</v>
      </c>
      <c r="C24" s="1" t="s">
        <v>383</v>
      </c>
      <c r="D24" s="32">
        <f>Expenses!E6</f>
      </c>
      <c r="E24" s="1" t="s">
        <v>358</v>
      </c>
      <c r="F24" s="1"/>
      <c r="G24" s="1" t="s">
        <v>374</v>
      </c>
      <c r="H24" s="1"/>
      <c r="I24" s="1"/>
      <c r="J24" s="1"/>
      <c r="K24" s="1"/>
      <c r="L24" s="1"/>
      <c r="M24" s="1"/>
      <c r="N24" s="1"/>
    </row>
    <row x14ac:dyDescent="0.25" r="25" customHeight="1" ht="18.75">
      <c r="A25" s="8">
        <v>24</v>
      </c>
      <c r="B25" s="1" t="s">
        <v>384</v>
      </c>
      <c r="C25" s="1" t="s">
        <v>385</v>
      </c>
      <c r="D25" s="8">
        <f>(D40*20000)/D2</f>
      </c>
      <c r="E25" s="1" t="s">
        <v>354</v>
      </c>
      <c r="F25" s="1" t="s">
        <v>386</v>
      </c>
      <c r="G25" s="1" t="s">
        <v>387</v>
      </c>
      <c r="H25" s="1"/>
      <c r="I25" s="1"/>
      <c r="J25" s="1"/>
      <c r="K25" s="1"/>
      <c r="L25" s="1"/>
      <c r="M25" s="1"/>
      <c r="N25" s="1"/>
    </row>
    <row x14ac:dyDescent="0.25" r="26" customHeight="1" ht="18.75">
      <c r="A26" s="8">
        <v>25</v>
      </c>
      <c r="B26" s="1" t="s">
        <v>176</v>
      </c>
      <c r="C26" s="1" t="s">
        <v>388</v>
      </c>
      <c r="D26" s="24">
        <f>'Front Page'!C3</f>
      </c>
      <c r="E26" s="1" t="s">
        <v>366</v>
      </c>
      <c r="F26" s="1"/>
      <c r="G26" s="1" t="s">
        <v>387</v>
      </c>
      <c r="H26" s="1"/>
      <c r="I26" s="1"/>
      <c r="J26" s="1"/>
      <c r="K26" s="1"/>
      <c r="L26" s="1"/>
      <c r="M26" s="1"/>
      <c r="N26" s="1"/>
    </row>
    <row x14ac:dyDescent="0.25" r="27" customHeight="1" ht="18.75">
      <c r="A27" s="8">
        <v>26</v>
      </c>
      <c r="B27" s="1" t="s">
        <v>180</v>
      </c>
      <c r="C27" s="1" t="s">
        <v>389</v>
      </c>
      <c r="D27" s="24">
        <f>'Front Page'!C4</f>
      </c>
      <c r="E27" s="1" t="s">
        <v>366</v>
      </c>
      <c r="F27" s="1"/>
      <c r="G27" s="1" t="s">
        <v>387</v>
      </c>
      <c r="H27" s="1"/>
      <c r="I27" s="1"/>
      <c r="J27" s="1"/>
      <c r="K27" s="1"/>
      <c r="L27" s="1"/>
      <c r="M27" s="1"/>
      <c r="N27" s="1"/>
    </row>
    <row x14ac:dyDescent="0.25" r="28" customHeight="1" ht="18.75">
      <c r="A28" s="8">
        <v>27</v>
      </c>
      <c r="B28" s="1" t="s">
        <v>297</v>
      </c>
      <c r="C28" s="1" t="s">
        <v>390</v>
      </c>
      <c r="D28" s="24">
        <f>'Front Page'!C5</f>
      </c>
      <c r="E28" s="1" t="s">
        <v>366</v>
      </c>
      <c r="F28" s="1"/>
      <c r="G28" s="1" t="s">
        <v>387</v>
      </c>
      <c r="H28" s="1"/>
      <c r="I28" s="1"/>
      <c r="J28" s="1"/>
      <c r="K28" s="1"/>
      <c r="L28" s="1"/>
      <c r="M28" s="1"/>
      <c r="N28" s="1"/>
    </row>
    <row x14ac:dyDescent="0.25" r="29" customHeight="1" ht="18.75">
      <c r="A29" s="8">
        <v>28</v>
      </c>
      <c r="B29" s="1" t="s">
        <v>282</v>
      </c>
      <c r="C29" s="1" t="s">
        <v>391</v>
      </c>
      <c r="D29" s="24">
        <f>'Front Page'!C6</f>
      </c>
      <c r="E29" s="1" t="s">
        <v>366</v>
      </c>
      <c r="F29" s="1"/>
      <c r="G29" s="1" t="s">
        <v>387</v>
      </c>
      <c r="H29" s="1"/>
      <c r="I29" s="1"/>
      <c r="J29" s="1"/>
      <c r="K29" s="1"/>
      <c r="L29" s="1"/>
      <c r="M29" s="1"/>
      <c r="N29" s="1"/>
    </row>
    <row x14ac:dyDescent="0.25" r="30" customHeight="1" ht="18.75">
      <c r="A30" s="8">
        <v>29</v>
      </c>
      <c r="B30" s="1" t="s">
        <v>392</v>
      </c>
      <c r="C30" s="1" t="s">
        <v>393</v>
      </c>
      <c r="D30" s="24">
        <v>0.25</v>
      </c>
      <c r="E30" s="1" t="s">
        <v>354</v>
      </c>
      <c r="F30" s="1"/>
      <c r="G30" s="1" t="s">
        <v>387</v>
      </c>
      <c r="H30" s="1"/>
      <c r="I30" s="1"/>
      <c r="J30" s="1"/>
      <c r="K30" s="1"/>
      <c r="L30" s="1"/>
      <c r="M30" s="1"/>
      <c r="N30" s="1"/>
    </row>
    <row x14ac:dyDescent="0.25" r="31" customHeight="1" ht="18.75">
      <c r="A31" s="8">
        <v>30</v>
      </c>
      <c r="B31" s="1" t="s">
        <v>169</v>
      </c>
      <c r="C31" s="1" t="s">
        <v>394</v>
      </c>
      <c r="D31" s="8">
        <v>2000</v>
      </c>
      <c r="E31" s="1" t="s">
        <v>354</v>
      </c>
      <c r="F31" s="1"/>
      <c r="G31" s="1" t="s">
        <v>387</v>
      </c>
      <c r="H31" s="1"/>
      <c r="I31" s="1"/>
      <c r="J31" s="1"/>
      <c r="K31" s="1"/>
      <c r="L31" s="1"/>
      <c r="M31" s="1"/>
      <c r="N31" s="1"/>
    </row>
    <row x14ac:dyDescent="0.25" r="32" customHeight="1" ht="18.75">
      <c r="A32" s="8">
        <v>31</v>
      </c>
      <c r="B32" s="1" t="s">
        <v>280</v>
      </c>
      <c r="C32" s="1" t="s">
        <v>395</v>
      </c>
      <c r="D32" s="8">
        <f>D31*0.8</f>
      </c>
      <c r="E32" s="1" t="s">
        <v>354</v>
      </c>
      <c r="F32" s="1"/>
      <c r="G32" s="1" t="s">
        <v>387</v>
      </c>
      <c r="H32" s="1"/>
      <c r="I32" s="1"/>
      <c r="J32" s="1"/>
      <c r="K32" s="1"/>
      <c r="L32" s="1"/>
      <c r="M32" s="1"/>
      <c r="N32" s="1"/>
    </row>
    <row x14ac:dyDescent="0.25" r="33" customHeight="1" ht="18.75">
      <c r="A33" s="8">
        <v>32</v>
      </c>
      <c r="B33" s="1" t="s">
        <v>396</v>
      </c>
      <c r="C33" s="1" t="s">
        <v>397</v>
      </c>
      <c r="D33" s="8">
        <v>100000</v>
      </c>
      <c r="E33" s="1" t="s">
        <v>354</v>
      </c>
      <c r="F33" s="1"/>
      <c r="G33" s="1" t="s">
        <v>387</v>
      </c>
      <c r="H33" s="1"/>
      <c r="I33" s="1"/>
      <c r="J33" s="1"/>
      <c r="K33" s="1"/>
      <c r="L33" s="1"/>
      <c r="M33" s="1"/>
      <c r="N33" s="1"/>
    </row>
    <row x14ac:dyDescent="0.25" r="34" customHeight="1" ht="18.75">
      <c r="A34" s="8">
        <v>33</v>
      </c>
      <c r="B34" s="1" t="s">
        <v>281</v>
      </c>
      <c r="C34" s="1" t="s">
        <v>398</v>
      </c>
      <c r="D34" s="32">
        <v>1000000000</v>
      </c>
      <c r="E34" s="1" t="s">
        <v>354</v>
      </c>
      <c r="F34" s="1"/>
      <c r="G34" s="1" t="s">
        <v>387</v>
      </c>
      <c r="H34" s="1"/>
      <c r="I34" s="1"/>
      <c r="J34" s="1"/>
      <c r="K34" s="1"/>
      <c r="L34" s="1"/>
      <c r="M34" s="1"/>
      <c r="N34" s="1"/>
    </row>
    <row x14ac:dyDescent="0.25" r="35" customHeight="1" ht="18.75">
      <c r="A35" s="8">
        <v>34</v>
      </c>
      <c r="B35" s="1" t="s">
        <v>8</v>
      </c>
      <c r="C35" s="1" t="s">
        <v>399</v>
      </c>
      <c r="D35" s="32">
        <f>Taxes!E1</f>
      </c>
      <c r="E35" s="1" t="s">
        <v>358</v>
      </c>
      <c r="F35" s="1"/>
      <c r="G35" s="1" t="s">
        <v>387</v>
      </c>
      <c r="H35" s="1"/>
      <c r="I35" s="1"/>
      <c r="J35" s="1"/>
      <c r="K35" s="1"/>
      <c r="L35" s="1"/>
      <c r="M35" s="1"/>
      <c r="N35" s="1"/>
    </row>
    <row x14ac:dyDescent="0.25" r="36" customHeight="1" ht="18.75">
      <c r="A36" s="8">
        <v>35</v>
      </c>
      <c r="B36" s="1" t="s">
        <v>15</v>
      </c>
      <c r="C36" s="1" t="s">
        <v>400</v>
      </c>
      <c r="D36" s="32">
        <f>Taxes!E2</f>
      </c>
      <c r="E36" s="1" t="s">
        <v>358</v>
      </c>
      <c r="F36" s="1"/>
      <c r="G36" s="1" t="s">
        <v>387</v>
      </c>
      <c r="H36" s="1"/>
      <c r="I36" s="1"/>
      <c r="J36" s="1"/>
      <c r="K36" s="1"/>
      <c r="L36" s="1"/>
      <c r="M36" s="1"/>
      <c r="N36" s="1"/>
    </row>
    <row x14ac:dyDescent="0.25" r="37" customHeight="1" ht="18.75">
      <c r="A37" s="8">
        <v>36</v>
      </c>
      <c r="B37" s="1" t="s">
        <v>22</v>
      </c>
      <c r="C37" s="1" t="s">
        <v>401</v>
      </c>
      <c r="D37" s="32">
        <f>Taxes!E3</f>
      </c>
      <c r="E37" s="1" t="s">
        <v>358</v>
      </c>
      <c r="F37" s="1"/>
      <c r="G37" s="1" t="s">
        <v>387</v>
      </c>
      <c r="H37" s="1"/>
      <c r="I37" s="1"/>
      <c r="J37" s="1"/>
      <c r="K37" s="1"/>
      <c r="L37" s="1"/>
      <c r="M37" s="1"/>
      <c r="N37" s="1"/>
    </row>
    <row x14ac:dyDescent="0.25" r="38" customHeight="1" ht="18.75">
      <c r="A38" s="8">
        <v>37</v>
      </c>
      <c r="B38" s="1" t="s">
        <v>27</v>
      </c>
      <c r="C38" s="1" t="s">
        <v>402</v>
      </c>
      <c r="D38" s="32">
        <f>Taxes!E4</f>
      </c>
      <c r="E38" s="1" t="s">
        <v>358</v>
      </c>
      <c r="F38" s="1"/>
      <c r="G38" s="1" t="s">
        <v>387</v>
      </c>
      <c r="H38" s="1"/>
      <c r="I38" s="1"/>
      <c r="J38" s="1"/>
      <c r="K38" s="1"/>
      <c r="L38" s="1"/>
      <c r="M38" s="1"/>
      <c r="N38" s="1"/>
    </row>
    <row x14ac:dyDescent="0.25" r="39" customHeight="1" ht="18.75">
      <c r="A39" s="8">
        <v>38</v>
      </c>
      <c r="B39" s="1" t="s">
        <v>277</v>
      </c>
      <c r="C39" s="1" t="s">
        <v>403</v>
      </c>
      <c r="D39" s="32">
        <f>Taxes!E5</f>
      </c>
      <c r="E39" s="1" t="s">
        <v>358</v>
      </c>
      <c r="F39" s="1"/>
      <c r="G39" s="1" t="s">
        <v>387</v>
      </c>
      <c r="H39" s="1"/>
      <c r="I39" s="1"/>
      <c r="J39" s="1"/>
      <c r="K39" s="1"/>
      <c r="L39" s="1"/>
      <c r="M39" s="1"/>
      <c r="N39" s="1"/>
    </row>
    <row x14ac:dyDescent="0.25" r="40" customHeight="1" ht="18.75">
      <c r="A40" s="8">
        <v>39</v>
      </c>
      <c r="B40" s="1" t="s">
        <v>214</v>
      </c>
      <c r="C40" s="1"/>
      <c r="D40" s="8">
        <v>83</v>
      </c>
      <c r="E40" s="1" t="s">
        <v>354</v>
      </c>
      <c r="F40" s="1"/>
      <c r="G40" s="1" t="s">
        <v>404</v>
      </c>
      <c r="H40" s="1"/>
      <c r="I40" s="1"/>
      <c r="J40" s="1"/>
      <c r="K40" s="1"/>
      <c r="L40" s="1"/>
      <c r="M40" s="1"/>
      <c r="N40" s="1"/>
    </row>
    <row x14ac:dyDescent="0.25" r="41" customHeight="1" ht="18.75">
      <c r="A41" s="8">
        <v>40</v>
      </c>
      <c r="B41" s="1" t="s">
        <v>210</v>
      </c>
      <c r="C41" s="1"/>
      <c r="D41" s="8">
        <v>100</v>
      </c>
      <c r="E41" s="1" t="s">
        <v>354</v>
      </c>
      <c r="F41" s="1"/>
      <c r="G41" s="1" t="s">
        <v>404</v>
      </c>
      <c r="H41" s="1"/>
      <c r="I41" s="1"/>
      <c r="J41" s="1"/>
      <c r="K41" s="1"/>
      <c r="L41" s="1"/>
      <c r="M41" s="1"/>
      <c r="N41" s="1"/>
    </row>
    <row x14ac:dyDescent="0.25" r="42" customHeight="1" ht="18.75">
      <c r="A42" s="8">
        <v>41</v>
      </c>
      <c r="B42" s="1" t="s">
        <v>212</v>
      </c>
      <c r="C42" s="1"/>
      <c r="D42" s="8">
        <v>0</v>
      </c>
      <c r="E42" s="1" t="s">
        <v>354</v>
      </c>
      <c r="F42" s="1"/>
      <c r="G42" s="1" t="s">
        <v>404</v>
      </c>
      <c r="H42" s="1"/>
      <c r="I42" s="1"/>
      <c r="J42" s="1"/>
      <c r="K42" s="1"/>
      <c r="L42" s="1"/>
      <c r="M42" s="1"/>
      <c r="N42" s="1"/>
    </row>
    <row x14ac:dyDescent="0.25" r="43" customHeight="1" ht="18.75">
      <c r="A43" s="8">
        <v>42</v>
      </c>
      <c r="B43" s="1" t="s">
        <v>315</v>
      </c>
      <c r="C43" s="1" t="s">
        <v>405</v>
      </c>
      <c r="D43" s="32">
        <f>M5</f>
      </c>
      <c r="E43" s="1" t="s">
        <v>354</v>
      </c>
      <c r="F43" s="1"/>
      <c r="G43" s="1" t="s">
        <v>374</v>
      </c>
      <c r="H43" s="1"/>
      <c r="I43" s="1"/>
      <c r="J43" s="1"/>
      <c r="K43" s="1"/>
      <c r="L43" s="1"/>
      <c r="M43" s="1"/>
      <c r="N43" s="1"/>
    </row>
    <row x14ac:dyDescent="0.25" r="44" customHeight="1" ht="18.75">
      <c r="A44" s="8">
        <v>43</v>
      </c>
      <c r="B44" s="53" t="s">
        <v>219</v>
      </c>
      <c r="C44" s="53" t="s">
        <v>406</v>
      </c>
      <c r="D44" s="54">
        <f>D39+D56+D65</f>
      </c>
      <c r="E44" s="53" t="s">
        <v>358</v>
      </c>
      <c r="F44" s="53"/>
      <c r="G44" s="53" t="s">
        <v>407</v>
      </c>
      <c r="H44" s="1"/>
      <c r="I44" s="1"/>
      <c r="J44" s="1"/>
      <c r="K44" s="1"/>
      <c r="L44" s="1"/>
      <c r="M44" s="1"/>
      <c r="N44" s="1"/>
    </row>
    <row x14ac:dyDescent="0.25" r="45" customHeight="1" ht="18.75">
      <c r="A45" s="8">
        <v>44</v>
      </c>
      <c r="B45" s="1" t="s">
        <v>408</v>
      </c>
      <c r="C45" s="1" t="s">
        <v>409</v>
      </c>
      <c r="D45" s="24">
        <v>0.04</v>
      </c>
      <c r="E45" s="1" t="s">
        <v>366</v>
      </c>
      <c r="F45" s="1"/>
      <c r="G45" s="1" t="s">
        <v>39</v>
      </c>
      <c r="H45" s="1"/>
      <c r="I45" s="1"/>
      <c r="J45" s="1"/>
      <c r="K45" s="1"/>
      <c r="L45" s="1"/>
      <c r="M45" s="1"/>
      <c r="N45" s="1"/>
    </row>
    <row x14ac:dyDescent="0.25" r="46" customHeight="1" ht="18.75">
      <c r="A46" s="8">
        <v>45</v>
      </c>
      <c r="B46" s="1" t="s">
        <v>410</v>
      </c>
      <c r="C46" s="1" t="s">
        <v>411</v>
      </c>
      <c r="D46" s="24">
        <f>Loans!G3</f>
      </c>
      <c r="E46" s="1" t="s">
        <v>358</v>
      </c>
      <c r="F46" s="1"/>
      <c r="G46" s="1" t="s">
        <v>39</v>
      </c>
      <c r="H46" s="1"/>
      <c r="I46" s="1"/>
      <c r="J46" s="1"/>
      <c r="K46" s="1"/>
      <c r="L46" s="1"/>
      <c r="M46" s="1"/>
      <c r="N46" s="1"/>
    </row>
    <row x14ac:dyDescent="0.25" r="47" customHeight="1" ht="18.75">
      <c r="A47" s="8">
        <v>46</v>
      </c>
      <c r="B47" s="1" t="s">
        <v>261</v>
      </c>
      <c r="C47" s="1" t="s">
        <v>412</v>
      </c>
      <c r="D47" s="24">
        <f>Loans!E2</f>
      </c>
      <c r="E47" s="1" t="s">
        <v>358</v>
      </c>
      <c r="F47" s="1"/>
      <c r="G47" s="1" t="s">
        <v>39</v>
      </c>
      <c r="H47" s="1"/>
      <c r="I47" s="1"/>
      <c r="J47" s="1"/>
      <c r="K47" s="1"/>
      <c r="L47" s="1"/>
      <c r="M47" s="1"/>
      <c r="N47" s="1"/>
    </row>
    <row x14ac:dyDescent="0.25" r="48" customHeight="1" ht="18.75">
      <c r="A48" s="8">
        <v>47</v>
      </c>
      <c r="B48" s="1" t="s">
        <v>220</v>
      </c>
      <c r="C48" s="1" t="s">
        <v>413</v>
      </c>
      <c r="D48" s="32">
        <f>200000000000/10000</f>
      </c>
      <c r="E48" s="1" t="s">
        <v>358</v>
      </c>
      <c r="F48" s="1"/>
      <c r="G48" s="1" t="s">
        <v>39</v>
      </c>
      <c r="H48" s="1"/>
      <c r="I48" s="1"/>
      <c r="J48" s="1"/>
      <c r="K48" s="1"/>
      <c r="L48" s="1"/>
      <c r="M48" s="1"/>
      <c r="N48" s="1"/>
    </row>
    <row x14ac:dyDescent="0.25" r="49" customHeight="1" ht="18.75">
      <c r="A49" s="8">
        <v>48</v>
      </c>
      <c r="B49" s="1" t="s">
        <v>414</v>
      </c>
      <c r="C49" s="1" t="s">
        <v>415</v>
      </c>
      <c r="D49" s="8">
        <v>0</v>
      </c>
      <c r="E49" s="1" t="s">
        <v>366</v>
      </c>
      <c r="F49" s="1"/>
      <c r="G49" s="1" t="s">
        <v>39</v>
      </c>
      <c r="H49" s="1"/>
      <c r="I49" s="1"/>
      <c r="J49" s="1"/>
      <c r="K49" s="1"/>
      <c r="L49" s="1"/>
      <c r="M49" s="1"/>
      <c r="N49" s="1"/>
    </row>
    <row x14ac:dyDescent="0.25" r="50" customHeight="1" ht="18.75">
      <c r="A50" s="8">
        <v>49</v>
      </c>
      <c r="B50" s="53" t="s">
        <v>416</v>
      </c>
      <c r="C50" s="53" t="s">
        <v>417</v>
      </c>
      <c r="D50" s="54">
        <f>D44-D51</f>
      </c>
      <c r="E50" s="53" t="s">
        <v>358</v>
      </c>
      <c r="F50" s="53"/>
      <c r="G50" s="53" t="s">
        <v>407</v>
      </c>
      <c r="H50" s="1"/>
      <c r="I50" s="1"/>
      <c r="J50" s="1"/>
      <c r="K50" s="1"/>
      <c r="L50" s="1"/>
      <c r="M50" s="1"/>
      <c r="N50" s="1"/>
    </row>
    <row x14ac:dyDescent="0.25" r="51" customHeight="1" ht="18.75">
      <c r="A51" s="8">
        <v>50</v>
      </c>
      <c r="B51" s="53" t="s">
        <v>418</v>
      </c>
      <c r="C51" s="53" t="s">
        <v>419</v>
      </c>
      <c r="D51" s="54">
        <f>D24+D66</f>
      </c>
      <c r="E51" s="53" t="s">
        <v>358</v>
      </c>
      <c r="F51" s="53"/>
      <c r="G51" s="53" t="s">
        <v>407</v>
      </c>
      <c r="H51" s="1"/>
      <c r="I51" s="1"/>
      <c r="J51" s="1"/>
      <c r="K51" s="1"/>
      <c r="L51" s="1"/>
      <c r="M51" s="1"/>
      <c r="N51" s="1"/>
    </row>
    <row x14ac:dyDescent="0.25" r="52" customHeight="1" ht="18.75">
      <c r="A52" s="8">
        <v>51</v>
      </c>
      <c r="B52" s="1" t="s">
        <v>407</v>
      </c>
      <c r="C52" s="1" t="s">
        <v>420</v>
      </c>
      <c r="D52" s="32">
        <v>100000</v>
      </c>
      <c r="E52" s="1" t="s">
        <v>358</v>
      </c>
      <c r="F52" s="1"/>
      <c r="G52" s="1" t="s">
        <v>407</v>
      </c>
      <c r="H52" s="1"/>
      <c r="I52" s="1"/>
      <c r="J52" s="1"/>
      <c r="K52" s="1"/>
      <c r="L52" s="1"/>
      <c r="M52" s="1"/>
      <c r="N52" s="1"/>
    </row>
    <row x14ac:dyDescent="0.25" r="53" customHeight="1" ht="18.75">
      <c r="A53" s="8">
        <v>52</v>
      </c>
      <c r="B53" s="1" t="s">
        <v>247</v>
      </c>
      <c r="C53" s="1" t="s">
        <v>421</v>
      </c>
      <c r="D53" s="24">
        <f>'State Bank'!E1</f>
      </c>
      <c r="E53" s="1" t="s">
        <v>358</v>
      </c>
      <c r="F53" s="1"/>
      <c r="G53" s="1" t="s">
        <v>73</v>
      </c>
      <c r="H53" s="1"/>
      <c r="I53" s="1"/>
      <c r="J53" s="1"/>
      <c r="K53" s="1"/>
      <c r="L53" s="1"/>
      <c r="M53" s="1"/>
      <c r="N53" s="1"/>
    </row>
    <row x14ac:dyDescent="0.25" r="54" customHeight="1" ht="18.75">
      <c r="A54" s="8">
        <v>53</v>
      </c>
      <c r="B54" s="1" t="s">
        <v>248</v>
      </c>
      <c r="C54" s="1" t="s">
        <v>422</v>
      </c>
      <c r="D54" s="32">
        <f>'State Bank'!E2</f>
      </c>
      <c r="E54" s="1" t="s">
        <v>358</v>
      </c>
      <c r="F54" s="1"/>
      <c r="G54" s="1" t="s">
        <v>73</v>
      </c>
      <c r="H54" s="1"/>
      <c r="I54" s="1"/>
      <c r="J54" s="1"/>
      <c r="K54" s="1"/>
      <c r="L54" s="1"/>
      <c r="M54" s="1"/>
      <c r="N54" s="1"/>
    </row>
    <row x14ac:dyDescent="0.25" r="55" customHeight="1" ht="18.75">
      <c r="A55" s="8">
        <v>54</v>
      </c>
      <c r="B55" s="1" t="s">
        <v>253</v>
      </c>
      <c r="C55" s="1" t="s">
        <v>423</v>
      </c>
      <c r="D55" s="32">
        <f>'State Bank'!E4</f>
      </c>
      <c r="E55" s="1" t="s">
        <v>358</v>
      </c>
      <c r="F55" s="1"/>
      <c r="G55" s="1" t="s">
        <v>73</v>
      </c>
      <c r="H55" s="1"/>
      <c r="I55" s="1"/>
      <c r="J55" s="1"/>
      <c r="K55" s="1"/>
      <c r="L55" s="1"/>
      <c r="M55" s="1"/>
      <c r="N55" s="1"/>
    </row>
    <row x14ac:dyDescent="0.25" r="56" customHeight="1" ht="18.75">
      <c r="A56" s="8">
        <v>55</v>
      </c>
      <c r="B56" s="1" t="s">
        <v>255</v>
      </c>
      <c r="C56" s="1" t="s">
        <v>424</v>
      </c>
      <c r="D56" s="32">
        <f>'State Bank'!E5</f>
      </c>
      <c r="E56" s="1" t="s">
        <v>358</v>
      </c>
      <c r="F56" s="1"/>
      <c r="G56" s="1" t="s">
        <v>73</v>
      </c>
      <c r="H56" s="1"/>
      <c r="I56" s="1"/>
      <c r="J56" s="1"/>
      <c r="K56" s="1"/>
      <c r="L56" s="1"/>
      <c r="M56" s="1"/>
      <c r="N56" s="1"/>
    </row>
    <row x14ac:dyDescent="0.25" r="57" customHeight="1" ht="18.75">
      <c r="A57" s="8">
        <v>56</v>
      </c>
      <c r="B57" s="1" t="s">
        <v>257</v>
      </c>
      <c r="C57" s="1" t="s">
        <v>425</v>
      </c>
      <c r="D57" s="24">
        <v>0.02</v>
      </c>
      <c r="E57" s="1" t="s">
        <v>354</v>
      </c>
      <c r="F57" s="1"/>
      <c r="G57" s="1" t="s">
        <v>73</v>
      </c>
      <c r="H57" s="1"/>
      <c r="I57" s="1"/>
      <c r="J57" s="1"/>
      <c r="K57" s="1"/>
      <c r="L57" s="1"/>
      <c r="M57" s="1"/>
      <c r="N57" s="1"/>
    </row>
    <row x14ac:dyDescent="0.25" r="58" customHeight="1" ht="18.75">
      <c r="A58" s="8">
        <v>57</v>
      </c>
      <c r="B58" s="1" t="s">
        <v>426</v>
      </c>
      <c r="C58" s="1" t="s">
        <v>427</v>
      </c>
      <c r="D58" s="24">
        <f>'State Bank'!E6</f>
      </c>
      <c r="E58" s="1" t="s">
        <v>358</v>
      </c>
      <c r="F58" s="1"/>
      <c r="G58" s="1" t="s">
        <v>73</v>
      </c>
      <c r="H58" s="1"/>
      <c r="I58" s="1"/>
      <c r="J58" s="1"/>
      <c r="K58" s="1"/>
      <c r="L58" s="1"/>
      <c r="M58" s="1"/>
      <c r="N58" s="1"/>
    </row>
    <row x14ac:dyDescent="0.25" r="59" customHeight="1" ht="18.75">
      <c r="A59" s="8">
        <v>58</v>
      </c>
      <c r="B59" s="1" t="s">
        <v>260</v>
      </c>
      <c r="C59" s="1" t="s">
        <v>428</v>
      </c>
      <c r="D59" s="24">
        <v>0.02</v>
      </c>
      <c r="E59" s="1" t="s">
        <v>366</v>
      </c>
      <c r="F59" s="1"/>
      <c r="G59" s="1" t="s">
        <v>73</v>
      </c>
      <c r="H59" s="1"/>
      <c r="I59" s="1"/>
      <c r="J59" s="1"/>
      <c r="K59" s="1"/>
      <c r="L59" s="1"/>
      <c r="M59" s="1"/>
      <c r="N59" s="1"/>
    </row>
    <row x14ac:dyDescent="0.25" r="60" customHeight="1" ht="18.75">
      <c r="A60" s="8">
        <v>59</v>
      </c>
      <c r="B60" s="1" t="s">
        <v>171</v>
      </c>
      <c r="C60" s="1" t="s">
        <v>429</v>
      </c>
      <c r="D60" s="24">
        <f>Inflation!E2</f>
      </c>
      <c r="E60" s="1" t="s">
        <v>358</v>
      </c>
      <c r="F60" s="1"/>
      <c r="G60" s="1" t="s">
        <v>74</v>
      </c>
      <c r="H60" s="1"/>
      <c r="I60" s="1"/>
      <c r="J60" s="1"/>
      <c r="K60" s="1"/>
      <c r="L60" s="1"/>
      <c r="M60" s="1"/>
      <c r="N60" s="1"/>
    </row>
    <row x14ac:dyDescent="0.25" r="61" customHeight="1" ht="18.75">
      <c r="A61" s="8">
        <v>60</v>
      </c>
      <c r="B61" s="1" t="s">
        <v>221</v>
      </c>
      <c r="C61" s="1"/>
      <c r="D61" s="8">
        <v>80</v>
      </c>
      <c r="E61" s="1" t="s">
        <v>354</v>
      </c>
      <c r="F61" s="1"/>
      <c r="G61" s="1" t="s">
        <v>40</v>
      </c>
      <c r="H61" s="1"/>
      <c r="I61" s="1"/>
      <c r="J61" s="1"/>
      <c r="K61" s="1"/>
      <c r="L61" s="1"/>
      <c r="M61" s="1"/>
      <c r="N61" s="1"/>
    </row>
    <row x14ac:dyDescent="0.25" r="62" customHeight="1" ht="18.75">
      <c r="A62" s="8">
        <v>61</v>
      </c>
      <c r="B62" s="1" t="s">
        <v>223</v>
      </c>
      <c r="C62" s="1"/>
      <c r="D62" s="8">
        <v>320</v>
      </c>
      <c r="E62" s="1" t="s">
        <v>354</v>
      </c>
      <c r="F62" s="1"/>
      <c r="G62" s="1" t="s">
        <v>40</v>
      </c>
      <c r="H62" s="1"/>
      <c r="I62" s="1"/>
      <c r="J62" s="1"/>
      <c r="K62" s="1"/>
      <c r="L62" s="1"/>
      <c r="M62" s="1"/>
      <c r="N62" s="1"/>
    </row>
    <row x14ac:dyDescent="0.25" r="63" customHeight="1" ht="18.75">
      <c r="A63" s="8">
        <v>62</v>
      </c>
      <c r="B63" s="1" t="s">
        <v>225</v>
      </c>
      <c r="C63" s="1" t="s">
        <v>430</v>
      </c>
      <c r="D63" s="8">
        <v>9000</v>
      </c>
      <c r="E63" s="1" t="s">
        <v>358</v>
      </c>
      <c r="F63" s="1"/>
      <c r="G63" s="1" t="s">
        <v>40</v>
      </c>
      <c r="H63" s="1"/>
      <c r="I63" s="1"/>
      <c r="J63" s="1"/>
      <c r="K63" s="1"/>
      <c r="L63" s="1"/>
      <c r="M63" s="1"/>
      <c r="N63" s="1"/>
    </row>
    <row x14ac:dyDescent="0.25" r="64" customHeight="1" ht="18.75">
      <c r="A64" s="8">
        <v>63</v>
      </c>
      <c r="B64" s="1" t="s">
        <v>227</v>
      </c>
      <c r="C64" s="1" t="s">
        <v>431</v>
      </c>
      <c r="D64" s="8">
        <v>11000</v>
      </c>
      <c r="E64" s="1" t="s">
        <v>358</v>
      </c>
      <c r="F64" s="1"/>
      <c r="G64" s="1" t="s">
        <v>40</v>
      </c>
      <c r="H64" s="1"/>
      <c r="I64" s="1"/>
      <c r="J64" s="1"/>
      <c r="K64" s="1"/>
      <c r="L64" s="1"/>
      <c r="M64" s="1"/>
      <c r="N64" s="1"/>
    </row>
    <row x14ac:dyDescent="0.25" r="65" customHeight="1" ht="18.75">
      <c r="A65" s="8">
        <v>64</v>
      </c>
      <c r="B65" s="1" t="s">
        <v>222</v>
      </c>
      <c r="C65" s="1" t="s">
        <v>432</v>
      </c>
      <c r="D65" s="8">
        <f>Trade!E1</f>
      </c>
      <c r="E65" s="1" t="s">
        <v>358</v>
      </c>
      <c r="F65" s="1"/>
      <c r="G65" s="1" t="s">
        <v>40</v>
      </c>
      <c r="H65" s="1"/>
      <c r="I65" s="1"/>
      <c r="J65" s="1"/>
      <c r="K65" s="1"/>
      <c r="L65" s="1"/>
      <c r="M65" s="1"/>
      <c r="N65" s="1"/>
    </row>
    <row x14ac:dyDescent="0.25" r="66" customHeight="1" ht="18.75">
      <c r="A66" s="8">
        <v>65</v>
      </c>
      <c r="B66" s="1" t="s">
        <v>224</v>
      </c>
      <c r="C66" s="1" t="s">
        <v>433</v>
      </c>
      <c r="D66" s="32">
        <f>Trade!E2</f>
      </c>
      <c r="E66" s="1" t="s">
        <v>358</v>
      </c>
      <c r="F66" s="1"/>
      <c r="G66" s="1" t="s">
        <v>40</v>
      </c>
      <c r="H66" s="1"/>
      <c r="I66" s="1"/>
      <c r="J66" s="1"/>
      <c r="K66" s="1"/>
      <c r="L66" s="1"/>
      <c r="M66" s="1"/>
      <c r="N66" s="1"/>
    </row>
    <row x14ac:dyDescent="0.25" r="67" customHeight="1" ht="18.75">
      <c r="A67" s="8">
        <v>66</v>
      </c>
      <c r="B67" s="1" t="s">
        <v>226</v>
      </c>
      <c r="C67" s="1" t="s">
        <v>434</v>
      </c>
      <c r="D67" s="8">
        <f>Trade!E3</f>
      </c>
      <c r="E67" s="1" t="s">
        <v>358</v>
      </c>
      <c r="F67" s="1"/>
      <c r="G67" s="1" t="s">
        <v>40</v>
      </c>
      <c r="H67" s="1"/>
      <c r="I67" s="1"/>
      <c r="J67" s="1"/>
      <c r="K67" s="1"/>
      <c r="L67" s="1"/>
      <c r="M67" s="1"/>
      <c r="N67" s="1"/>
    </row>
    <row x14ac:dyDescent="0.25" r="68" customHeight="1" ht="18.75">
      <c r="A68" s="8">
        <v>67</v>
      </c>
      <c r="B68" s="1" t="s">
        <v>299</v>
      </c>
      <c r="C68" s="1" t="s">
        <v>435</v>
      </c>
      <c r="D68" s="8">
        <v>24</v>
      </c>
      <c r="E68" s="1" t="s">
        <v>354</v>
      </c>
      <c r="F68" s="1"/>
      <c r="G68" s="1" t="s">
        <v>75</v>
      </c>
      <c r="H68" s="1"/>
      <c r="I68" s="1"/>
      <c r="J68" s="1"/>
      <c r="K68" s="1"/>
      <c r="L68" s="1"/>
      <c r="M68" s="1"/>
      <c r="N68" s="1"/>
    </row>
    <row x14ac:dyDescent="0.25" r="69" customHeight="1" ht="18.75">
      <c r="A69" s="8">
        <v>68</v>
      </c>
      <c r="B69" s="1" t="s">
        <v>302</v>
      </c>
      <c r="C69" s="1"/>
      <c r="D69" s="24">
        <v>0.5</v>
      </c>
      <c r="E69" s="1" t="s">
        <v>354</v>
      </c>
      <c r="F69" s="1"/>
      <c r="G69" s="1" t="s">
        <v>75</v>
      </c>
      <c r="H69" s="1"/>
      <c r="I69" s="1"/>
      <c r="J69" s="1"/>
      <c r="K69" s="1"/>
      <c r="L69" s="1"/>
      <c r="M69" s="1"/>
      <c r="N69" s="1"/>
    </row>
    <row x14ac:dyDescent="0.25" r="70" customHeight="1" ht="18.75">
      <c r="A70" s="8">
        <v>69</v>
      </c>
      <c r="B70" s="1" t="s">
        <v>305</v>
      </c>
      <c r="C70" s="1"/>
      <c r="D70" s="24">
        <v>1.7</v>
      </c>
      <c r="E70" s="1" t="s">
        <v>354</v>
      </c>
      <c r="F70" s="1"/>
      <c r="G70" s="1" t="s">
        <v>75</v>
      </c>
      <c r="H70" s="1"/>
      <c r="I70" s="1"/>
      <c r="J70" s="1"/>
      <c r="K70" s="1"/>
      <c r="L70" s="1"/>
      <c r="M70" s="1"/>
      <c r="N70" s="1"/>
    </row>
    <row x14ac:dyDescent="0.25" r="71" customHeight="1" ht="18.75">
      <c r="A71" s="8">
        <v>70</v>
      </c>
      <c r="B71" s="1" t="s">
        <v>308</v>
      </c>
      <c r="C71" s="1"/>
      <c r="D71" s="8">
        <v>1</v>
      </c>
      <c r="E71" s="1" t="s">
        <v>354</v>
      </c>
      <c r="F71" s="1"/>
      <c r="G71" s="1" t="s">
        <v>75</v>
      </c>
      <c r="H71" s="1"/>
      <c r="I71" s="1"/>
      <c r="J71" s="1"/>
      <c r="K71" s="1"/>
      <c r="L71" s="1"/>
      <c r="M71" s="1"/>
      <c r="N71" s="1"/>
    </row>
    <row x14ac:dyDescent="0.25" r="72" customHeight="1" ht="18.75">
      <c r="A72" s="8">
        <v>71</v>
      </c>
      <c r="B72" s="1" t="s">
        <v>310</v>
      </c>
      <c r="C72" s="1" t="s">
        <v>436</v>
      </c>
      <c r="D72" s="24">
        <f>83*0.05</f>
      </c>
      <c r="E72" s="1" t="s">
        <v>354</v>
      </c>
      <c r="F72" s="1"/>
      <c r="G72" s="1" t="s">
        <v>75</v>
      </c>
      <c r="H72" s="1"/>
      <c r="I72" s="1"/>
      <c r="J72" s="1"/>
      <c r="K72" s="1"/>
      <c r="L72" s="1"/>
      <c r="M72" s="1"/>
      <c r="N72" s="1"/>
    </row>
    <row x14ac:dyDescent="0.25" r="73" customHeight="1" ht="18.75">
      <c r="A73" s="8">
        <v>72</v>
      </c>
      <c r="B73" s="1" t="s">
        <v>109</v>
      </c>
      <c r="C73" s="1" t="s">
        <v>437</v>
      </c>
      <c r="D73" s="24">
        <v>0.8</v>
      </c>
      <c r="E73" s="1" t="s">
        <v>354</v>
      </c>
      <c r="F73" s="1"/>
      <c r="G73" s="1" t="s">
        <v>75</v>
      </c>
      <c r="H73" s="1"/>
      <c r="I73" s="1"/>
      <c r="J73" s="1"/>
      <c r="K73" s="1"/>
      <c r="L73" s="1"/>
      <c r="M73" s="1"/>
      <c r="N73" s="1"/>
    </row>
    <row x14ac:dyDescent="0.25" r="74" customHeight="1" ht="18.75">
      <c r="A74" s="8">
        <v>73</v>
      </c>
      <c r="B74" s="1" t="s">
        <v>75</v>
      </c>
      <c r="C74" s="1" t="s">
        <v>438</v>
      </c>
      <c r="D74" s="24">
        <f>'War Exhaustion'!D4</f>
      </c>
      <c r="E74" s="1" t="s">
        <v>358</v>
      </c>
      <c r="F74" s="1"/>
      <c r="G74" s="1" t="s">
        <v>75</v>
      </c>
      <c r="H74" s="1"/>
      <c r="I74" s="1"/>
      <c r="J74" s="1"/>
      <c r="K74" s="1"/>
      <c r="L74" s="1"/>
      <c r="M74" s="1"/>
      <c r="N74" s="1"/>
    </row>
    <row x14ac:dyDescent="0.25" r="75" customHeight="1" ht="18.75">
      <c r="A75" s="8">
        <v>74</v>
      </c>
      <c r="B75" s="1" t="s">
        <v>147</v>
      </c>
      <c r="C75" s="1" t="s">
        <v>439</v>
      </c>
      <c r="D75" s="24">
        <v>0.5</v>
      </c>
      <c r="E75" s="1" t="s">
        <v>358</v>
      </c>
      <c r="F75" s="1"/>
      <c r="G75" s="1" t="s">
        <v>172</v>
      </c>
      <c r="H75" s="1"/>
      <c r="I75" s="1"/>
      <c r="J75" s="1"/>
      <c r="K75" s="1"/>
      <c r="L75" s="1"/>
      <c r="M75" s="1"/>
      <c r="N75" s="1"/>
    </row>
    <row x14ac:dyDescent="0.25" r="76" customHeight="1" ht="18.75">
      <c r="A76" s="8">
        <v>75</v>
      </c>
      <c r="B76" s="1" t="s">
        <v>173</v>
      </c>
      <c r="C76" s="1" t="s">
        <v>440</v>
      </c>
      <c r="D76" s="24">
        <f>Happines!E1</f>
      </c>
      <c r="E76" s="1" t="s">
        <v>358</v>
      </c>
      <c r="F76" s="1"/>
      <c r="G76" s="1" t="s">
        <v>172</v>
      </c>
      <c r="H76" s="1"/>
      <c r="I76" s="1"/>
      <c r="J76" s="1"/>
      <c r="K76" s="1"/>
      <c r="L76" s="1"/>
      <c r="M76" s="1"/>
      <c r="N76" s="1"/>
    </row>
    <row x14ac:dyDescent="0.25" r="77" customHeight="1" ht="18.75">
      <c r="A77" s="8">
        <v>76</v>
      </c>
      <c r="B77" s="1" t="s">
        <v>177</v>
      </c>
      <c r="C77" s="1" t="s">
        <v>441</v>
      </c>
      <c r="D77" s="24">
        <f>Happines!E2</f>
      </c>
      <c r="E77" s="1" t="s">
        <v>358</v>
      </c>
      <c r="F77" s="1"/>
      <c r="G77" s="1" t="s">
        <v>172</v>
      </c>
      <c r="H77" s="1"/>
      <c r="I77" s="1"/>
      <c r="J77" s="1"/>
      <c r="K77" s="1"/>
      <c r="L77" s="1"/>
      <c r="M77" s="1"/>
      <c r="N77" s="1"/>
    </row>
    <row x14ac:dyDescent="0.25" r="78" customHeight="1" ht="18.75">
      <c r="A78" s="8">
        <v>77</v>
      </c>
      <c r="B78" s="1" t="s">
        <v>181</v>
      </c>
      <c r="C78" s="1" t="s">
        <v>442</v>
      </c>
      <c r="D78" s="24">
        <f>Happines!E3</f>
      </c>
      <c r="E78" s="1" t="s">
        <v>358</v>
      </c>
      <c r="F78" s="1"/>
      <c r="G78" s="1" t="s">
        <v>172</v>
      </c>
      <c r="H78" s="1"/>
      <c r="I78" s="1"/>
      <c r="J78" s="1"/>
      <c r="K78" s="1"/>
      <c r="L78" s="1"/>
      <c r="M78" s="1"/>
      <c r="N78" s="1"/>
    </row>
    <row x14ac:dyDescent="0.25" r="79" customHeight="1" ht="18.75">
      <c r="A79" s="8">
        <v>78</v>
      </c>
      <c r="B79" s="1" t="s">
        <v>184</v>
      </c>
      <c r="C79" s="1" t="s">
        <v>443</v>
      </c>
      <c r="D79" s="24">
        <f>Happines!E4</f>
      </c>
      <c r="E79" s="1" t="s">
        <v>358</v>
      </c>
      <c r="F79" s="1"/>
      <c r="G79" s="1" t="s">
        <v>172</v>
      </c>
      <c r="H79" s="1"/>
      <c r="I79" s="1"/>
      <c r="J79" s="1"/>
      <c r="K79" s="1"/>
      <c r="L79" s="1"/>
      <c r="M79" s="1"/>
      <c r="N79" s="1"/>
    </row>
    <row x14ac:dyDescent="0.25" r="80" customHeight="1" ht="18.75">
      <c r="A80" s="8">
        <v>79</v>
      </c>
      <c r="B80" s="1" t="s">
        <v>187</v>
      </c>
      <c r="C80" s="1" t="s">
        <v>444</v>
      </c>
      <c r="D80" s="8">
        <f>Happines!E5</f>
      </c>
      <c r="E80" s="1" t="s">
        <v>358</v>
      </c>
      <c r="F80" s="1"/>
      <c r="G80" s="1" t="s">
        <v>172</v>
      </c>
      <c r="H80" s="1"/>
      <c r="I80" s="1"/>
      <c r="J80" s="1"/>
      <c r="K80" s="1"/>
      <c r="L80" s="1"/>
      <c r="M80" s="1"/>
      <c r="N80" s="1"/>
    </row>
    <row x14ac:dyDescent="0.25" r="81" customHeight="1" ht="18.75">
      <c r="A81" s="8">
        <v>80</v>
      </c>
      <c r="B81" s="1" t="s">
        <v>208</v>
      </c>
      <c r="C81" s="1" t="s">
        <v>445</v>
      </c>
      <c r="D81" s="24">
        <f>Happines!E12</f>
      </c>
      <c r="E81" s="1" t="s">
        <v>358</v>
      </c>
      <c r="F81" s="1"/>
      <c r="G81" s="1" t="s">
        <v>172</v>
      </c>
      <c r="H81" s="1"/>
      <c r="I81" s="1"/>
      <c r="J81" s="1"/>
      <c r="K81" s="1"/>
      <c r="L81" s="1"/>
      <c r="M81" s="1"/>
      <c r="N81" s="1"/>
    </row>
    <row x14ac:dyDescent="0.25" r="82" customHeight="1" ht="18.75">
      <c r="A82" s="8">
        <v>81</v>
      </c>
      <c r="B82" s="1" t="s">
        <v>179</v>
      </c>
      <c r="C82" s="1" t="s">
        <v>446</v>
      </c>
      <c r="D82" s="24">
        <f>Happines!I2</f>
      </c>
      <c r="E82" s="1" t="s">
        <v>358</v>
      </c>
      <c r="F82" s="1"/>
      <c r="G82" s="1" t="s">
        <v>172</v>
      </c>
      <c r="H82" s="1"/>
      <c r="I82" s="1"/>
      <c r="J82" s="1"/>
      <c r="K82" s="1"/>
      <c r="L82" s="1"/>
      <c r="M82" s="1"/>
      <c r="N82" s="1"/>
    </row>
    <row x14ac:dyDescent="0.25" r="83" customHeight="1" ht="18.75">
      <c r="A83" s="8">
        <v>82</v>
      </c>
      <c r="B83" s="1" t="s">
        <v>183</v>
      </c>
      <c r="C83" s="1" t="s">
        <v>447</v>
      </c>
      <c r="D83" s="24">
        <f>Happines!I3</f>
      </c>
      <c r="E83" s="1" t="s">
        <v>358</v>
      </c>
      <c r="F83" s="1"/>
      <c r="G83" s="1" t="s">
        <v>172</v>
      </c>
      <c r="H83" s="1"/>
      <c r="I83" s="1"/>
      <c r="J83" s="1"/>
      <c r="K83" s="1"/>
      <c r="L83" s="1"/>
      <c r="M83" s="1"/>
      <c r="N83" s="1"/>
    </row>
    <row x14ac:dyDescent="0.25" r="84" customHeight="1" ht="18.75">
      <c r="A84" s="8">
        <v>83</v>
      </c>
      <c r="B84" s="1" t="s">
        <v>186</v>
      </c>
      <c r="C84" s="1" t="s">
        <v>448</v>
      </c>
      <c r="D84" s="24">
        <f>Happines!I4</f>
      </c>
      <c r="E84" s="1" t="s">
        <v>358</v>
      </c>
      <c r="F84" s="1"/>
      <c r="G84" s="1" t="s">
        <v>172</v>
      </c>
      <c r="H84" s="1"/>
      <c r="I84" s="1"/>
      <c r="J84" s="1"/>
      <c r="K84" s="1"/>
      <c r="L84" s="1"/>
      <c r="M84" s="1"/>
      <c r="N84" s="1"/>
    </row>
    <row x14ac:dyDescent="0.25" r="85" customHeight="1" ht="18.75">
      <c r="A85" s="8">
        <v>84</v>
      </c>
      <c r="B85" s="1" t="s">
        <v>189</v>
      </c>
      <c r="C85" s="1" t="s">
        <v>449</v>
      </c>
      <c r="D85" s="24">
        <f>Happines!I5</f>
      </c>
      <c r="E85" s="1" t="s">
        <v>358</v>
      </c>
      <c r="F85" s="1"/>
      <c r="G85" s="1" t="s">
        <v>172</v>
      </c>
      <c r="H85" s="1"/>
      <c r="I85" s="1"/>
      <c r="J85" s="1"/>
      <c r="K85" s="1"/>
      <c r="L85" s="1"/>
      <c r="M85" s="1"/>
      <c r="N85" s="1"/>
    </row>
    <row x14ac:dyDescent="0.25" r="86" customHeight="1" ht="18.75">
      <c r="A86" s="8">
        <v>85</v>
      </c>
      <c r="B86" s="1" t="s">
        <v>206</v>
      </c>
      <c r="C86" s="1" t="s">
        <v>450</v>
      </c>
      <c r="D86" s="24">
        <f>Happines!E11</f>
      </c>
      <c r="E86" s="1" t="s">
        <v>358</v>
      </c>
      <c r="F86" s="1"/>
      <c r="G86" s="1" t="s">
        <v>172</v>
      </c>
      <c r="H86" s="1"/>
      <c r="I86" s="1"/>
      <c r="J86" s="1"/>
      <c r="K86" s="1"/>
      <c r="L86" s="1"/>
      <c r="M86" s="1"/>
      <c r="N86" s="1"/>
    </row>
    <row x14ac:dyDescent="0.25" r="87" customHeight="1" ht="18.75">
      <c r="A87" s="8">
        <v>86</v>
      </c>
      <c r="B87" s="1" t="s">
        <v>325</v>
      </c>
      <c r="C87" s="1" t="s">
        <v>451</v>
      </c>
      <c r="D87" s="8">
        <v>200000</v>
      </c>
      <c r="E87" s="1" t="s">
        <v>358</v>
      </c>
      <c r="F87" s="1"/>
      <c r="G87" s="1" t="s">
        <v>387</v>
      </c>
      <c r="H87" s="1"/>
      <c r="I87" s="1"/>
      <c r="J87" s="1"/>
      <c r="K87" s="1"/>
      <c r="L87" s="1"/>
      <c r="M87" s="1"/>
      <c r="N87" s="1"/>
    </row>
    <row x14ac:dyDescent="0.25" r="88" customHeight="1" ht="18.75">
      <c r="A88" s="8">
        <v>87</v>
      </c>
      <c r="B88" s="1" t="s">
        <v>327</v>
      </c>
      <c r="C88" s="1" t="s">
        <v>452</v>
      </c>
      <c r="D88" s="24">
        <v>0.6</v>
      </c>
      <c r="E88" s="1" t="s">
        <v>354</v>
      </c>
      <c r="F88" s="1"/>
      <c r="G88" s="1" t="s">
        <v>453</v>
      </c>
      <c r="H88" s="1"/>
      <c r="I88" s="1"/>
      <c r="J88" s="1"/>
      <c r="K88" s="1"/>
      <c r="L88" s="1"/>
      <c r="M88" s="1"/>
      <c r="N88" s="1"/>
    </row>
    <row x14ac:dyDescent="0.25" r="89" customHeight="1" ht="18.75">
      <c r="A89" s="8">
        <v>88</v>
      </c>
      <c r="B89" s="1" t="s">
        <v>328</v>
      </c>
      <c r="C89" s="1" t="s">
        <v>454</v>
      </c>
      <c r="D89" s="24">
        <v>0.8</v>
      </c>
      <c r="E89" s="1" t="s">
        <v>354</v>
      </c>
      <c r="F89" s="1"/>
      <c r="G89" s="1" t="s">
        <v>453</v>
      </c>
      <c r="H89" s="1"/>
      <c r="I89" s="1"/>
      <c r="J89" s="1"/>
      <c r="K89" s="1"/>
      <c r="L89" s="1"/>
      <c r="M89" s="1"/>
      <c r="N89" s="1"/>
    </row>
    <row x14ac:dyDescent="0.25" r="90" customHeight="1" ht="18.75">
      <c r="A90" s="8">
        <v>89</v>
      </c>
      <c r="B90" s="1" t="s">
        <v>331</v>
      </c>
      <c r="C90" s="1" t="s">
        <v>455</v>
      </c>
      <c r="D90" s="32">
        <f>D50*0.1</f>
      </c>
      <c r="E90" s="1" t="s">
        <v>354</v>
      </c>
      <c r="F90" s="1" t="s">
        <v>456</v>
      </c>
      <c r="G90" s="1" t="s">
        <v>453</v>
      </c>
      <c r="H90" s="1"/>
      <c r="I90" s="1"/>
      <c r="J90" s="1"/>
      <c r="K90" s="1"/>
      <c r="L90" s="1"/>
      <c r="M90" s="1"/>
      <c r="N90" s="1"/>
    </row>
    <row x14ac:dyDescent="0.25" r="91" customHeight="1" ht="18.75">
      <c r="A91" s="8">
        <v>90</v>
      </c>
      <c r="B91" s="1" t="s">
        <v>341</v>
      </c>
      <c r="C91" s="1" t="s">
        <v>457</v>
      </c>
      <c r="D91" s="24">
        <v>0.8</v>
      </c>
      <c r="E91" s="1" t="s">
        <v>354</v>
      </c>
      <c r="F91" s="1"/>
      <c r="G91" s="1" t="s">
        <v>453</v>
      </c>
      <c r="H91" s="1"/>
      <c r="I91" s="1"/>
      <c r="J91" s="1"/>
      <c r="K91" s="1"/>
      <c r="L91" s="1"/>
      <c r="M91" s="1"/>
      <c r="N91" s="1"/>
    </row>
    <row x14ac:dyDescent="0.25" r="92" customHeight="1" ht="18.75">
      <c r="A92" s="8">
        <v>91</v>
      </c>
      <c r="B92" s="1"/>
      <c r="C92" s="1"/>
      <c r="D92" s="7"/>
      <c r="E92" s="1"/>
      <c r="F92" s="1"/>
      <c r="G92" s="1"/>
      <c r="H92" s="1"/>
      <c r="I92" s="1"/>
      <c r="J92" s="1"/>
      <c r="K92" s="1"/>
      <c r="L92" s="1"/>
      <c r="M92" s="1"/>
      <c r="N92" s="1"/>
    </row>
    <row x14ac:dyDescent="0.25" r="93" customHeight="1" ht="18.75">
      <c r="A93" s="8">
        <v>92</v>
      </c>
      <c r="B93" s="1"/>
      <c r="C93" s="1"/>
      <c r="D93" s="7"/>
      <c r="E93" s="1"/>
      <c r="F93" s="1"/>
      <c r="G93" s="1"/>
      <c r="H93" s="1"/>
      <c r="I93" s="1"/>
      <c r="J93" s="1"/>
      <c r="K93" s="1"/>
      <c r="L93" s="1"/>
      <c r="M93" s="1"/>
      <c r="N93" s="1"/>
    </row>
    <row x14ac:dyDescent="0.25" r="94" customHeight="1" ht="18.75">
      <c r="A94" s="8">
        <v>93</v>
      </c>
      <c r="B94" s="1"/>
      <c r="C94" s="1"/>
      <c r="D94" s="7"/>
      <c r="E94" s="1"/>
      <c r="F94" s="1"/>
      <c r="G94" s="1"/>
      <c r="H94" s="1"/>
      <c r="I94" s="1"/>
      <c r="J94" s="1"/>
      <c r="K94" s="1"/>
      <c r="L94" s="1"/>
      <c r="M94" s="1"/>
      <c r="N94" s="1"/>
    </row>
    <row x14ac:dyDescent="0.25" r="95" customHeight="1" ht="18.75">
      <c r="A95" s="8">
        <v>94</v>
      </c>
      <c r="B95" s="1"/>
      <c r="C95" s="1"/>
      <c r="D95" s="7"/>
      <c r="E95" s="1"/>
      <c r="F95" s="1"/>
      <c r="G95" s="1"/>
      <c r="H95" s="1"/>
      <c r="I95" s="1"/>
      <c r="J95" s="1"/>
      <c r="K95" s="1"/>
      <c r="L95" s="1"/>
      <c r="M95" s="1"/>
      <c r="N95" s="1"/>
    </row>
    <row x14ac:dyDescent="0.25" r="96" customHeight="1" ht="18.75">
      <c r="A96" s="8">
        <v>95</v>
      </c>
      <c r="B96" s="1"/>
      <c r="C96" s="1"/>
      <c r="D96" s="7"/>
      <c r="E96" s="1"/>
      <c r="F96" s="1"/>
      <c r="G96" s="1"/>
      <c r="H96" s="1"/>
      <c r="I96" s="1"/>
      <c r="J96" s="1"/>
      <c r="K96" s="1"/>
      <c r="L96" s="1"/>
      <c r="M96" s="1"/>
      <c r="N96" s="1"/>
    </row>
    <row x14ac:dyDescent="0.25" r="97" customHeight="1" ht="18.75">
      <c r="A97" s="8">
        <v>96</v>
      </c>
      <c r="B97" s="1"/>
      <c r="C97" s="1"/>
      <c r="D97" s="7"/>
      <c r="E97" s="1"/>
      <c r="F97" s="1"/>
      <c r="G97" s="1"/>
      <c r="H97" s="1"/>
      <c r="I97" s="1"/>
      <c r="J97" s="1"/>
      <c r="K97" s="1"/>
      <c r="L97" s="1"/>
      <c r="M97" s="1"/>
      <c r="N97" s="1"/>
    </row>
    <row x14ac:dyDescent="0.25" r="98" customHeight="1" ht="18.75">
      <c r="A98" s="8">
        <v>97</v>
      </c>
      <c r="B98" s="1"/>
      <c r="C98" s="1"/>
      <c r="D98" s="7"/>
      <c r="E98" s="1"/>
      <c r="F98" s="1"/>
      <c r="G98" s="1"/>
      <c r="H98" s="1"/>
      <c r="I98" s="1"/>
      <c r="J98" s="1"/>
      <c r="K98" s="1"/>
      <c r="L98" s="1"/>
      <c r="M98" s="1"/>
      <c r="N98" s="1"/>
    </row>
    <row x14ac:dyDescent="0.25" r="99" customHeight="1" ht="18.75">
      <c r="A99" s="8">
        <v>98</v>
      </c>
      <c r="B99" s="1"/>
      <c r="C99" s="1"/>
      <c r="D99" s="7"/>
      <c r="E99" s="1"/>
      <c r="F99" s="1"/>
      <c r="G99" s="1"/>
      <c r="H99" s="1"/>
      <c r="I99" s="1"/>
      <c r="J99" s="1"/>
      <c r="K99" s="1"/>
      <c r="L99" s="1"/>
      <c r="M99" s="1"/>
      <c r="N99" s="1"/>
    </row>
    <row x14ac:dyDescent="0.25" r="100" customHeight="1" ht="18.75">
      <c r="A100" s="8">
        <v>99</v>
      </c>
      <c r="B100" s="1"/>
      <c r="C100" s="1"/>
      <c r="D100" s="7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x14ac:dyDescent="0.25" r="101" customHeight="1" ht="18.75">
      <c r="A101" s="8">
        <v>100</v>
      </c>
      <c r="B101" s="1"/>
      <c r="C101" s="1"/>
      <c r="D101" s="7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x14ac:dyDescent="0.25" r="102" customHeight="1" ht="18.75">
      <c r="A102" s="8">
        <v>101</v>
      </c>
      <c r="B102" s="1"/>
      <c r="C102" s="1"/>
      <c r="D102" s="7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x14ac:dyDescent="0.25" r="103" customHeight="1" ht="18.75">
      <c r="A103" s="8">
        <v>102</v>
      </c>
      <c r="B103" s="1"/>
      <c r="C103" s="1"/>
      <c r="D103" s="7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x14ac:dyDescent="0.25" r="104" customHeight="1" ht="18.75">
      <c r="A104" s="8">
        <v>103</v>
      </c>
      <c r="B104" s="1"/>
      <c r="C104" s="1"/>
      <c r="D104" s="7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x14ac:dyDescent="0.25" r="105" customHeight="1" ht="18.75">
      <c r="A105" s="8">
        <v>104</v>
      </c>
      <c r="B105" s="1"/>
      <c r="C105" s="1"/>
      <c r="D105" s="7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x14ac:dyDescent="0.25" r="106" customHeight="1" ht="18.75">
      <c r="A106" s="8">
        <v>105</v>
      </c>
      <c r="B106" s="1"/>
      <c r="C106" s="1"/>
      <c r="D106" s="7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x14ac:dyDescent="0.25" r="107" customHeight="1" ht="18.75">
      <c r="A107" s="8">
        <v>106</v>
      </c>
      <c r="B107" s="1"/>
      <c r="C107" s="1"/>
      <c r="D107" s="7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x14ac:dyDescent="0.25" r="108" customHeight="1" ht="18.75">
      <c r="A108" s="8">
        <v>107</v>
      </c>
      <c r="B108" s="1"/>
      <c r="C108" s="1"/>
      <c r="D108" s="7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x14ac:dyDescent="0.25" r="109" customHeight="1" ht="18.75">
      <c r="A109" s="8">
        <v>108</v>
      </c>
      <c r="B109" s="1"/>
      <c r="C109" s="1"/>
      <c r="D109" s="7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x14ac:dyDescent="0.25" r="110" customHeight="1" ht="18.75">
      <c r="A110" s="8">
        <v>109</v>
      </c>
      <c r="B110" s="1"/>
      <c r="C110" s="1"/>
      <c r="D110" s="7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x14ac:dyDescent="0.25" r="111" customHeight="1" ht="18.75">
      <c r="A111" s="8">
        <v>110</v>
      </c>
      <c r="B111" s="1"/>
      <c r="C111" s="1"/>
      <c r="D111" s="7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x14ac:dyDescent="0.25" r="112" customHeight="1" ht="18.75">
      <c r="A112" s="8">
        <v>111</v>
      </c>
      <c r="B112" s="1"/>
      <c r="C112" s="1"/>
      <c r="D112" s="7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x14ac:dyDescent="0.25" r="113" customHeight="1" ht="18.75">
      <c r="A113" s="8">
        <v>112</v>
      </c>
      <c r="B113" s="1"/>
      <c r="C113" s="1"/>
      <c r="D113" s="7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x14ac:dyDescent="0.25" r="114" customHeight="1" ht="18.75">
      <c r="A114" s="8">
        <v>113</v>
      </c>
      <c r="B114" s="1"/>
      <c r="C114" s="1"/>
      <c r="D114" s="7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x14ac:dyDescent="0.25" r="115" customHeight="1" ht="18.75">
      <c r="A115" s="8">
        <v>114</v>
      </c>
      <c r="B115" s="1"/>
      <c r="C115" s="1"/>
      <c r="D115" s="7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x14ac:dyDescent="0.25" r="116" customHeight="1" ht="18.75">
      <c r="A116" s="8">
        <v>115</v>
      </c>
      <c r="B116" s="1"/>
      <c r="C116" s="1"/>
      <c r="D116" s="7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x14ac:dyDescent="0.25" r="117" customHeight="1" ht="18.75">
      <c r="A117" s="8">
        <v>116</v>
      </c>
      <c r="B117" s="1"/>
      <c r="C117" s="1"/>
      <c r="D117" s="7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x14ac:dyDescent="0.25" r="118" customHeight="1" ht="18.75">
      <c r="A118" s="8">
        <v>117</v>
      </c>
      <c r="B118" s="1"/>
      <c r="C118" s="1"/>
      <c r="D118" s="7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x14ac:dyDescent="0.25" r="119" customHeight="1" ht="18.75">
      <c r="A119" s="8">
        <v>118</v>
      </c>
      <c r="B119" s="1"/>
      <c r="C119" s="1"/>
      <c r="D119" s="7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x14ac:dyDescent="0.25" r="120" customHeight="1" ht="18.75">
      <c r="A120" s="8">
        <v>119</v>
      </c>
      <c r="B120" s="1"/>
      <c r="C120" s="1"/>
      <c r="D120" s="7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x14ac:dyDescent="0.25" r="121" customHeight="1" ht="18.75">
      <c r="A121" s="8">
        <v>120</v>
      </c>
      <c r="B121" s="1"/>
      <c r="C121" s="1"/>
      <c r="D121" s="7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x14ac:dyDescent="0.25" r="122" customHeight="1" ht="18.75">
      <c r="A122" s="8">
        <v>121</v>
      </c>
      <c r="B122" s="1"/>
      <c r="C122" s="1"/>
      <c r="D122" s="7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x14ac:dyDescent="0.25" r="123" customHeight="1" ht="18.75">
      <c r="A123" s="8">
        <v>122</v>
      </c>
      <c r="B123" s="1"/>
      <c r="C123" s="1"/>
      <c r="D123" s="7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x14ac:dyDescent="0.25" r="124" customHeight="1" ht="18.75">
      <c r="A124" s="8">
        <v>123</v>
      </c>
      <c r="B124" s="1"/>
      <c r="C124" s="1"/>
      <c r="D124" s="7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x14ac:dyDescent="0.25" r="125" customHeight="1" ht="18.75">
      <c r="A125" s="8">
        <v>124</v>
      </c>
      <c r="B125" s="1"/>
      <c r="C125" s="1"/>
      <c r="D125" s="7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x14ac:dyDescent="0.25" r="126" customHeight="1" ht="18.75">
      <c r="A126" s="8">
        <v>125</v>
      </c>
      <c r="B126" s="1"/>
      <c r="C126" s="1"/>
      <c r="D126" s="7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x14ac:dyDescent="0.25" r="127" customHeight="1" ht="18.75">
      <c r="A127" s="8">
        <v>126</v>
      </c>
      <c r="B127" s="1"/>
      <c r="C127" s="1"/>
      <c r="D127" s="7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x14ac:dyDescent="0.25" r="128" customHeight="1" ht="18.75">
      <c r="A128" s="8">
        <v>127</v>
      </c>
      <c r="B128" s="1"/>
      <c r="C128" s="1"/>
      <c r="D128" s="7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x14ac:dyDescent="0.25" r="129" customHeight="1" ht="18.75">
      <c r="A129" s="8">
        <v>128</v>
      </c>
      <c r="B129" s="1"/>
      <c r="C129" s="1"/>
      <c r="D129" s="7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x14ac:dyDescent="0.25" r="130" customHeight="1" ht="18.75">
      <c r="A130" s="8">
        <v>129</v>
      </c>
      <c r="B130" s="1"/>
      <c r="C130" s="1"/>
      <c r="D130" s="7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x14ac:dyDescent="0.25" r="131" customHeight="1" ht="18.75">
      <c r="A131" s="8">
        <v>130</v>
      </c>
      <c r="B131" s="1"/>
      <c r="C131" s="1"/>
      <c r="D131" s="7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x14ac:dyDescent="0.25" r="132" customHeight="1" ht="18.75">
      <c r="A132" s="8">
        <v>131</v>
      </c>
      <c r="B132" s="1"/>
      <c r="C132" s="1"/>
      <c r="D132" s="7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x14ac:dyDescent="0.25" r="133" customHeight="1" ht="18.75">
      <c r="A133" s="8">
        <v>132</v>
      </c>
      <c r="B133" s="1"/>
      <c r="C133" s="1"/>
      <c r="D133" s="7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x14ac:dyDescent="0.25" r="134" customHeight="1" ht="18.75">
      <c r="A134" s="8">
        <v>133</v>
      </c>
      <c r="B134" s="1"/>
      <c r="C134" s="1"/>
      <c r="D134" s="7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x14ac:dyDescent="0.25" r="135" customHeight="1" ht="18.75">
      <c r="A135" s="8">
        <v>134</v>
      </c>
      <c r="B135" s="1"/>
      <c r="C135" s="1"/>
      <c r="D135" s="7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x14ac:dyDescent="0.25" r="136" customHeight="1" ht="18.75">
      <c r="A136" s="8">
        <v>135</v>
      </c>
      <c r="B136" s="1"/>
      <c r="C136" s="1"/>
      <c r="D136" s="7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x14ac:dyDescent="0.25" r="137" customHeight="1" ht="18.75">
      <c r="A137" s="8">
        <v>136</v>
      </c>
      <c r="B137" s="1"/>
      <c r="C137" s="1"/>
      <c r="D137" s="7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x14ac:dyDescent="0.25" r="138" customHeight="1" ht="18.75">
      <c r="A138" s="8">
        <v>137</v>
      </c>
      <c r="B138" s="1"/>
      <c r="C138" s="1"/>
      <c r="D138" s="7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x14ac:dyDescent="0.25" r="139" customHeight="1" ht="18.75">
      <c r="A139" s="8">
        <v>138</v>
      </c>
      <c r="B139" s="1"/>
      <c r="C139" s="1"/>
      <c r="D139" s="7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x14ac:dyDescent="0.25" r="140" customHeight="1" ht="18.75">
      <c r="A140" s="8">
        <v>139</v>
      </c>
      <c r="B140" s="1"/>
      <c r="C140" s="1"/>
      <c r="D140" s="7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x14ac:dyDescent="0.25" r="141" customHeight="1" ht="18.75">
      <c r="A141" s="8">
        <v>140</v>
      </c>
      <c r="B141" s="1"/>
      <c r="C141" s="1"/>
      <c r="D141" s="7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x14ac:dyDescent="0.25" r="142" customHeight="1" ht="18.75">
      <c r="A142" s="8">
        <v>141</v>
      </c>
      <c r="B142" s="1"/>
      <c r="C142" s="1"/>
      <c r="D142" s="7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x14ac:dyDescent="0.25" r="143" customHeight="1" ht="18.75">
      <c r="A143" s="8">
        <v>142</v>
      </c>
      <c r="B143" s="1"/>
      <c r="C143" s="1"/>
      <c r="D143" s="7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x14ac:dyDescent="0.25" r="144" customHeight="1" ht="18.75">
      <c r="A144" s="8">
        <v>143</v>
      </c>
      <c r="B144" s="1"/>
      <c r="C144" s="1"/>
      <c r="D144" s="7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x14ac:dyDescent="0.25" r="145" customHeight="1" ht="18.75">
      <c r="A145" s="8">
        <v>144</v>
      </c>
      <c r="B145" s="1"/>
      <c r="C145" s="1"/>
      <c r="D145" s="7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x14ac:dyDescent="0.25" r="146" customHeight="1" ht="18.75">
      <c r="A146" s="8">
        <v>145</v>
      </c>
      <c r="B146" s="1"/>
      <c r="C146" s="1"/>
      <c r="D146" s="7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x14ac:dyDescent="0.25" r="147" customHeight="1" ht="18.75">
      <c r="A147" s="8">
        <v>146</v>
      </c>
      <c r="B147" s="1"/>
      <c r="C147" s="1"/>
      <c r="D147" s="7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x14ac:dyDescent="0.25" r="148" customHeight="1" ht="18.75">
      <c r="A148" s="8">
        <v>147</v>
      </c>
      <c r="B148" s="1"/>
      <c r="C148" s="1"/>
      <c r="D148" s="7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x14ac:dyDescent="0.25" r="149" customHeight="1" ht="18.75">
      <c r="A149" s="8">
        <v>148</v>
      </c>
      <c r="B149" s="1"/>
      <c r="C149" s="1"/>
      <c r="D149" s="7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x14ac:dyDescent="0.25" r="150" customHeight="1" ht="18.75">
      <c r="A150" s="8">
        <v>149</v>
      </c>
      <c r="B150" s="1"/>
      <c r="C150" s="1"/>
      <c r="D150" s="7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x14ac:dyDescent="0.25" r="151" customHeight="1" ht="18.75">
      <c r="A151" s="8">
        <v>150</v>
      </c>
      <c r="B151" s="1"/>
      <c r="C151" s="1"/>
      <c r="D151" s="7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x14ac:dyDescent="0.25" r="152" customHeight="1" ht="18.75">
      <c r="A152" s="8">
        <v>151</v>
      </c>
      <c r="B152" s="1"/>
      <c r="C152" s="1"/>
      <c r="D152" s="7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x14ac:dyDescent="0.25" r="153" customHeight="1" ht="18.75">
      <c r="A153" s="8">
        <v>152</v>
      </c>
      <c r="B153" s="1"/>
      <c r="C153" s="1"/>
      <c r="D153" s="7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x14ac:dyDescent="0.25" r="154" customHeight="1" ht="18.75">
      <c r="A154" s="8">
        <v>153</v>
      </c>
      <c r="B154" s="1"/>
      <c r="C154" s="1"/>
      <c r="D154" s="7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x14ac:dyDescent="0.25" r="155" customHeight="1" ht="18.75">
      <c r="A155" s="8">
        <v>154</v>
      </c>
      <c r="B155" s="1"/>
      <c r="C155" s="1"/>
      <c r="D155" s="7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x14ac:dyDescent="0.25" r="156" customHeight="1" ht="18.75">
      <c r="A156" s="8">
        <v>155</v>
      </c>
      <c r="B156" s="1"/>
      <c r="C156" s="1"/>
      <c r="D156" s="7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x14ac:dyDescent="0.25" r="157" customHeight="1" ht="18.75">
      <c r="A157" s="8">
        <v>156</v>
      </c>
      <c r="B157" s="1"/>
      <c r="C157" s="1"/>
      <c r="D157" s="7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x14ac:dyDescent="0.25" r="158" customHeight="1" ht="18.75">
      <c r="A158" s="8">
        <v>157</v>
      </c>
      <c r="B158" s="1"/>
      <c r="C158" s="1"/>
      <c r="D158" s="7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x14ac:dyDescent="0.25" r="159" customHeight="1" ht="18.75">
      <c r="A159" s="8">
        <v>158</v>
      </c>
      <c r="B159" s="1"/>
      <c r="C159" s="1"/>
      <c r="D159" s="7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x14ac:dyDescent="0.25" r="160" customHeight="1" ht="18.75">
      <c r="A160" s="8">
        <v>159</v>
      </c>
      <c r="B160" s="1"/>
      <c r="C160" s="1"/>
      <c r="D160" s="7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x14ac:dyDescent="0.25" r="161" customHeight="1" ht="18.75">
      <c r="A161" s="8">
        <v>160</v>
      </c>
      <c r="B161" s="1"/>
      <c r="C161" s="1"/>
      <c r="D161" s="7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x14ac:dyDescent="0.25" r="162" customHeight="1" ht="18.75">
      <c r="A162" s="8">
        <v>161</v>
      </c>
      <c r="B162" s="1"/>
      <c r="C162" s="1"/>
      <c r="D162" s="7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x14ac:dyDescent="0.25" r="163" customHeight="1" ht="18.75">
      <c r="A163" s="8">
        <v>162</v>
      </c>
      <c r="B163" s="1"/>
      <c r="C163" s="1"/>
      <c r="D163" s="7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x14ac:dyDescent="0.25" r="164" customHeight="1" ht="18.75">
      <c r="A164" s="8">
        <v>163</v>
      </c>
      <c r="B164" s="1"/>
      <c r="C164" s="1"/>
      <c r="D164" s="7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x14ac:dyDescent="0.25" r="165" customHeight="1" ht="18.75">
      <c r="A165" s="8">
        <v>164</v>
      </c>
      <c r="B165" s="1"/>
      <c r="C165" s="1"/>
      <c r="D165" s="7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x14ac:dyDescent="0.25" r="166" customHeight="1" ht="18.75">
      <c r="A166" s="8">
        <v>165</v>
      </c>
      <c r="B166" s="1"/>
      <c r="C166" s="1"/>
      <c r="D166" s="7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x14ac:dyDescent="0.25" r="167" customHeight="1" ht="18.75">
      <c r="A167" s="8">
        <v>166</v>
      </c>
      <c r="B167" s="1"/>
      <c r="C167" s="1"/>
      <c r="D167" s="7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x14ac:dyDescent="0.25" r="168" customHeight="1" ht="18.75">
      <c r="A168" s="8">
        <v>167</v>
      </c>
      <c r="B168" s="1"/>
      <c r="C168" s="1"/>
      <c r="D168" s="7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x14ac:dyDescent="0.25" r="169" customHeight="1" ht="18.75">
      <c r="A169" s="8">
        <v>168</v>
      </c>
      <c r="B169" s="1"/>
      <c r="C169" s="1"/>
      <c r="D169" s="7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x14ac:dyDescent="0.25" r="170" customHeight="1" ht="18.75">
      <c r="A170" s="8">
        <v>169</v>
      </c>
      <c r="B170" s="1"/>
      <c r="C170" s="1"/>
      <c r="D170" s="7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x14ac:dyDescent="0.25" r="171" customHeight="1" ht="18.75">
      <c r="A171" s="8">
        <v>170</v>
      </c>
      <c r="B171" s="1"/>
      <c r="C171" s="1"/>
      <c r="D171" s="7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x14ac:dyDescent="0.25" r="172" customHeight="1" ht="18.75">
      <c r="A172" s="8">
        <v>171</v>
      </c>
      <c r="B172" s="1"/>
      <c r="C172" s="1"/>
      <c r="D172" s="7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x14ac:dyDescent="0.25" r="173" customHeight="1" ht="18.75">
      <c r="A173" s="8">
        <v>172</v>
      </c>
      <c r="B173" s="1"/>
      <c r="C173" s="1"/>
      <c r="D173" s="7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x14ac:dyDescent="0.25" r="174" customHeight="1" ht="18.75">
      <c r="A174" s="8">
        <v>173</v>
      </c>
      <c r="B174" s="1"/>
      <c r="C174" s="1"/>
      <c r="D174" s="7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x14ac:dyDescent="0.25" r="175" customHeight="1" ht="18.75">
      <c r="A175" s="8">
        <v>174</v>
      </c>
      <c r="B175" s="1"/>
      <c r="C175" s="1"/>
      <c r="D175" s="7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x14ac:dyDescent="0.25" r="176" customHeight="1" ht="18.75">
      <c r="A176" s="8">
        <v>175</v>
      </c>
      <c r="B176" s="1"/>
      <c r="C176" s="1"/>
      <c r="D176" s="7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x14ac:dyDescent="0.25" r="177" customHeight="1" ht="18.75">
      <c r="A177" s="8">
        <v>176</v>
      </c>
      <c r="B177" s="1"/>
      <c r="C177" s="1"/>
      <c r="D177" s="7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x14ac:dyDescent="0.25" r="178" customHeight="1" ht="18.75">
      <c r="A178" s="8">
        <v>177</v>
      </c>
      <c r="B178" s="1"/>
      <c r="C178" s="1"/>
      <c r="D178" s="7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x14ac:dyDescent="0.25" r="179" customHeight="1" ht="18.75">
      <c r="A179" s="8">
        <v>178</v>
      </c>
      <c r="B179" s="1"/>
      <c r="C179" s="1"/>
      <c r="D179" s="7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x14ac:dyDescent="0.25" r="180" customHeight="1" ht="18.75">
      <c r="A180" s="8">
        <v>179</v>
      </c>
      <c r="B180" s="1"/>
      <c r="C180" s="1"/>
      <c r="D180" s="7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x14ac:dyDescent="0.25" r="181" customHeight="1" ht="18.75">
      <c r="A181" s="8">
        <v>180</v>
      </c>
      <c r="B181" s="1"/>
      <c r="C181" s="1"/>
      <c r="D181" s="7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x14ac:dyDescent="0.25" r="182" customHeight="1" ht="18.75">
      <c r="A182" s="8">
        <v>181</v>
      </c>
      <c r="B182" s="1"/>
      <c r="C182" s="1"/>
      <c r="D182" s="7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x14ac:dyDescent="0.25" r="183" customHeight="1" ht="18.75">
      <c r="A183" s="8">
        <v>182</v>
      </c>
      <c r="B183" s="1"/>
      <c r="C183" s="1"/>
      <c r="D183" s="7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x14ac:dyDescent="0.25" r="184" customHeight="1" ht="18.75">
      <c r="A184" s="8">
        <v>183</v>
      </c>
      <c r="B184" s="1"/>
      <c r="C184" s="1"/>
      <c r="D184" s="7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x14ac:dyDescent="0.25" r="185" customHeight="1" ht="18.75">
      <c r="A185" s="8">
        <v>184</v>
      </c>
      <c r="B185" s="1"/>
      <c r="C185" s="1"/>
      <c r="D185" s="7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x14ac:dyDescent="0.25" r="186" customHeight="1" ht="18.75">
      <c r="A186" s="8">
        <v>185</v>
      </c>
      <c r="B186" s="1"/>
      <c r="C186" s="1"/>
      <c r="D186" s="7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x14ac:dyDescent="0.25" r="187" customHeight="1" ht="18.75">
      <c r="A187" s="8">
        <v>186</v>
      </c>
      <c r="B187" s="1"/>
      <c r="C187" s="1"/>
      <c r="D187" s="7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x14ac:dyDescent="0.25" r="188" customHeight="1" ht="18.75">
      <c r="A188" s="8">
        <v>187</v>
      </c>
      <c r="B188" s="1"/>
      <c r="C188" s="1"/>
      <c r="D188" s="7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x14ac:dyDescent="0.25" r="189" customHeight="1" ht="18.75">
      <c r="A189" s="8">
        <v>188</v>
      </c>
      <c r="B189" s="1"/>
      <c r="C189" s="1"/>
      <c r="D189" s="7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x14ac:dyDescent="0.25" r="190" customHeight="1" ht="18.75">
      <c r="A190" s="8">
        <v>189</v>
      </c>
      <c r="B190" s="1"/>
      <c r="C190" s="1"/>
      <c r="D190" s="7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x14ac:dyDescent="0.25" r="191" customHeight="1" ht="18.75">
      <c r="A191" s="8">
        <v>190</v>
      </c>
      <c r="B191" s="1"/>
      <c r="C191" s="1"/>
      <c r="D191" s="7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x14ac:dyDescent="0.25" r="192" customHeight="1" ht="18.75">
      <c r="A192" s="8">
        <v>191</v>
      </c>
      <c r="B192" s="1"/>
      <c r="C192" s="1"/>
      <c r="D192" s="7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x14ac:dyDescent="0.25" r="193" customHeight="1" ht="18.75">
      <c r="A193" s="8">
        <v>192</v>
      </c>
      <c r="B193" s="1"/>
      <c r="C193" s="1"/>
      <c r="D193" s="7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x14ac:dyDescent="0.25" r="194" customHeight="1" ht="18.75">
      <c r="A194" s="8">
        <v>193</v>
      </c>
      <c r="B194" s="1"/>
      <c r="C194" s="1"/>
      <c r="D194" s="7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x14ac:dyDescent="0.25" r="195" customHeight="1" ht="18.75">
      <c r="A195" s="8">
        <v>194</v>
      </c>
      <c r="B195" s="1"/>
      <c r="C195" s="1"/>
      <c r="D195" s="7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x14ac:dyDescent="0.25" r="196" customHeight="1" ht="18.75">
      <c r="A196" s="8">
        <v>195</v>
      </c>
      <c r="B196" s="1"/>
      <c r="C196" s="1"/>
      <c r="D196" s="7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x14ac:dyDescent="0.25" r="197" customHeight="1" ht="18.75">
      <c r="A197" s="8">
        <v>196</v>
      </c>
      <c r="B197" s="1"/>
      <c r="C197" s="1"/>
      <c r="D197" s="7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x14ac:dyDescent="0.25" r="198" customHeight="1" ht="18.75">
      <c r="A198" s="8">
        <v>197</v>
      </c>
      <c r="B198" s="1"/>
      <c r="C198" s="1"/>
      <c r="D198" s="7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x14ac:dyDescent="0.25" r="199" customHeight="1" ht="18.75">
      <c r="A199" s="8">
        <v>198</v>
      </c>
      <c r="B199" s="1"/>
      <c r="C199" s="1"/>
      <c r="D199" s="7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x14ac:dyDescent="0.25" r="200" customHeight="1" ht="18.75">
      <c r="A200" s="8">
        <v>199</v>
      </c>
      <c r="B200" s="1"/>
      <c r="C200" s="1"/>
      <c r="D200" s="7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x14ac:dyDescent="0.25" r="201" customHeight="1" ht="18.75">
      <c r="A201" s="8">
        <v>200</v>
      </c>
      <c r="B201" s="1"/>
      <c r="C201" s="1"/>
      <c r="D201" s="7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x14ac:dyDescent="0.25" r="202" customHeight="1" ht="18.75">
      <c r="A202" s="8">
        <v>201</v>
      </c>
      <c r="B202" s="1"/>
      <c r="C202" s="1"/>
      <c r="D202" s="7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x14ac:dyDescent="0.25" r="203" customHeight="1" ht="18.75">
      <c r="A203" s="8">
        <v>202</v>
      </c>
      <c r="B203" s="1"/>
      <c r="C203" s="1"/>
      <c r="D203" s="7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x14ac:dyDescent="0.25" r="204" customHeight="1" ht="18.75">
      <c r="A204" s="8">
        <v>203</v>
      </c>
      <c r="B204" s="1"/>
      <c r="C204" s="1"/>
      <c r="D204" s="7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x14ac:dyDescent="0.25" r="205" customHeight="1" ht="18.75">
      <c r="A205" s="8">
        <v>204</v>
      </c>
      <c r="B205" s="1"/>
      <c r="C205" s="1"/>
      <c r="D205" s="7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x14ac:dyDescent="0.25" r="206" customHeight="1" ht="18.75">
      <c r="A206" s="8">
        <v>205</v>
      </c>
      <c r="B206" s="1"/>
      <c r="C206" s="1"/>
      <c r="D206" s="7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x14ac:dyDescent="0.25" r="207" customHeight="1" ht="18.75">
      <c r="A207" s="8">
        <v>206</v>
      </c>
      <c r="B207" s="1"/>
      <c r="C207" s="1"/>
      <c r="D207" s="7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x14ac:dyDescent="0.25" r="208" customHeight="1" ht="18.75">
      <c r="A208" s="8">
        <v>207</v>
      </c>
      <c r="B208" s="1"/>
      <c r="C208" s="1"/>
      <c r="D208" s="7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x14ac:dyDescent="0.25" r="209" customHeight="1" ht="18.75">
      <c r="A209" s="8">
        <v>208</v>
      </c>
      <c r="B209" s="1"/>
      <c r="C209" s="1"/>
      <c r="D209" s="7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x14ac:dyDescent="0.25" r="210" customHeight="1" ht="18.75">
      <c r="A210" s="8">
        <v>209</v>
      </c>
      <c r="B210" s="1"/>
      <c r="C210" s="1"/>
      <c r="D210" s="7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x14ac:dyDescent="0.25" r="211" customHeight="1" ht="18.75">
      <c r="A211" s="8">
        <v>210</v>
      </c>
      <c r="B211" s="1"/>
      <c r="C211" s="1"/>
      <c r="D211" s="7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x14ac:dyDescent="0.25" r="212" customHeight="1" ht="18.75">
      <c r="A212" s="8">
        <v>211</v>
      </c>
      <c r="B212" s="1"/>
      <c r="C212" s="1"/>
      <c r="D212" s="7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x14ac:dyDescent="0.25" r="213" customHeight="1" ht="18.75">
      <c r="A213" s="8">
        <v>212</v>
      </c>
      <c r="B213" s="1"/>
      <c r="C213" s="1"/>
      <c r="D213" s="7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x14ac:dyDescent="0.25" r="214" customHeight="1" ht="18.75">
      <c r="A214" s="8">
        <v>213</v>
      </c>
      <c r="B214" s="1"/>
      <c r="C214" s="1"/>
      <c r="D214" s="7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x14ac:dyDescent="0.25" r="215" customHeight="1" ht="18.75">
      <c r="A215" s="8">
        <v>214</v>
      </c>
      <c r="B215" s="1"/>
      <c r="C215" s="1"/>
      <c r="D215" s="7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x14ac:dyDescent="0.25" r="216" customHeight="1" ht="18.75">
      <c r="A216" s="8">
        <v>215</v>
      </c>
      <c r="B216" s="1"/>
      <c r="C216" s="1"/>
      <c r="D216" s="7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x14ac:dyDescent="0.25" r="217" customHeight="1" ht="18.75">
      <c r="A217" s="8">
        <v>216</v>
      </c>
      <c r="B217" s="1"/>
      <c r="C217" s="1"/>
      <c r="D217" s="7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x14ac:dyDescent="0.25" r="218" customHeight="1" ht="18.75">
      <c r="A218" s="8">
        <v>217</v>
      </c>
      <c r="B218" s="1"/>
      <c r="C218" s="1"/>
      <c r="D218" s="7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x14ac:dyDescent="0.25" r="219" customHeight="1" ht="18.75">
      <c r="A219" s="8">
        <v>218</v>
      </c>
      <c r="B219" s="1"/>
      <c r="C219" s="1"/>
      <c r="D219" s="7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x14ac:dyDescent="0.25" r="220" customHeight="1" ht="18.75">
      <c r="A220" s="8">
        <v>219</v>
      </c>
      <c r="B220" s="1"/>
      <c r="C220" s="1"/>
      <c r="D220" s="7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x14ac:dyDescent="0.25" r="221" customHeight="1" ht="18.75">
      <c r="A221" s="8">
        <v>220</v>
      </c>
      <c r="B221" s="1"/>
      <c r="C221" s="1"/>
      <c r="D221" s="7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x14ac:dyDescent="0.25" r="222" customHeight="1" ht="18.75">
      <c r="A222" s="8">
        <v>221</v>
      </c>
      <c r="B222" s="1"/>
      <c r="C222" s="1"/>
      <c r="D222" s="7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x14ac:dyDescent="0.25" r="223" customHeight="1" ht="18.75">
      <c r="A223" s="8">
        <v>222</v>
      </c>
      <c r="B223" s="1"/>
      <c r="C223" s="1"/>
      <c r="D223" s="7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x14ac:dyDescent="0.25" r="224" customHeight="1" ht="18.75">
      <c r="A224" s="8">
        <v>223</v>
      </c>
      <c r="B224" s="1"/>
      <c r="C224" s="1"/>
      <c r="D224" s="7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x14ac:dyDescent="0.25" r="225" customHeight="1" ht="18.75">
      <c r="A225" s="8">
        <v>224</v>
      </c>
      <c r="B225" s="1"/>
      <c r="C225" s="1"/>
      <c r="D225" s="7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x14ac:dyDescent="0.25" r="226" customHeight="1" ht="18.75">
      <c r="A226" s="8">
        <v>225</v>
      </c>
      <c r="B226" s="1"/>
      <c r="C226" s="1"/>
      <c r="D226" s="7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x14ac:dyDescent="0.25" r="227" customHeight="1" ht="18.75">
      <c r="A227" s="8">
        <v>226</v>
      </c>
      <c r="B227" s="1"/>
      <c r="C227" s="1"/>
      <c r="D227" s="7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x14ac:dyDescent="0.25" r="228" customHeight="1" ht="18.75">
      <c r="A228" s="8">
        <v>227</v>
      </c>
      <c r="B228" s="1"/>
      <c r="C228" s="1"/>
      <c r="D228" s="7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x14ac:dyDescent="0.25" r="229" customHeight="1" ht="18.75">
      <c r="A229" s="8">
        <v>228</v>
      </c>
      <c r="B229" s="1"/>
      <c r="C229" s="1"/>
      <c r="D229" s="7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x14ac:dyDescent="0.25" r="230" customHeight="1" ht="18.75">
      <c r="A230" s="8">
        <v>229</v>
      </c>
      <c r="B230" s="1"/>
      <c r="C230" s="1"/>
      <c r="D230" s="7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x14ac:dyDescent="0.25" r="231" customHeight="1" ht="18.75">
      <c r="A231" s="8">
        <v>230</v>
      </c>
      <c r="B231" s="1"/>
      <c r="C231" s="1"/>
      <c r="D231" s="7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x14ac:dyDescent="0.25" r="232" customHeight="1" ht="18.75">
      <c r="A232" s="8">
        <v>231</v>
      </c>
      <c r="B232" s="1"/>
      <c r="C232" s="1"/>
      <c r="D232" s="7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x14ac:dyDescent="0.25" r="233" customHeight="1" ht="18.75">
      <c r="A233" s="8">
        <v>232</v>
      </c>
      <c r="B233" s="1"/>
      <c r="C233" s="1"/>
      <c r="D233" s="7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x14ac:dyDescent="0.25" r="234" customHeight="1" ht="18.75">
      <c r="A234" s="8">
        <v>233</v>
      </c>
      <c r="B234" s="1"/>
      <c r="C234" s="1"/>
      <c r="D234" s="7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x14ac:dyDescent="0.25" r="235" customHeight="1" ht="18.75">
      <c r="A235" s="8">
        <v>234</v>
      </c>
      <c r="B235" s="1"/>
      <c r="C235" s="1"/>
      <c r="D235" s="7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x14ac:dyDescent="0.25" r="236" customHeight="1" ht="18.75">
      <c r="A236" s="8">
        <v>235</v>
      </c>
      <c r="B236" s="1"/>
      <c r="C236" s="1"/>
      <c r="D236" s="7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x14ac:dyDescent="0.25" r="237" customHeight="1" ht="18.75">
      <c r="A237" s="8">
        <v>236</v>
      </c>
      <c r="B237" s="1"/>
      <c r="C237" s="1"/>
      <c r="D237" s="7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x14ac:dyDescent="0.25" r="238" customHeight="1" ht="18.75">
      <c r="A238" s="8">
        <v>237</v>
      </c>
      <c r="B238" s="1"/>
      <c r="C238" s="1"/>
      <c r="D238" s="7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x14ac:dyDescent="0.25" r="239" customHeight="1" ht="18.75">
      <c r="A239" s="8">
        <v>238</v>
      </c>
      <c r="B239" s="1"/>
      <c r="C239" s="1"/>
      <c r="D239" s="7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x14ac:dyDescent="0.25" r="240" customHeight="1" ht="18.75">
      <c r="A240" s="8">
        <v>239</v>
      </c>
      <c r="B240" s="1"/>
      <c r="C240" s="1"/>
      <c r="D240" s="7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x14ac:dyDescent="0.25" r="241" customHeight="1" ht="18.75">
      <c r="A241" s="8">
        <v>240</v>
      </c>
      <c r="B241" s="1"/>
      <c r="C241" s="1"/>
      <c r="D241" s="7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x14ac:dyDescent="0.25" r="242" customHeight="1" ht="18.75">
      <c r="A242" s="8">
        <v>241</v>
      </c>
      <c r="B242" s="1"/>
      <c r="C242" s="1"/>
      <c r="D242" s="7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x14ac:dyDescent="0.25" r="243" customHeight="1" ht="18.75">
      <c r="A243" s="8">
        <v>242</v>
      </c>
      <c r="B243" s="1"/>
      <c r="C243" s="1"/>
      <c r="D243" s="7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x14ac:dyDescent="0.25" r="244" customHeight="1" ht="18.75">
      <c r="A244" s="8">
        <v>243</v>
      </c>
      <c r="B244" s="1"/>
      <c r="C244" s="1"/>
      <c r="D244" s="7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x14ac:dyDescent="0.25" r="245" customHeight="1" ht="18.75">
      <c r="A245" s="8">
        <v>244</v>
      </c>
      <c r="B245" s="1"/>
      <c r="C245" s="1"/>
      <c r="D245" s="7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x14ac:dyDescent="0.25" r="246" customHeight="1" ht="18.75">
      <c r="A246" s="8">
        <v>245</v>
      </c>
      <c r="B246" s="1"/>
      <c r="C246" s="1"/>
      <c r="D246" s="7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x14ac:dyDescent="0.25" r="247" customHeight="1" ht="18.75">
      <c r="A247" s="8">
        <v>246</v>
      </c>
      <c r="B247" s="1"/>
      <c r="C247" s="1"/>
      <c r="D247" s="7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x14ac:dyDescent="0.25" r="248" customHeight="1" ht="18.75">
      <c r="A248" s="8">
        <v>247</v>
      </c>
      <c r="B248" s="1"/>
      <c r="C248" s="1"/>
      <c r="D248" s="7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x14ac:dyDescent="0.25" r="249" customHeight="1" ht="18.75">
      <c r="A249" s="8">
        <v>248</v>
      </c>
      <c r="B249" s="1"/>
      <c r="C249" s="1"/>
      <c r="D249" s="7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x14ac:dyDescent="0.25" r="250" customHeight="1" ht="18.75">
      <c r="A250" s="8">
        <v>249</v>
      </c>
      <c r="B250" s="1"/>
      <c r="C250" s="1"/>
      <c r="D250" s="7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x14ac:dyDescent="0.25" r="251" customHeight="1" ht="18.75">
      <c r="A251" s="8">
        <v>250</v>
      </c>
      <c r="B251" s="1"/>
      <c r="C251" s="1"/>
      <c r="D251" s="7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x14ac:dyDescent="0.25" r="252" customHeight="1" ht="18.75">
      <c r="A252" s="8">
        <v>251</v>
      </c>
      <c r="B252" s="1"/>
      <c r="C252" s="1"/>
      <c r="D252" s="7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x14ac:dyDescent="0.25" r="253" customHeight="1" ht="18.75">
      <c r="A253" s="8">
        <v>252</v>
      </c>
      <c r="B253" s="1"/>
      <c r="C253" s="1"/>
      <c r="D253" s="7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x14ac:dyDescent="0.25" r="254" customHeight="1" ht="18.75">
      <c r="A254" s="8">
        <v>253</v>
      </c>
      <c r="B254" s="1"/>
      <c r="C254" s="1"/>
      <c r="D254" s="7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x14ac:dyDescent="0.25" r="255" customHeight="1" ht="18.75">
      <c r="A255" s="8">
        <v>254</v>
      </c>
      <c r="B255" s="1"/>
      <c r="C255" s="1"/>
      <c r="D255" s="7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x14ac:dyDescent="0.25" r="256" customHeight="1" ht="18.75">
      <c r="A256" s="8">
        <v>255</v>
      </c>
      <c r="B256" s="1"/>
      <c r="C256" s="1"/>
      <c r="D256" s="7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x14ac:dyDescent="0.25" r="257" customHeight="1" ht="18.75">
      <c r="A257" s="8">
        <v>256</v>
      </c>
      <c r="B257" s="1"/>
      <c r="C257" s="1"/>
      <c r="D257" s="7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x14ac:dyDescent="0.25" r="258" customHeight="1" ht="18.75">
      <c r="A258" s="8">
        <v>257</v>
      </c>
      <c r="B258" s="1"/>
      <c r="C258" s="1"/>
      <c r="D258" s="7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x14ac:dyDescent="0.25" r="259" customHeight="1" ht="18.75">
      <c r="A259" s="8">
        <v>258</v>
      </c>
      <c r="B259" s="1"/>
      <c r="C259" s="1"/>
      <c r="D259" s="7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x14ac:dyDescent="0.25" r="260" customHeight="1" ht="18.75">
      <c r="A260" s="8">
        <v>259</v>
      </c>
      <c r="B260" s="1"/>
      <c r="C260" s="1"/>
      <c r="D260" s="7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x14ac:dyDescent="0.25" r="261" customHeight="1" ht="18.75">
      <c r="A261" s="8">
        <v>260</v>
      </c>
      <c r="B261" s="1"/>
      <c r="C261" s="1"/>
      <c r="D261" s="7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x14ac:dyDescent="0.25" r="262" customHeight="1" ht="18.75">
      <c r="A262" s="8">
        <v>261</v>
      </c>
      <c r="B262" s="1"/>
      <c r="C262" s="1"/>
      <c r="D262" s="7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x14ac:dyDescent="0.25" r="263" customHeight="1" ht="18.75">
      <c r="A263" s="8">
        <v>262</v>
      </c>
      <c r="B263" s="1"/>
      <c r="C263" s="1"/>
      <c r="D263" s="7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x14ac:dyDescent="0.25" r="264" customHeight="1" ht="18.75">
      <c r="A264" s="8">
        <v>263</v>
      </c>
      <c r="B264" s="1"/>
      <c r="C264" s="1"/>
      <c r="D264" s="7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x14ac:dyDescent="0.25" r="265" customHeight="1" ht="18.75">
      <c r="A265" s="8">
        <v>264</v>
      </c>
      <c r="B265" s="1"/>
      <c r="C265" s="1"/>
      <c r="D265" s="7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x14ac:dyDescent="0.25" r="266" customHeight="1" ht="18.75">
      <c r="A266" s="8">
        <v>265</v>
      </c>
      <c r="B266" s="1"/>
      <c r="C266" s="1"/>
      <c r="D266" s="7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x14ac:dyDescent="0.25" r="267" customHeight="1" ht="18.75">
      <c r="A267" s="8">
        <v>266</v>
      </c>
      <c r="B267" s="1"/>
      <c r="C267" s="1"/>
      <c r="D267" s="7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x14ac:dyDescent="0.25" r="268" customHeight="1" ht="18.75">
      <c r="A268" s="8">
        <v>267</v>
      </c>
      <c r="B268" s="1"/>
      <c r="C268" s="1"/>
      <c r="D268" s="7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x14ac:dyDescent="0.25" r="269" customHeight="1" ht="18.75">
      <c r="A269" s="8">
        <v>268</v>
      </c>
      <c r="B269" s="1"/>
      <c r="C269" s="1"/>
      <c r="D269" s="7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x14ac:dyDescent="0.25" r="270" customHeight="1" ht="18.75">
      <c r="A270" s="8">
        <v>269</v>
      </c>
      <c r="B270" s="1"/>
      <c r="C270" s="1"/>
      <c r="D270" s="7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x14ac:dyDescent="0.25" r="271" customHeight="1" ht="18.75">
      <c r="A271" s="8">
        <v>270</v>
      </c>
      <c r="B271" s="1"/>
      <c r="C271" s="1"/>
      <c r="D271" s="7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x14ac:dyDescent="0.25" r="272" customHeight="1" ht="18.75">
      <c r="A272" s="8">
        <v>271</v>
      </c>
      <c r="B272" s="1"/>
      <c r="C272" s="1"/>
      <c r="D272" s="7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x14ac:dyDescent="0.25" r="273" customHeight="1" ht="18.75">
      <c r="A273" s="8">
        <v>272</v>
      </c>
      <c r="B273" s="1"/>
      <c r="C273" s="1"/>
      <c r="D273" s="7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x14ac:dyDescent="0.25" r="274" customHeight="1" ht="18.75">
      <c r="A274" s="8">
        <v>273</v>
      </c>
      <c r="B274" s="1"/>
      <c r="C274" s="1"/>
      <c r="D274" s="7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x14ac:dyDescent="0.25" r="275" customHeight="1" ht="18.75">
      <c r="A275" s="8">
        <v>274</v>
      </c>
      <c r="B275" s="1"/>
      <c r="C275" s="1"/>
      <c r="D275" s="7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x14ac:dyDescent="0.25" r="276" customHeight="1" ht="18.75">
      <c r="A276" s="8">
        <v>275</v>
      </c>
      <c r="B276" s="1"/>
      <c r="C276" s="1"/>
      <c r="D276" s="7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x14ac:dyDescent="0.25" r="277" customHeight="1" ht="18.75">
      <c r="A277" s="8">
        <v>276</v>
      </c>
      <c r="B277" s="1"/>
      <c r="C277" s="1"/>
      <c r="D277" s="7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x14ac:dyDescent="0.25" r="278" customHeight="1" ht="18.75">
      <c r="A278" s="8">
        <v>277</v>
      </c>
      <c r="B278" s="1"/>
      <c r="C278" s="1"/>
      <c r="D278" s="7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x14ac:dyDescent="0.25" r="279" customHeight="1" ht="18.75">
      <c r="A279" s="8">
        <v>278</v>
      </c>
      <c r="B279" s="1"/>
      <c r="C279" s="1"/>
      <c r="D279" s="7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x14ac:dyDescent="0.25" r="280" customHeight="1" ht="18.75">
      <c r="A280" s="8">
        <v>279</v>
      </c>
      <c r="B280" s="1"/>
      <c r="C280" s="1"/>
      <c r="D280" s="7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x14ac:dyDescent="0.25" r="281" customHeight="1" ht="18.75">
      <c r="A281" s="8">
        <v>280</v>
      </c>
      <c r="B281" s="1"/>
      <c r="C281" s="1"/>
      <c r="D281" s="7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x14ac:dyDescent="0.25" r="282" customHeight="1" ht="18.75">
      <c r="A282" s="8">
        <v>281</v>
      </c>
      <c r="B282" s="1"/>
      <c r="C282" s="1"/>
      <c r="D282" s="7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x14ac:dyDescent="0.25" r="283" customHeight="1" ht="18.75">
      <c r="A283" s="8">
        <v>282</v>
      </c>
      <c r="B283" s="1"/>
      <c r="C283" s="1"/>
      <c r="D283" s="7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x14ac:dyDescent="0.25" r="284" customHeight="1" ht="18.75">
      <c r="A284" s="8">
        <v>283</v>
      </c>
      <c r="B284" s="1"/>
      <c r="C284" s="1"/>
      <c r="D284" s="7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x14ac:dyDescent="0.25" r="285" customHeight="1" ht="18.75">
      <c r="A285" s="8">
        <v>284</v>
      </c>
      <c r="B285" s="1"/>
      <c r="C285" s="1"/>
      <c r="D285" s="7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x14ac:dyDescent="0.25" r="286" customHeight="1" ht="18.75">
      <c r="A286" s="8">
        <v>285</v>
      </c>
      <c r="B286" s="1"/>
      <c r="C286" s="1"/>
      <c r="D286" s="7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x14ac:dyDescent="0.25" r="287" customHeight="1" ht="18.75">
      <c r="A287" s="8">
        <v>286</v>
      </c>
      <c r="B287" s="1"/>
      <c r="C287" s="1"/>
      <c r="D287" s="7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x14ac:dyDescent="0.25" r="288" customHeight="1" ht="18.75">
      <c r="A288" s="8">
        <v>287</v>
      </c>
      <c r="B288" s="1"/>
      <c r="C288" s="1"/>
      <c r="D288" s="7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x14ac:dyDescent="0.25" r="289" customHeight="1" ht="18.75">
      <c r="A289" s="8">
        <v>288</v>
      </c>
      <c r="B289" s="1"/>
      <c r="C289" s="1"/>
      <c r="D289" s="7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x14ac:dyDescent="0.25" r="290" customHeight="1" ht="18.75">
      <c r="A290" s="8">
        <v>289</v>
      </c>
      <c r="B290" s="1"/>
      <c r="C290" s="1"/>
      <c r="D290" s="7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x14ac:dyDescent="0.25" r="291" customHeight="1" ht="18.75">
      <c r="A291" s="8">
        <v>290</v>
      </c>
      <c r="B291" s="1"/>
      <c r="C291" s="1"/>
      <c r="D291" s="7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x14ac:dyDescent="0.25" r="292" customHeight="1" ht="18.75">
      <c r="A292" s="8">
        <v>291</v>
      </c>
      <c r="B292" s="1"/>
      <c r="C292" s="1"/>
      <c r="D292" s="7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x14ac:dyDescent="0.25" r="293" customHeight="1" ht="18.75">
      <c r="A293" s="8">
        <v>292</v>
      </c>
      <c r="B293" s="1"/>
      <c r="C293" s="1"/>
      <c r="D293" s="7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x14ac:dyDescent="0.25" r="294" customHeight="1" ht="18.75">
      <c r="A294" s="8">
        <v>293</v>
      </c>
      <c r="B294" s="1"/>
      <c r="C294" s="1"/>
      <c r="D294" s="7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x14ac:dyDescent="0.25" r="295" customHeight="1" ht="18.75">
      <c r="A295" s="8">
        <v>294</v>
      </c>
      <c r="B295" s="1"/>
      <c r="C295" s="1"/>
      <c r="D295" s="7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x14ac:dyDescent="0.25" r="296" customHeight="1" ht="18.75">
      <c r="A296" s="8">
        <v>295</v>
      </c>
      <c r="B296" s="1"/>
      <c r="C296" s="1"/>
      <c r="D296" s="7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x14ac:dyDescent="0.25" r="297" customHeight="1" ht="18.75">
      <c r="A297" s="8">
        <v>296</v>
      </c>
      <c r="B297" s="1"/>
      <c r="C297" s="1"/>
      <c r="D297" s="7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x14ac:dyDescent="0.25" r="298" customHeight="1" ht="18.75">
      <c r="A298" s="8">
        <v>297</v>
      </c>
      <c r="B298" s="1"/>
      <c r="C298" s="1"/>
      <c r="D298" s="7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x14ac:dyDescent="0.25" r="299" customHeight="1" ht="18.75">
      <c r="A299" s="8">
        <v>298</v>
      </c>
      <c r="B299" s="1"/>
      <c r="C299" s="1"/>
      <c r="D299" s="7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x14ac:dyDescent="0.25" r="300" customHeight="1" ht="18.75">
      <c r="A300" s="8">
        <v>299</v>
      </c>
      <c r="B300" s="1"/>
      <c r="C300" s="1"/>
      <c r="D300" s="7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x14ac:dyDescent="0.25" r="301" customHeight="1" ht="18.75">
      <c r="A301" s="8">
        <v>300</v>
      </c>
      <c r="B301" s="1"/>
      <c r="C301" s="1"/>
      <c r="D301" s="7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x14ac:dyDescent="0.25" r="302" customHeight="1" ht="18.75">
      <c r="A302" s="8">
        <v>301</v>
      </c>
      <c r="B302" s="1"/>
      <c r="C302" s="1"/>
      <c r="D302" s="7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x14ac:dyDescent="0.25" r="303" customHeight="1" ht="18.75">
      <c r="A303" s="8">
        <v>302</v>
      </c>
      <c r="B303" s="1"/>
      <c r="C303" s="1"/>
      <c r="D303" s="7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x14ac:dyDescent="0.25" r="304" customHeight="1" ht="18.75">
      <c r="A304" s="8">
        <v>303</v>
      </c>
      <c r="B304" s="1"/>
      <c r="C304" s="1"/>
      <c r="D304" s="7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x14ac:dyDescent="0.25" r="305" customHeight="1" ht="18.75">
      <c r="A305" s="8">
        <v>304</v>
      </c>
      <c r="B305" s="1"/>
      <c r="C305" s="1"/>
      <c r="D305" s="7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x14ac:dyDescent="0.25" r="306" customHeight="1" ht="18.75">
      <c r="A306" s="8">
        <v>305</v>
      </c>
      <c r="B306" s="1"/>
      <c r="C306" s="1"/>
      <c r="D306" s="7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x14ac:dyDescent="0.25" r="307" customHeight="1" ht="18.75">
      <c r="A307" s="8">
        <v>306</v>
      </c>
      <c r="B307" s="1"/>
      <c r="C307" s="1"/>
      <c r="D307" s="7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x14ac:dyDescent="0.25" r="308" customHeight="1" ht="18.75">
      <c r="A308" s="8">
        <v>307</v>
      </c>
      <c r="B308" s="1"/>
      <c r="C308" s="1"/>
      <c r="D308" s="7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x14ac:dyDescent="0.25" r="309" customHeight="1" ht="18.75">
      <c r="A309" s="8">
        <v>308</v>
      </c>
      <c r="B309" s="1"/>
      <c r="C309" s="1"/>
      <c r="D309" s="7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x14ac:dyDescent="0.25" r="310" customHeight="1" ht="18.75">
      <c r="A310" s="8">
        <v>309</v>
      </c>
      <c r="B310" s="1"/>
      <c r="C310" s="1"/>
      <c r="D310" s="7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x14ac:dyDescent="0.25" r="311" customHeight="1" ht="18.75">
      <c r="A311" s="8">
        <v>310</v>
      </c>
      <c r="B311" s="1"/>
      <c r="C311" s="1"/>
      <c r="D311" s="7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x14ac:dyDescent="0.25" r="312" customHeight="1" ht="18.75">
      <c r="A312" s="8">
        <v>311</v>
      </c>
      <c r="B312" s="1"/>
      <c r="C312" s="1"/>
      <c r="D312" s="7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x14ac:dyDescent="0.25" r="313" customHeight="1" ht="18.75">
      <c r="A313" s="8">
        <v>312</v>
      </c>
      <c r="B313" s="1"/>
      <c r="C313" s="1"/>
      <c r="D313" s="7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x14ac:dyDescent="0.25" r="314" customHeight="1" ht="18.75">
      <c r="A314" s="8">
        <v>313</v>
      </c>
      <c r="B314" s="1"/>
      <c r="C314" s="1"/>
      <c r="D314" s="7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x14ac:dyDescent="0.25" r="315" customHeight="1" ht="18.75">
      <c r="A315" s="8">
        <v>314</v>
      </c>
      <c r="B315" s="1"/>
      <c r="C315" s="1"/>
      <c r="D315" s="7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x14ac:dyDescent="0.25" r="316" customHeight="1" ht="18.75">
      <c r="A316" s="8">
        <v>315</v>
      </c>
      <c r="B316" s="1"/>
      <c r="C316" s="1"/>
      <c r="D316" s="7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x14ac:dyDescent="0.25" r="317" customHeight="1" ht="18.75">
      <c r="A317" s="8">
        <v>316</v>
      </c>
      <c r="B317" s="1"/>
      <c r="C317" s="1"/>
      <c r="D317" s="7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x14ac:dyDescent="0.25" r="318" customHeight="1" ht="18.75">
      <c r="A318" s="8">
        <v>317</v>
      </c>
      <c r="B318" s="1"/>
      <c r="C318" s="1"/>
      <c r="D318" s="7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x14ac:dyDescent="0.25" r="319" customHeight="1" ht="18.75">
      <c r="A319" s="8">
        <v>318</v>
      </c>
      <c r="B319" s="1"/>
      <c r="C319" s="1"/>
      <c r="D319" s="7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x14ac:dyDescent="0.25" r="320" customHeight="1" ht="18.75">
      <c r="A320" s="8">
        <v>319</v>
      </c>
      <c r="B320" s="1"/>
      <c r="C320" s="1"/>
      <c r="D320" s="7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x14ac:dyDescent="0.25" r="321" customHeight="1" ht="18.75">
      <c r="A321" s="8">
        <v>320</v>
      </c>
      <c r="B321" s="1"/>
      <c r="C321" s="1"/>
      <c r="D321" s="7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x14ac:dyDescent="0.25" r="322" customHeight="1" ht="18.75">
      <c r="A322" s="8">
        <v>321</v>
      </c>
      <c r="B322" s="1"/>
      <c r="C322" s="1"/>
      <c r="D322" s="7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x14ac:dyDescent="0.25" r="323" customHeight="1" ht="18.75">
      <c r="A323" s="8">
        <v>322</v>
      </c>
      <c r="B323" s="1"/>
      <c r="C323" s="1"/>
      <c r="D323" s="7"/>
      <c r="E323" s="1"/>
      <c r="F323" s="1"/>
      <c r="G323" s="1"/>
      <c r="H323" s="1"/>
      <c r="I323" s="1"/>
      <c r="J323" s="1"/>
      <c r="K323" s="1"/>
      <c r="L323" s="1"/>
      <c r="M323" s="1"/>
      <c r="N32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9"/>
  <sheetViews>
    <sheetView workbookViewId="0"/>
  </sheetViews>
  <sheetFormatPr defaultRowHeight="15" x14ac:dyDescent="0.25"/>
  <cols>
    <col min="1" max="1" style="25" width="34.29071428571429" customWidth="1" bestFit="1"/>
    <col min="2" max="2" style="27" width="13.576428571428572" customWidth="1" bestFit="1"/>
    <col min="3" max="3" style="25" width="11.43357142857143" customWidth="1" bestFit="1"/>
    <col min="4" max="4" style="25" width="22.862142857142857" customWidth="1" bestFit="1"/>
    <col min="5" max="5" style="28" width="11.43357142857143" customWidth="1" bestFit="1"/>
    <col min="6" max="6" style="25" width="114.29071428571429" customWidth="1" bestFit="1"/>
  </cols>
  <sheetData>
    <row x14ac:dyDescent="0.25" r="1" customHeight="1" ht="18.75">
      <c r="A1" s="37" t="s">
        <v>222</v>
      </c>
      <c r="B1" s="8">
        <f>'Data Base'!D65</f>
      </c>
      <c r="C1" s="1"/>
      <c r="D1" s="1" t="s">
        <v>311</v>
      </c>
      <c r="E1" s="32">
        <f>E2+E3+E4+E5</f>
      </c>
      <c r="F1" s="1" t="s">
        <v>312</v>
      </c>
    </row>
    <row x14ac:dyDescent="0.25" r="2" customHeight="1" ht="18.75">
      <c r="A2" s="46" t="s">
        <v>224</v>
      </c>
      <c r="B2" s="8">
        <f>'Data Base'!D66</f>
      </c>
      <c r="C2" s="1"/>
      <c r="D2" s="37" t="s">
        <v>313</v>
      </c>
      <c r="E2" s="32">
        <f>((B3-B4-B5)*B6*B9*B10)+(B4*B8*B10*B9)+(B5*B7*B9*B10)</f>
      </c>
      <c r="F2" s="1" t="s">
        <v>314</v>
      </c>
    </row>
    <row x14ac:dyDescent="0.25" r="3" customHeight="1" ht="18.75">
      <c r="A3" s="1" t="s">
        <v>20</v>
      </c>
      <c r="B3" s="8">
        <f>'Data Base'!D2</f>
      </c>
      <c r="C3" s="1"/>
      <c r="D3" s="46" t="s">
        <v>315</v>
      </c>
      <c r="E3" s="32">
        <f>((B17+B18+B19)*B11*(1-B12)*(1-B14))*B13</f>
      </c>
      <c r="F3" s="1" t="s">
        <v>316</v>
      </c>
    </row>
    <row x14ac:dyDescent="0.25" r="4" customHeight="1" ht="18.75">
      <c r="A4" s="1" t="s">
        <v>252</v>
      </c>
      <c r="B4" s="8">
        <f>'Data Base'!D8</f>
      </c>
      <c r="C4" s="1"/>
      <c r="D4" s="37" t="s">
        <v>317</v>
      </c>
      <c r="E4" s="32">
        <f>B15+B16</f>
      </c>
      <c r="F4" s="1" t="s">
        <v>318</v>
      </c>
    </row>
    <row x14ac:dyDescent="0.25" r="5" customHeight="1" ht="18.75">
      <c r="A5" s="1" t="s">
        <v>319</v>
      </c>
      <c r="B5" s="24">
        <f>'Data Base'!D14</f>
      </c>
      <c r="C5" s="1"/>
      <c r="D5" s="46" t="s">
        <v>320</v>
      </c>
      <c r="E5" s="32">
        <f>B1-B2</f>
      </c>
      <c r="F5" s="1" t="s">
        <v>321</v>
      </c>
    </row>
    <row x14ac:dyDescent="0.25" r="6" customHeight="1" ht="18.75">
      <c r="A6" s="1" t="s">
        <v>322</v>
      </c>
      <c r="B6" s="8">
        <f>'Data Base'!D31</f>
      </c>
      <c r="C6" s="1"/>
      <c r="D6" s="1"/>
      <c r="E6" s="7"/>
      <c r="F6" s="1"/>
    </row>
    <row x14ac:dyDescent="0.25" r="7" customHeight="1" ht="18.75">
      <c r="A7" s="1" t="s">
        <v>323</v>
      </c>
      <c r="B7" s="8">
        <f>'Data Base'!D18</f>
      </c>
      <c r="C7" s="1"/>
      <c r="D7" s="50" t="s">
        <v>324</v>
      </c>
      <c r="E7" s="24">
        <f>E1/500000000</f>
      </c>
      <c r="F7" s="1"/>
    </row>
    <row x14ac:dyDescent="0.25" r="8" customHeight="1" ht="18.75">
      <c r="A8" s="37" t="s">
        <v>325</v>
      </c>
      <c r="B8" s="32">
        <f>'Data Base'!D87</f>
      </c>
      <c r="C8" s="1"/>
      <c r="D8" s="1"/>
      <c r="E8" s="7"/>
      <c r="F8" s="1"/>
    </row>
    <row x14ac:dyDescent="0.25" r="9" customHeight="1" ht="18.75">
      <c r="A9" s="46" t="s">
        <v>176</v>
      </c>
      <c r="B9" s="32">
        <f>'Data Base'!D26</f>
      </c>
      <c r="C9" s="1"/>
      <c r="D9" s="1"/>
      <c r="E9" s="7"/>
      <c r="F9" s="1"/>
    </row>
    <row x14ac:dyDescent="0.25" r="10" customHeight="1" ht="18.75">
      <c r="A10" s="37" t="s">
        <v>326</v>
      </c>
      <c r="B10" s="32">
        <f>'Data Base'!D27</f>
      </c>
      <c r="C10" s="1"/>
      <c r="D10" s="1"/>
      <c r="E10" s="7"/>
      <c r="F10" s="1"/>
    </row>
    <row x14ac:dyDescent="0.25" r="11" customHeight="1" ht="18.75">
      <c r="A11" s="46" t="s">
        <v>281</v>
      </c>
      <c r="B11" s="32">
        <f>'Data Base'!D34</f>
      </c>
      <c r="C11" s="1"/>
      <c r="D11" s="1"/>
      <c r="E11" s="7"/>
      <c r="F11" s="1"/>
    </row>
    <row x14ac:dyDescent="0.25" r="12" customHeight="1" ht="18.75">
      <c r="A12" s="46" t="s">
        <v>27</v>
      </c>
      <c r="B12" s="32">
        <f>'Data Base'!D29</f>
      </c>
      <c r="C12" s="1"/>
      <c r="D12" s="1"/>
      <c r="E12" s="7"/>
      <c r="F12" s="1"/>
    </row>
    <row x14ac:dyDescent="0.25" r="13" customHeight="1" ht="18.75">
      <c r="A13" s="46" t="s">
        <v>327</v>
      </c>
      <c r="B13" s="24">
        <f>'Data Base'!D88</f>
      </c>
      <c r="C13" s="1"/>
      <c r="D13" s="1"/>
      <c r="E13" s="7"/>
      <c r="F13" s="1"/>
    </row>
    <row x14ac:dyDescent="0.25" r="14" customHeight="1" ht="18.75">
      <c r="A14" s="50" t="s">
        <v>328</v>
      </c>
      <c r="B14" s="24">
        <f>'Data Base'!D89</f>
      </c>
      <c r="C14" s="1"/>
      <c r="D14" s="1" t="s">
        <v>329</v>
      </c>
      <c r="E14" s="7"/>
      <c r="F14" s="1"/>
    </row>
    <row x14ac:dyDescent="0.25" r="15" customHeight="1" ht="18.75">
      <c r="A15" s="37" t="s">
        <v>330</v>
      </c>
      <c r="B15" s="32">
        <f>'Data Base'!D24</f>
      </c>
      <c r="C15" s="1"/>
      <c r="D15" s="1"/>
      <c r="E15" s="7"/>
      <c r="F15" s="1"/>
    </row>
    <row x14ac:dyDescent="0.25" r="16" customHeight="1" ht="18.75">
      <c r="A16" s="50" t="s">
        <v>331</v>
      </c>
      <c r="B16" s="24">
        <f>'Data Base'!D90</f>
      </c>
      <c r="C16" s="1"/>
      <c r="D16" s="1" t="s">
        <v>332</v>
      </c>
      <c r="E16" s="7"/>
      <c r="F16" s="1"/>
    </row>
    <row x14ac:dyDescent="0.25" r="17" customHeight="1" ht="18.75">
      <c r="A17" s="1" t="s">
        <v>214</v>
      </c>
      <c r="B17" s="24">
        <v>156</v>
      </c>
      <c r="C17" s="1"/>
      <c r="D17" s="1"/>
      <c r="E17" s="7"/>
      <c r="F17" s="1"/>
    </row>
    <row x14ac:dyDescent="0.25" r="18" customHeight="1" ht="18.75">
      <c r="A18" s="50" t="s">
        <v>212</v>
      </c>
      <c r="B18" s="8">
        <v>0</v>
      </c>
      <c r="C18" s="1"/>
      <c r="D18" s="1" t="s">
        <v>333</v>
      </c>
      <c r="E18" s="7"/>
      <c r="F18" s="1"/>
    </row>
    <row x14ac:dyDescent="0.25" r="19" customHeight="1" ht="18.75">
      <c r="A19" s="1" t="s">
        <v>210</v>
      </c>
      <c r="B19" s="8">
        <f>'Data Base'!D42</f>
      </c>
      <c r="C19" s="1"/>
      <c r="D19" s="1"/>
      <c r="E19" s="7"/>
      <c r="F19" s="1"/>
    </row>
    <row x14ac:dyDescent="0.25" r="20" customHeight="1" ht="18.75">
      <c r="A20" s="1"/>
      <c r="B20" s="17"/>
      <c r="C20" s="1"/>
      <c r="D20" s="1" t="s">
        <v>334</v>
      </c>
      <c r="E20" s="7"/>
      <c r="F20" s="1"/>
    </row>
    <row x14ac:dyDescent="0.25" r="21" customHeight="1" ht="18.75">
      <c r="A21" s="1"/>
      <c r="B21" s="17"/>
      <c r="C21" s="1"/>
      <c r="D21" s="1"/>
      <c r="E21" s="7"/>
      <c r="F21" s="1"/>
    </row>
    <row x14ac:dyDescent="0.25" r="22" customHeight="1" ht="18.75">
      <c r="A22" s="1"/>
      <c r="B22" s="17"/>
      <c r="C22" s="1"/>
      <c r="D22" s="1"/>
      <c r="E22" s="7"/>
      <c r="F22" s="1"/>
    </row>
    <row x14ac:dyDescent="0.25" r="23" customHeight="1" ht="18.75">
      <c r="A23" s="1"/>
      <c r="B23" s="17"/>
      <c r="C23" s="1"/>
      <c r="D23" s="1"/>
      <c r="E23" s="7"/>
      <c r="F23" s="1"/>
    </row>
    <row x14ac:dyDescent="0.25" r="24" customHeight="1" ht="18.75">
      <c r="A24" s="1"/>
      <c r="B24" s="17"/>
      <c r="C24" s="1"/>
      <c r="D24" s="1"/>
      <c r="E24" s="7"/>
      <c r="F24" s="1"/>
    </row>
    <row x14ac:dyDescent="0.25" r="25" customHeight="1" ht="18.75">
      <c r="A25" s="1"/>
      <c r="B25" s="17"/>
      <c r="C25" s="1"/>
      <c r="D25" s="1"/>
      <c r="E25" s="7"/>
      <c r="F25" s="1"/>
    </row>
    <row x14ac:dyDescent="0.25" r="26" customHeight="1" ht="18.75">
      <c r="A26" s="1"/>
      <c r="B26" s="17"/>
      <c r="C26" s="1"/>
      <c r="D26" s="1"/>
      <c r="E26" s="7"/>
      <c r="F26" s="1"/>
    </row>
    <row x14ac:dyDescent="0.25" r="27" customHeight="1" ht="18.75">
      <c r="A27" s="1"/>
      <c r="B27" s="17"/>
      <c r="C27" s="1"/>
      <c r="D27" s="1"/>
      <c r="E27" s="7"/>
      <c r="F27" s="1"/>
    </row>
    <row x14ac:dyDescent="0.25" r="28" customHeight="1" ht="18.75">
      <c r="A28" s="1" t="s">
        <v>335</v>
      </c>
      <c r="B28" s="17"/>
      <c r="C28" s="1"/>
      <c r="D28" s="1"/>
      <c r="E28" s="7"/>
      <c r="F28" s="1"/>
    </row>
    <row x14ac:dyDescent="0.25" r="29" customHeight="1" ht="18.75">
      <c r="A29" s="1" t="s">
        <v>336</v>
      </c>
      <c r="B29" s="24">
        <f>B32*B33*B34*B35*B36*(1-B38)*(1-B39)</f>
      </c>
      <c r="C29" s="1" t="s">
        <v>337</v>
      </c>
      <c r="D29" s="1"/>
      <c r="E29" s="7"/>
      <c r="F29" s="1"/>
    </row>
    <row x14ac:dyDescent="0.25" r="30" customHeight="1" ht="18.75">
      <c r="A30" s="1" t="s">
        <v>338</v>
      </c>
      <c r="B30" s="24">
        <f>B32*B33*B34*B35*B37*(1-B38)*(1-B39)</f>
      </c>
      <c r="C30" s="1"/>
      <c r="D30" s="1"/>
      <c r="E30" s="7"/>
      <c r="F30" s="1"/>
    </row>
    <row x14ac:dyDescent="0.25" r="31" customHeight="1" ht="18.75">
      <c r="A31" s="1" t="s">
        <v>339</v>
      </c>
      <c r="B31" s="24">
        <f>B32*B33*B34*B35*B37*(1-B38)*(1-B39)</f>
      </c>
      <c r="C31" s="1"/>
      <c r="D31" s="1"/>
      <c r="E31" s="7"/>
      <c r="F31" s="1"/>
    </row>
    <row x14ac:dyDescent="0.25" r="32" customHeight="1" ht="18.75">
      <c r="A32" s="1" t="s">
        <v>252</v>
      </c>
      <c r="B32" s="8">
        <f>'Data Base'!D8</f>
      </c>
      <c r="C32" s="1"/>
      <c r="D32" s="1"/>
      <c r="E32" s="7"/>
      <c r="F32" s="1"/>
    </row>
    <row x14ac:dyDescent="0.25" r="33" customHeight="1" ht="18.75">
      <c r="A33" s="1" t="s">
        <v>340</v>
      </c>
      <c r="B33" s="24">
        <v>0.0001</v>
      </c>
      <c r="C33" s="1"/>
      <c r="D33" s="1"/>
      <c r="E33" s="7"/>
      <c r="F33" s="1"/>
    </row>
    <row x14ac:dyDescent="0.25" r="34" customHeight="1" ht="18.75">
      <c r="A34" s="1" t="s">
        <v>341</v>
      </c>
      <c r="B34" s="24">
        <f>'Data Base'!D91</f>
      </c>
      <c r="C34" s="1"/>
      <c r="D34" s="1"/>
      <c r="E34" s="7"/>
      <c r="F34" s="1"/>
    </row>
    <row x14ac:dyDescent="0.25" r="35" customHeight="1" ht="18.75">
      <c r="A35" s="1" t="s">
        <v>172</v>
      </c>
      <c r="B35" s="24">
        <f>'Data Base'!D81</f>
      </c>
      <c r="C35" s="1"/>
      <c r="D35" s="1"/>
      <c r="E35" s="7"/>
      <c r="F35" s="1"/>
    </row>
    <row x14ac:dyDescent="0.25" r="36" customHeight="1" ht="18.75">
      <c r="A36" s="1" t="s">
        <v>342</v>
      </c>
      <c r="B36" s="24">
        <f>IF('Data Base'!D74=0,1,0.4)</f>
      </c>
      <c r="C36" s="1" t="s">
        <v>343</v>
      </c>
      <c r="D36" s="1"/>
      <c r="E36" s="7"/>
      <c r="F36" s="1"/>
    </row>
    <row x14ac:dyDescent="0.25" r="37" customHeight="1" ht="18.75">
      <c r="A37" s="1" t="s">
        <v>344</v>
      </c>
      <c r="B37" s="8">
        <f>IF('Data Base'!D74=0,0.2,1)</f>
      </c>
      <c r="C37" s="1" t="s">
        <v>345</v>
      </c>
      <c r="D37" s="1"/>
      <c r="E37" s="7"/>
      <c r="F37" s="1"/>
    </row>
    <row x14ac:dyDescent="0.25" r="38" customHeight="1" ht="18.75">
      <c r="A38" s="1" t="s">
        <v>15</v>
      </c>
      <c r="B38" s="24">
        <f>'Data Base'!D26</f>
      </c>
      <c r="C38" s="1"/>
      <c r="D38" s="1"/>
      <c r="E38" s="7"/>
      <c r="F38" s="1"/>
    </row>
    <row x14ac:dyDescent="0.25" r="39" customHeight="1" ht="18.75">
      <c r="A39" s="1" t="s">
        <v>22</v>
      </c>
      <c r="B39" s="24">
        <f>'Data Base'!D28</f>
      </c>
      <c r="C39" s="1"/>
      <c r="D39" s="1"/>
      <c r="E39" s="7"/>
      <c r="F3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5"/>
  <sheetViews>
    <sheetView workbookViewId="0"/>
  </sheetViews>
  <sheetFormatPr defaultRowHeight="15" x14ac:dyDescent="0.25"/>
  <cols>
    <col min="1" max="1" style="25" width="22.862142857142857" customWidth="1" bestFit="1"/>
    <col min="2" max="2" style="28" width="13.576428571428572" customWidth="1" bestFit="1"/>
    <col min="3" max="3" style="25" width="22.862142857142857" customWidth="1" bestFit="1"/>
    <col min="4" max="4" style="28" width="13.576428571428572" customWidth="1" bestFit="1"/>
    <col min="5" max="5" style="25" width="45.71928571428572" customWidth="1" bestFit="1"/>
    <col min="6" max="6" style="25" width="13.576428571428572" customWidth="1" bestFit="1"/>
    <col min="7" max="7" style="25" width="13.576428571428572" customWidth="1" bestFit="1"/>
    <col min="8" max="8" style="25" width="13.576428571428572" customWidth="1" bestFit="1"/>
    <col min="9" max="9" style="25" width="13.576428571428572" customWidth="1" bestFit="1"/>
    <col min="10" max="10" style="25" width="13.576428571428572" customWidth="1" bestFit="1"/>
    <col min="11" max="11" style="25" width="13.576428571428572" customWidth="1" bestFit="1"/>
    <col min="12" max="12" style="25" width="13.576428571428572" customWidth="1" bestFit="1"/>
    <col min="13" max="13" style="25" width="13.576428571428572" customWidth="1" bestFit="1"/>
    <col min="14" max="14" style="25" width="13.576428571428572" customWidth="1" bestFit="1"/>
    <col min="15" max="15" style="25" width="13.576428571428572" customWidth="1" bestFit="1"/>
    <col min="16" max="16" style="25" width="13.576428571428572" customWidth="1" bestFit="1"/>
    <col min="17" max="17" style="25" width="38.14785714285715" customWidth="1" bestFit="1"/>
    <col min="18" max="18" style="25" width="42.005" customWidth="1" bestFit="1"/>
    <col min="19" max="19" style="25" width="13.576428571428572" customWidth="1" bestFit="1"/>
    <col min="20" max="20" style="25" width="13.576428571428572" customWidth="1" bestFit="1"/>
    <col min="21" max="21" style="28" width="13.576428571428572" customWidth="1" bestFit="1"/>
  </cols>
  <sheetData>
    <row x14ac:dyDescent="0.25" r="1" customHeight="1" ht="18.75">
      <c r="A1" s="1" t="s">
        <v>299</v>
      </c>
      <c r="B1" s="8">
        <f>'Data Base'!D68</f>
      </c>
      <c r="C1" s="1" t="s">
        <v>300</v>
      </c>
      <c r="D1" s="24">
        <f>(B2*2)/B5</f>
      </c>
      <c r="E1" s="1" t="s">
        <v>301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7"/>
    </row>
    <row x14ac:dyDescent="0.25" r="2" customHeight="1" ht="18.75">
      <c r="A2" s="1" t="s">
        <v>302</v>
      </c>
      <c r="B2" s="24">
        <f>'Data Base'!D69</f>
      </c>
      <c r="C2" s="1" t="s">
        <v>303</v>
      </c>
      <c r="D2" s="24">
        <f>B2/B4</f>
      </c>
      <c r="E2" s="1" t="s">
        <v>304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7"/>
    </row>
    <row x14ac:dyDescent="0.25" r="3" customHeight="1" ht="18.75">
      <c r="A3" s="1" t="s">
        <v>305</v>
      </c>
      <c r="B3" s="24">
        <f>'Data Base'!D70</f>
      </c>
      <c r="C3" s="1" t="s">
        <v>306</v>
      </c>
      <c r="D3" s="24">
        <f>D1*D2</f>
      </c>
      <c r="E3" s="1" t="s">
        <v>307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7"/>
    </row>
    <row x14ac:dyDescent="0.25" r="4" customHeight="1" ht="18.75">
      <c r="A4" s="1" t="s">
        <v>308</v>
      </c>
      <c r="B4" s="8">
        <v>1000000</v>
      </c>
      <c r="C4" s="1" t="s">
        <v>117</v>
      </c>
      <c r="D4" s="24">
        <f>B1*D3*(1.1-B6)</f>
      </c>
      <c r="E4" s="1" t="s">
        <v>309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7"/>
    </row>
    <row x14ac:dyDescent="0.25" r="5" customHeight="1" ht="18.75">
      <c r="A5" s="1" t="s">
        <v>310</v>
      </c>
      <c r="B5" s="24">
        <f>'Data Base'!D72</f>
      </c>
      <c r="C5" s="1"/>
      <c r="D5" s="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7"/>
    </row>
    <row x14ac:dyDescent="0.25" r="6" customHeight="1" ht="18.75">
      <c r="A6" s="1" t="s">
        <v>109</v>
      </c>
      <c r="B6" s="24">
        <f>'Data Base'!D73</f>
      </c>
      <c r="C6" s="1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7"/>
    </row>
    <row x14ac:dyDescent="0.25" r="7" customHeight="1" ht="18.75">
      <c r="A7" s="1"/>
      <c r="B7" s="7"/>
      <c r="C7" s="1"/>
      <c r="D7" s="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7"/>
    </row>
    <row x14ac:dyDescent="0.25" r="8" customHeight="1" ht="18.75">
      <c r="A8" s="1"/>
      <c r="B8" s="7"/>
      <c r="C8" s="1"/>
      <c r="D8" s="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7"/>
    </row>
    <row x14ac:dyDescent="0.25" r="9" customHeight="1" ht="18.75">
      <c r="A9" s="1"/>
      <c r="B9" s="7"/>
      <c r="C9" s="1"/>
      <c r="D9" s="7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7"/>
    </row>
    <row x14ac:dyDescent="0.25" r="10" customHeight="1" ht="18.75">
      <c r="A10" s="1"/>
      <c r="B10" s="7"/>
      <c r="C10" s="1"/>
      <c r="D10" s="7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7"/>
    </row>
    <row x14ac:dyDescent="0.25" r="11" customHeight="1" ht="18.75">
      <c r="A11" s="1"/>
      <c r="B11" s="7"/>
      <c r="C11" s="1"/>
      <c r="D11" s="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7"/>
    </row>
    <row x14ac:dyDescent="0.25" r="12" customHeight="1" ht="18.75">
      <c r="A12" s="1"/>
      <c r="B12" s="7"/>
      <c r="C12" s="1"/>
      <c r="D12" s="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7"/>
    </row>
    <row x14ac:dyDescent="0.25" r="13" customHeight="1" ht="18.75">
      <c r="A13" s="1"/>
      <c r="B13" s="7"/>
      <c r="C13" s="1"/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7"/>
    </row>
    <row x14ac:dyDescent="0.25" r="14" customHeight="1" ht="18.75">
      <c r="A14" s="1"/>
      <c r="B14" s="7"/>
      <c r="C14" s="1"/>
      <c r="D14" s="7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7"/>
    </row>
    <row x14ac:dyDescent="0.25" r="15" customHeight="1" ht="18.75">
      <c r="A15" s="1"/>
      <c r="B15" s="7"/>
      <c r="C15" s="1"/>
      <c r="D15" s="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7"/>
    </row>
    <row x14ac:dyDescent="0.25" r="16" customHeight="1" ht="18.75">
      <c r="A16" s="1"/>
      <c r="B16" s="7"/>
      <c r="C16" s="1"/>
      <c r="D16" s="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7"/>
    </row>
    <row x14ac:dyDescent="0.25" r="17" customHeight="1" ht="18.75">
      <c r="A17" s="1"/>
      <c r="B17" s="7"/>
      <c r="C17" s="1"/>
      <c r="D17" s="7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7"/>
    </row>
    <row x14ac:dyDescent="0.25" r="18" customHeight="1" ht="18.75">
      <c r="A18" s="1"/>
      <c r="B18" s="7"/>
      <c r="C18" s="1"/>
      <c r="D18" s="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7"/>
    </row>
    <row x14ac:dyDescent="0.25" r="19" customHeight="1" ht="18.75">
      <c r="A19" s="1"/>
      <c r="B19" s="7"/>
      <c r="C19" s="1"/>
      <c r="D19" s="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7"/>
    </row>
    <row x14ac:dyDescent="0.25" r="20" customHeight="1" ht="18.75">
      <c r="A20" s="1"/>
      <c r="B20" s="7"/>
      <c r="C20" s="1"/>
      <c r="D20" s="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7"/>
    </row>
    <row x14ac:dyDescent="0.25" r="21" customHeight="1" ht="18.75">
      <c r="A21" s="1"/>
      <c r="B21" s="7"/>
      <c r="C21" s="1"/>
      <c r="D21" s="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7"/>
    </row>
    <row x14ac:dyDescent="0.25" r="22" customHeight="1" ht="18.75">
      <c r="A22" s="1"/>
      <c r="B22" s="7"/>
      <c r="C22" s="1"/>
      <c r="D22" s="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7"/>
    </row>
    <row x14ac:dyDescent="0.25" r="23" customHeight="1" ht="18.75">
      <c r="A23" s="1"/>
      <c r="B23" s="7"/>
      <c r="C23" s="1"/>
      <c r="D23" s="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7"/>
    </row>
    <row x14ac:dyDescent="0.25" r="24" customHeight="1" ht="18.75">
      <c r="A24" s="1"/>
      <c r="B24" s="7"/>
      <c r="C24" s="1"/>
      <c r="D24" s="7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7"/>
    </row>
    <row x14ac:dyDescent="0.25" r="25" customHeight="1" ht="18.75">
      <c r="A25" s="1"/>
      <c r="B25" s="7"/>
      <c r="C25" s="1"/>
      <c r="D25" s="7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7"/>
    </row>
    <row x14ac:dyDescent="0.25" r="26" customHeight="1" ht="18.75">
      <c r="A26" s="1"/>
      <c r="B26" s="7"/>
      <c r="C26" s="1"/>
      <c r="D26" s="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7"/>
    </row>
    <row x14ac:dyDescent="0.25" r="27" customHeight="1" ht="18.75">
      <c r="A27" s="1"/>
      <c r="B27" s="7"/>
      <c r="C27" s="1"/>
      <c r="D27" s="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7"/>
    </row>
    <row x14ac:dyDescent="0.25" r="28" customHeight="1" ht="18.75">
      <c r="A28" s="1"/>
      <c r="B28" s="7"/>
      <c r="C28" s="1"/>
      <c r="D28" s="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7"/>
    </row>
    <row x14ac:dyDescent="0.25" r="29" customHeight="1" ht="18.75">
      <c r="A29" s="1"/>
      <c r="B29" s="7"/>
      <c r="C29" s="1"/>
      <c r="D29" s="7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7"/>
    </row>
    <row x14ac:dyDescent="0.25" r="30" customHeight="1" ht="18.75">
      <c r="A30" s="1"/>
      <c r="B30" s="7"/>
      <c r="C30" s="1"/>
      <c r="D30" s="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7"/>
    </row>
    <row x14ac:dyDescent="0.25" r="31" customHeight="1" ht="18.75">
      <c r="A31" s="1"/>
      <c r="B31" s="7"/>
      <c r="C31" s="1"/>
      <c r="D31" s="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7"/>
    </row>
    <row x14ac:dyDescent="0.25" r="32" customHeight="1" ht="18.75">
      <c r="A32" s="1"/>
      <c r="B32" s="7"/>
      <c r="C32" s="1"/>
      <c r="D32" s="7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7"/>
    </row>
    <row x14ac:dyDescent="0.25" r="33" customHeight="1" ht="18.75">
      <c r="A33" s="1"/>
      <c r="B33" s="7"/>
      <c r="C33" s="1"/>
      <c r="D33" s="7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7"/>
    </row>
    <row x14ac:dyDescent="0.25" r="34" customHeight="1" ht="18.75">
      <c r="A34" s="1"/>
      <c r="B34" s="7"/>
      <c r="C34" s="1"/>
      <c r="D34" s="7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7"/>
    </row>
    <row x14ac:dyDescent="0.25" r="35" customHeight="1" ht="18.75">
      <c r="A35" s="1"/>
      <c r="B35" s="7"/>
      <c r="C35" s="1"/>
      <c r="D35" s="7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6" t="s">
        <v>75</v>
      </c>
      <c r="R35" s="1"/>
      <c r="S35" s="1"/>
      <c r="T35" s="1"/>
      <c r="U35" s="7"/>
    </row>
    <row x14ac:dyDescent="0.25" r="36" customHeight="1" ht="18.75">
      <c r="A36" s="1"/>
      <c r="B36" s="7"/>
      <c r="C36" s="1"/>
      <c r="D36" s="7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 t="s">
        <v>81</v>
      </c>
      <c r="R36" s="1" t="s">
        <v>82</v>
      </c>
      <c r="S36" s="1" t="s">
        <v>83</v>
      </c>
      <c r="T36" s="1"/>
      <c r="U36" s="24">
        <f>2*12</f>
      </c>
    </row>
    <row x14ac:dyDescent="0.25" r="37" customHeight="1" ht="18.75">
      <c r="A37" s="1"/>
      <c r="B37" s="7"/>
      <c r="C37" s="1"/>
      <c r="D37" s="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 t="s">
        <v>89</v>
      </c>
      <c r="R37" s="1" t="s">
        <v>90</v>
      </c>
      <c r="S37" s="49" t="s">
        <v>91</v>
      </c>
      <c r="T37" s="1"/>
      <c r="U37" s="24">
        <f>(1000000 * 2)/1300000</f>
      </c>
    </row>
    <row x14ac:dyDescent="0.25" r="38" customHeight="1" ht="18.75">
      <c r="A38" s="1"/>
      <c r="B38" s="7"/>
      <c r="C38" s="1"/>
      <c r="D38" s="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 t="s">
        <v>96</v>
      </c>
      <c r="R38" s="1" t="s">
        <v>97</v>
      </c>
      <c r="S38" s="1" t="s">
        <v>98</v>
      </c>
      <c r="T38" s="1"/>
      <c r="U38" s="24">
        <f>100000/250000</f>
      </c>
    </row>
    <row x14ac:dyDescent="0.25" r="39" customHeight="1" ht="18.75">
      <c r="A39" s="1"/>
      <c r="B39" s="7"/>
      <c r="C39" s="1"/>
      <c r="D39" s="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 t="s">
        <v>104</v>
      </c>
      <c r="R39" s="1" t="s">
        <v>105</v>
      </c>
      <c r="S39" s="1" t="s">
        <v>106</v>
      </c>
      <c r="T39" s="1"/>
      <c r="U39" s="24">
        <f>U37*U38</f>
      </c>
    </row>
    <row x14ac:dyDescent="0.25" r="40" customHeight="1" ht="18.75">
      <c r="A40" s="1"/>
      <c r="B40" s="7"/>
      <c r="C40" s="1"/>
      <c r="D40" s="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 t="s">
        <v>109</v>
      </c>
      <c r="R40" s="1"/>
      <c r="S40" s="1"/>
      <c r="T40" s="1"/>
      <c r="U40" s="24">
        <v>0.1</v>
      </c>
    </row>
    <row x14ac:dyDescent="0.25" r="41" customHeight="1" ht="18.75">
      <c r="A41" s="1"/>
      <c r="B41" s="7"/>
      <c r="C41" s="1"/>
      <c r="D41" s="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 t="s">
        <v>113</v>
      </c>
      <c r="R41" s="1"/>
      <c r="S41" s="1"/>
      <c r="T41" s="1"/>
      <c r="U41" s="7"/>
    </row>
    <row x14ac:dyDescent="0.25" r="42" customHeight="1" ht="18.75">
      <c r="A42" s="1"/>
      <c r="B42" s="7"/>
      <c r="C42" s="1"/>
      <c r="D42" s="7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7"/>
    </row>
    <row x14ac:dyDescent="0.25" r="43" customHeight="1" ht="18.75">
      <c r="A43" s="1"/>
      <c r="B43" s="7"/>
      <c r="C43" s="1"/>
      <c r="D43" s="7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 t="s">
        <v>117</v>
      </c>
      <c r="R43" s="1" t="s">
        <v>118</v>
      </c>
      <c r="S43" s="1" t="s">
        <v>119</v>
      </c>
      <c r="T43" s="1"/>
      <c r="U43" s="24">
        <f>U36*U39*U40</f>
      </c>
    </row>
    <row x14ac:dyDescent="0.25" r="44" customHeight="1" ht="18.75">
      <c r="A44" s="1"/>
      <c r="B44" s="7"/>
      <c r="C44" s="1"/>
      <c r="D44" s="7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 t="s">
        <v>121</v>
      </c>
      <c r="R44" s="1" t="s">
        <v>122</v>
      </c>
      <c r="S44" s="1" t="s">
        <v>123</v>
      </c>
      <c r="T44" s="1"/>
      <c r="U44" s="7"/>
    </row>
    <row x14ac:dyDescent="0.25" r="45" customHeight="1" ht="18.75">
      <c r="A45" s="1"/>
      <c r="B45" s="7"/>
      <c r="C45" s="1"/>
      <c r="D45" s="7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125</v>
      </c>
      <c r="S45" s="1"/>
      <c r="T45" s="1"/>
      <c r="U4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/>
  </sheetViews>
  <sheetFormatPr defaultRowHeight="15" x14ac:dyDescent="0.25"/>
  <cols>
    <col min="1" max="1" style="25" width="18.433571428571426" customWidth="1" bestFit="1"/>
    <col min="2" max="2" style="28" width="13.576428571428572" customWidth="1" bestFit="1"/>
    <col min="3" max="3" style="25" width="11.43357142857143" customWidth="1" bestFit="1"/>
    <col min="4" max="4" style="25" width="22.862142857142857" customWidth="1" bestFit="1"/>
    <col min="5" max="5" style="48" width="13.576428571428572" customWidth="1" bestFit="1"/>
    <col min="6" max="6" style="25" width="68.57642857142856" customWidth="1" bestFit="1"/>
  </cols>
  <sheetData>
    <row x14ac:dyDescent="0.25" r="1" customHeight="1" ht="18.75">
      <c r="A1" s="1" t="s">
        <v>20</v>
      </c>
      <c r="B1" s="8">
        <f>'Data Base'!D2</f>
      </c>
      <c r="C1" s="1"/>
      <c r="D1" s="1" t="s">
        <v>240</v>
      </c>
      <c r="E1" s="24">
        <f>E4-E2-E5</f>
      </c>
      <c r="F1" s="1" t="s">
        <v>283</v>
      </c>
    </row>
    <row x14ac:dyDescent="0.25" r="2" customHeight="1" ht="18.75">
      <c r="A2" s="1" t="s">
        <v>136</v>
      </c>
      <c r="B2" s="8">
        <f>'Data Base'!D9</f>
      </c>
      <c r="C2" s="1"/>
      <c r="D2" s="1" t="s">
        <v>235</v>
      </c>
      <c r="E2" s="8">
        <f>B1*((B3-B2)/B3)</f>
      </c>
      <c r="F2" s="1" t="s">
        <v>284</v>
      </c>
    </row>
    <row x14ac:dyDescent="0.25" r="3" customHeight="1" ht="18.75">
      <c r="A3" s="1" t="s">
        <v>285</v>
      </c>
      <c r="B3" s="8">
        <f>'Data Base'!D10</f>
      </c>
      <c r="C3" s="1"/>
      <c r="D3" s="1" t="s">
        <v>286</v>
      </c>
      <c r="E3" s="8">
        <f>B1*(B4/B3)</f>
      </c>
      <c r="F3" s="1" t="s">
        <v>287</v>
      </c>
    </row>
    <row x14ac:dyDescent="0.25" r="4" customHeight="1" ht="18.75">
      <c r="A4" s="1" t="s">
        <v>288</v>
      </c>
      <c r="B4" s="8">
        <f>'Data Base'!D11</f>
      </c>
      <c r="C4" s="1"/>
      <c r="D4" s="1" t="s">
        <v>289</v>
      </c>
      <c r="E4" s="8">
        <f>B1-E3</f>
      </c>
      <c r="F4" s="1" t="s">
        <v>290</v>
      </c>
    </row>
    <row x14ac:dyDescent="0.25" r="5" customHeight="1" ht="18.75">
      <c r="A5" s="1" t="s">
        <v>291</v>
      </c>
      <c r="B5" s="24">
        <f>'Data Base'!D12</f>
      </c>
      <c r="C5" s="1"/>
      <c r="D5" s="1" t="s">
        <v>243</v>
      </c>
      <c r="E5" s="24">
        <f>(E4-E2)*B5</f>
      </c>
      <c r="F5" s="1" t="s">
        <v>292</v>
      </c>
    </row>
    <row x14ac:dyDescent="0.25" r="6" customHeight="1" ht="18.75">
      <c r="A6" s="1" t="s">
        <v>293</v>
      </c>
      <c r="B6" s="8">
        <f>'Data Base'!D25</f>
      </c>
      <c r="C6" s="1"/>
      <c r="D6" s="1" t="s">
        <v>294</v>
      </c>
      <c r="E6" s="8">
        <f>E4*B6*(1-B7)*(1-B8)</f>
      </c>
      <c r="F6" s="1" t="s">
        <v>295</v>
      </c>
    </row>
    <row x14ac:dyDescent="0.25" r="7" customHeight="1" ht="18.75">
      <c r="A7" s="1" t="s">
        <v>176</v>
      </c>
      <c r="B7" s="24">
        <f>'Data Base'!D26</f>
      </c>
      <c r="C7" s="1"/>
      <c r="D7" s="1" t="s">
        <v>278</v>
      </c>
      <c r="E7" s="8">
        <f>IF(E6&gt;B1,B1,E6)</f>
      </c>
      <c r="F7" s="1" t="s">
        <v>296</v>
      </c>
    </row>
    <row x14ac:dyDescent="0.25" r="8" customHeight="1" ht="18.75">
      <c r="A8" s="1" t="s">
        <v>297</v>
      </c>
      <c r="B8" s="24">
        <f>'Data Base'!D28</f>
      </c>
      <c r="C8" s="1"/>
      <c r="D8" s="1"/>
      <c r="E8" s="47"/>
      <c r="F8" s="1"/>
    </row>
    <row x14ac:dyDescent="0.25" r="9" customHeight="1" ht="18.75">
      <c r="A9" s="1"/>
      <c r="B9" s="7"/>
      <c r="C9" s="1"/>
      <c r="D9" s="1" t="s">
        <v>298</v>
      </c>
      <c r="E9" s="8">
        <f>E7/B1</f>
      </c>
      <c r="F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"/>
  <sheetViews>
    <sheetView workbookViewId="0"/>
  </sheetViews>
  <sheetFormatPr defaultRowHeight="15" x14ac:dyDescent="0.25"/>
  <cols>
    <col min="1" max="1" style="25" width="23.14785714285714" customWidth="1" bestFit="1"/>
    <col min="2" max="2" style="28" width="13.576428571428572" customWidth="1" bestFit="1"/>
    <col min="3" max="3" style="25" width="13.576428571428572" customWidth="1" bestFit="1"/>
    <col min="4" max="4" style="25" width="23.14785714285714" customWidth="1" bestFit="1"/>
    <col min="5" max="5" style="26" width="22.005" customWidth="1" bestFit="1"/>
    <col min="6" max="6" style="25" width="57.14785714285715" customWidth="1" bestFit="1"/>
    <col min="7" max="7" style="25" width="11.43357142857143" customWidth="1" bestFit="1"/>
    <col min="8" max="8" style="25" width="11.43357142857143" customWidth="1" bestFit="1"/>
    <col min="9" max="9" style="25" width="13.576428571428572" customWidth="1" bestFit="1"/>
  </cols>
  <sheetData>
    <row x14ac:dyDescent="0.25" r="1" customHeight="1" ht="18.75">
      <c r="A1" s="1" t="s">
        <v>272</v>
      </c>
      <c r="B1" s="24">
        <f>'Data Base'!D30</f>
      </c>
      <c r="C1" s="1"/>
      <c r="D1" s="1" t="s">
        <v>8</v>
      </c>
      <c r="E1" s="8">
        <f>B1*B2*B3*B10</f>
      </c>
      <c r="F1" s="1" t="s">
        <v>273</v>
      </c>
      <c r="G1" s="1"/>
      <c r="H1" s="1"/>
      <c r="I1" s="1"/>
    </row>
    <row x14ac:dyDescent="0.25" r="2" customHeight="1" ht="18.75">
      <c r="A2" s="1" t="s">
        <v>20</v>
      </c>
      <c r="B2" s="8">
        <f>Tabelle1[[#This Row], [Value]]</f>
      </c>
      <c r="C2" s="1"/>
      <c r="D2" s="1" t="s">
        <v>15</v>
      </c>
      <c r="E2" s="8">
        <f>B6*B8*B4</f>
      </c>
      <c r="F2" s="1" t="s">
        <v>274</v>
      </c>
      <c r="G2" s="1"/>
      <c r="H2" s="1"/>
      <c r="I2" s="1"/>
    </row>
    <row x14ac:dyDescent="0.25" r="3" customHeight="1" ht="18.75">
      <c r="A3" s="1" t="s">
        <v>180</v>
      </c>
      <c r="B3" s="24">
        <f>'Data Base'!D27</f>
      </c>
      <c r="C3" s="1"/>
      <c r="D3" s="1" t="s">
        <v>22</v>
      </c>
      <c r="E3" s="8">
        <f>B7*B9*B5</f>
      </c>
      <c r="F3" s="1" t="s">
        <v>275</v>
      </c>
      <c r="G3" s="1"/>
      <c r="H3" s="1"/>
      <c r="I3" s="1"/>
    </row>
    <row x14ac:dyDescent="0.25" r="4" customHeight="1" ht="18.75">
      <c r="A4" s="1" t="s">
        <v>176</v>
      </c>
      <c r="B4" s="24">
        <f>'Data Base'!D26</f>
      </c>
      <c r="C4" s="1"/>
      <c r="D4" s="1" t="s">
        <v>27</v>
      </c>
      <c r="E4" s="8">
        <f>B12*B11*B13</f>
      </c>
      <c r="F4" s="1" t="s">
        <v>28</v>
      </c>
      <c r="G4" s="1"/>
      <c r="H4" s="1"/>
      <c r="I4" s="1"/>
    </row>
    <row x14ac:dyDescent="0.25" r="5" customHeight="1" ht="18.75">
      <c r="A5" s="1" t="s">
        <v>276</v>
      </c>
      <c r="B5" s="24">
        <f>'Data Base'!D28</f>
      </c>
      <c r="C5" s="1"/>
      <c r="D5" s="1" t="s">
        <v>277</v>
      </c>
      <c r="E5" s="8">
        <f>E1+E2+E3+E4</f>
      </c>
      <c r="F5" s="1"/>
      <c r="G5" s="1"/>
      <c r="H5" s="1"/>
      <c r="I5" s="1"/>
    </row>
    <row x14ac:dyDescent="0.25" r="6" customHeight="1" ht="18.75">
      <c r="A6" s="1" t="s">
        <v>240</v>
      </c>
      <c r="B6" s="24">
        <f>'Data Base'!D3</f>
      </c>
      <c r="C6" s="1"/>
      <c r="D6" s="1"/>
      <c r="E6" s="16"/>
      <c r="F6" s="1"/>
      <c r="G6" s="1"/>
      <c r="H6" s="1"/>
      <c r="I6" s="1"/>
    </row>
    <row x14ac:dyDescent="0.25" r="7" customHeight="1" ht="18.75">
      <c r="A7" s="1" t="s">
        <v>278</v>
      </c>
      <c r="B7" s="8">
        <f>'Data Base'!D8</f>
      </c>
      <c r="C7" s="1"/>
      <c r="D7" s="1"/>
      <c r="E7" s="16"/>
      <c r="F7" s="1"/>
      <c r="G7" s="1"/>
      <c r="H7" s="1"/>
      <c r="I7" s="1"/>
    </row>
    <row x14ac:dyDescent="0.25" r="8" customHeight="1" ht="18.75">
      <c r="A8" s="1" t="s">
        <v>169</v>
      </c>
      <c r="B8" s="8">
        <f>'Data Base'!D31</f>
      </c>
      <c r="C8" s="1"/>
      <c r="D8" s="1"/>
      <c r="E8" s="16"/>
      <c r="F8" s="1"/>
      <c r="G8" s="1"/>
      <c r="H8" s="1"/>
      <c r="I8" s="1"/>
    </row>
    <row x14ac:dyDescent="0.25" r="9" customHeight="1" ht="18.75">
      <c r="A9" s="1" t="s">
        <v>279</v>
      </c>
      <c r="B9" s="8">
        <f>'Data Base'!D33</f>
      </c>
      <c r="C9" s="1"/>
      <c r="D9" s="1"/>
      <c r="E9" s="16"/>
      <c r="F9" s="1"/>
      <c r="G9" s="1"/>
      <c r="H9" s="1"/>
      <c r="I9" s="1"/>
    </row>
    <row x14ac:dyDescent="0.25" r="10" customHeight="1" ht="18.75">
      <c r="A10" s="37" t="s">
        <v>280</v>
      </c>
      <c r="B10" s="8">
        <f>'Data Base'!D32</f>
      </c>
      <c r="C10" s="1"/>
      <c r="D10" s="1"/>
      <c r="E10" s="16"/>
      <c r="F10" s="1"/>
      <c r="G10" s="1"/>
      <c r="H10" s="6"/>
      <c r="I10" s="6"/>
    </row>
    <row x14ac:dyDescent="0.25" r="11" customHeight="1" ht="18.75">
      <c r="A11" s="37" t="s">
        <v>281</v>
      </c>
      <c r="B11" s="8">
        <f>'Data Base'!D34</f>
      </c>
      <c r="C11" s="1"/>
      <c r="D11" s="1"/>
      <c r="E11" s="16"/>
      <c r="F11" s="1"/>
      <c r="G11" s="1"/>
      <c r="H11" s="1"/>
      <c r="I11" s="1"/>
    </row>
    <row x14ac:dyDescent="0.25" r="12" customHeight="1" ht="18.75">
      <c r="A12" s="46" t="s">
        <v>214</v>
      </c>
      <c r="B12" s="8">
        <f>'Data Base'!D40</f>
      </c>
      <c r="C12" s="1"/>
      <c r="D12" s="1"/>
      <c r="E12" s="16"/>
      <c r="F12" s="1"/>
      <c r="G12" s="1"/>
      <c r="H12" s="1"/>
      <c r="I12" s="1"/>
    </row>
    <row x14ac:dyDescent="0.25" r="13" customHeight="1" ht="18.75">
      <c r="A13" s="37" t="s">
        <v>282</v>
      </c>
      <c r="B13" s="24">
        <f>'Data Base'!D29</f>
      </c>
      <c r="C13" s="1"/>
      <c r="D13" s="1"/>
      <c r="E13" s="16"/>
      <c r="F13" s="1"/>
      <c r="G13" s="1"/>
      <c r="H13" s="1"/>
      <c r="I13" s="1"/>
    </row>
    <row x14ac:dyDescent="0.25" r="14" customHeight="1" ht="18.75">
      <c r="A14" s="1" t="s">
        <v>74</v>
      </c>
      <c r="B14" s="7"/>
      <c r="C14" s="1"/>
      <c r="D14" s="1"/>
      <c r="E14" s="16"/>
      <c r="F14" s="1"/>
      <c r="G14" s="1"/>
      <c r="H14" s="1"/>
      <c r="I1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"/>
  <sheetViews>
    <sheetView workbookViewId="0"/>
  </sheetViews>
  <sheetFormatPr defaultRowHeight="15" x14ac:dyDescent="0.25"/>
  <cols>
    <col min="1" max="1" style="25" width="23.14785714285714" customWidth="1" bestFit="1"/>
    <col min="2" max="2" style="26" width="13.576428571428572" customWidth="1" bestFit="1"/>
    <col min="3" max="3" style="25" width="11.43357142857143" customWidth="1" bestFit="1"/>
    <col min="4" max="4" style="25" width="23.14785714285714" customWidth="1" bestFit="1"/>
    <col min="5" max="5" style="44" width="34.71928571428572" customWidth="1" bestFit="1"/>
    <col min="6" max="6" style="25" width="85.7192857142857" customWidth="1" bestFit="1"/>
    <col min="7" max="7" style="45" width="13.576428571428572" customWidth="1" bestFit="1"/>
    <col min="8" max="8" style="25" width="13.576428571428572" customWidth="1" bestFit="1"/>
  </cols>
  <sheetData>
    <row x14ac:dyDescent="0.25" r="1" customHeight="1" ht="18.75">
      <c r="A1" s="1" t="s">
        <v>220</v>
      </c>
      <c r="B1" s="8">
        <f>'Data Base'!D48</f>
      </c>
      <c r="C1" s="1"/>
      <c r="D1" s="1" t="s">
        <v>220</v>
      </c>
      <c r="E1" s="40"/>
      <c r="F1" s="1"/>
      <c r="G1" s="41"/>
      <c r="H1" s="1"/>
    </row>
    <row x14ac:dyDescent="0.25" r="2" customHeight="1" ht="18.75">
      <c r="A2" s="1" t="s">
        <v>261</v>
      </c>
      <c r="B2" s="24">
        <f>'Data Base'!D47</f>
      </c>
      <c r="C2" s="1"/>
      <c r="D2" s="1" t="s">
        <v>261</v>
      </c>
      <c r="E2" s="42">
        <f>B1/(B6*12)</f>
      </c>
      <c r="F2" s="1" t="s">
        <v>262</v>
      </c>
      <c r="G2" s="41"/>
      <c r="H2" s="1"/>
    </row>
    <row x14ac:dyDescent="0.25" r="3" customHeight="1" ht="18.75">
      <c r="A3" s="1" t="s">
        <v>263</v>
      </c>
      <c r="B3" s="24">
        <f>'Data Base'!D46</f>
      </c>
      <c r="C3" s="1"/>
      <c r="D3" s="1" t="s">
        <v>263</v>
      </c>
      <c r="E3" s="24">
        <f>-0.1*E2+10</f>
      </c>
      <c r="F3" s="1" t="s">
        <v>264</v>
      </c>
      <c r="G3" s="42">
        <f>(1.215^(-0.1*B2+10)+1)/100</f>
      </c>
      <c r="H3" s="1" t="s">
        <v>265</v>
      </c>
    </row>
    <row x14ac:dyDescent="0.25" r="4" customHeight="1" ht="18.75">
      <c r="A4" s="1" t="s">
        <v>266</v>
      </c>
      <c r="B4" s="24">
        <f>'Data Base'!D45</f>
      </c>
      <c r="C4" s="1"/>
      <c r="D4" s="13" t="s">
        <v>267</v>
      </c>
      <c r="E4" s="43">
        <f>(B5+E5)*B7</f>
      </c>
      <c r="F4" s="13" t="s">
        <v>268</v>
      </c>
      <c r="G4" s="41"/>
      <c r="H4" s="1"/>
    </row>
    <row x14ac:dyDescent="0.25" r="5" customHeight="1" ht="18.75">
      <c r="A5" s="1" t="s">
        <v>269</v>
      </c>
      <c r="B5" s="8">
        <f>'Data Base'!D49</f>
      </c>
      <c r="C5" s="1"/>
      <c r="D5" s="13" t="s">
        <v>270</v>
      </c>
      <c r="E5" s="43">
        <f>((B5*B2)/B1)*B5</f>
      </c>
      <c r="F5" s="13" t="s">
        <v>271</v>
      </c>
      <c r="G5" s="41"/>
      <c r="H5" s="1"/>
    </row>
    <row x14ac:dyDescent="0.25" r="6" customHeight="1" ht="18.75">
      <c r="A6" s="1" t="s">
        <v>219</v>
      </c>
      <c r="B6" s="8">
        <f>'Data Base'!D44</f>
      </c>
      <c r="C6" s="1"/>
      <c r="D6" s="1"/>
      <c r="E6" s="40"/>
      <c r="F6" s="1"/>
      <c r="G6" s="41"/>
      <c r="H6" s="1"/>
    </row>
    <row x14ac:dyDescent="0.25" r="7" customHeight="1" ht="18.75">
      <c r="A7" s="1" t="s">
        <v>74</v>
      </c>
      <c r="B7" s="8">
        <f>'Data Base'!D13</f>
      </c>
      <c r="C7" s="1"/>
      <c r="D7" s="1"/>
      <c r="E7" s="40"/>
      <c r="F7" s="1"/>
      <c r="G7" s="41"/>
      <c r="H7" s="1"/>
    </row>
    <row x14ac:dyDescent="0.25" r="8" customHeight="1" ht="18.75">
      <c r="A8" s="1"/>
      <c r="B8" s="16"/>
      <c r="C8" s="1"/>
      <c r="D8" s="1"/>
      <c r="E8" s="40"/>
      <c r="F8" s="1"/>
      <c r="G8" s="41"/>
      <c r="H8" s="1"/>
    </row>
    <row x14ac:dyDescent="0.25" r="9" customHeight="1" ht="18.75">
      <c r="A9" s="1"/>
      <c r="B9" s="16"/>
      <c r="C9" s="1"/>
      <c r="D9" s="1"/>
      <c r="E9" s="40"/>
      <c r="F9" s="1"/>
      <c r="G9" s="41"/>
      <c r="H9" s="1"/>
    </row>
    <row x14ac:dyDescent="0.25" r="10" customHeight="1" ht="18.75">
      <c r="A10" s="1"/>
      <c r="B10" s="16"/>
      <c r="C10" s="1"/>
      <c r="D10" s="1"/>
      <c r="E10" s="40"/>
      <c r="F10" s="1"/>
      <c r="G10" s="41"/>
      <c r="H10" s="1"/>
    </row>
    <row x14ac:dyDescent="0.25" r="11" customHeight="1" ht="18.75">
      <c r="A11" s="1"/>
      <c r="B11" s="16"/>
      <c r="C11" s="1"/>
      <c r="D11" s="1"/>
      <c r="E11" s="40"/>
      <c r="F11" s="1"/>
      <c r="G11" s="41"/>
      <c r="H11" s="1"/>
    </row>
    <row x14ac:dyDescent="0.25" r="12" customHeight="1" ht="18.75">
      <c r="A12" s="1"/>
      <c r="B12" s="16"/>
      <c r="C12" s="1"/>
      <c r="D12" s="1"/>
      <c r="E12" s="40"/>
      <c r="F12" s="1"/>
      <c r="G12" s="41"/>
      <c r="H12" s="1"/>
    </row>
    <row x14ac:dyDescent="0.25" r="13" customHeight="1" ht="18.75">
      <c r="A13" s="1"/>
      <c r="B13" s="16"/>
      <c r="C13" s="1"/>
      <c r="D13" s="1"/>
      <c r="E13" s="40"/>
      <c r="F13" s="1"/>
      <c r="G13" s="41"/>
      <c r="H13" s="1"/>
    </row>
    <row x14ac:dyDescent="0.25" r="14" customHeight="1" ht="18.75">
      <c r="A14" s="6"/>
      <c r="B14" s="16"/>
      <c r="C14" s="1"/>
      <c r="D14" s="1"/>
      <c r="E14" s="40"/>
      <c r="F14" s="1"/>
      <c r="G14" s="41"/>
      <c r="H1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"/>
  <sheetViews>
    <sheetView workbookViewId="0"/>
  </sheetViews>
  <sheetFormatPr defaultRowHeight="15" x14ac:dyDescent="0.25"/>
  <cols>
    <col min="1" max="1" style="25" width="34.29071428571429" customWidth="1" bestFit="1"/>
    <col min="2" max="2" style="28" width="13.576428571428572" customWidth="1" bestFit="1"/>
    <col min="3" max="3" style="25" width="15.43357142857143" customWidth="1" bestFit="1"/>
    <col min="4" max="4" style="25" width="34.29071428571429" customWidth="1" bestFit="1"/>
    <col min="5" max="5" style="28" width="13.576428571428572" customWidth="1" bestFit="1"/>
    <col min="6" max="6" style="25" width="102.86214285714286" customWidth="1" bestFit="1"/>
    <col min="7" max="7" style="25" width="13.576428571428572" customWidth="1" bestFit="1"/>
    <col min="8" max="8" style="25" width="13.576428571428572" customWidth="1" bestFit="1"/>
    <col min="9" max="9" style="25" width="13.576428571428572" customWidth="1" bestFit="1"/>
    <col min="10" max="10" style="25" width="13.576428571428572" customWidth="1" bestFit="1"/>
    <col min="11" max="11" style="25" width="13.576428571428572" customWidth="1" bestFit="1"/>
  </cols>
  <sheetData>
    <row x14ac:dyDescent="0.25" r="1" customHeight="1" ht="18.75">
      <c r="A1" s="1" t="s">
        <v>246</v>
      </c>
      <c r="B1" s="32">
        <f>'Data Base'!D52</f>
      </c>
      <c r="C1" s="1"/>
      <c r="D1" s="1" t="s">
        <v>247</v>
      </c>
      <c r="E1" s="24">
        <f>((E3-1)^3)/10</f>
      </c>
      <c r="F1" s="1" t="s">
        <v>211</v>
      </c>
      <c r="G1" s="1"/>
      <c r="H1" s="1"/>
      <c r="I1" s="1"/>
      <c r="J1" s="1"/>
      <c r="K1" s="1"/>
    </row>
    <row x14ac:dyDescent="0.25" r="2" customHeight="1" ht="18.75">
      <c r="A2" s="1" t="s">
        <v>214</v>
      </c>
      <c r="B2" s="8">
        <f>'Data Base'!D40</f>
      </c>
      <c r="C2" s="1"/>
      <c r="D2" s="1" t="s">
        <v>248</v>
      </c>
      <c r="E2" s="32">
        <f>(E4*(E6+1))-E4</f>
      </c>
      <c r="F2" s="1" t="s">
        <v>249</v>
      </c>
      <c r="G2" s="1"/>
      <c r="H2" s="1"/>
      <c r="I2" s="1"/>
      <c r="J2" s="1"/>
      <c r="K2" s="1"/>
    </row>
    <row x14ac:dyDescent="0.25" r="3" customHeight="1" ht="18.75">
      <c r="A3" s="1" t="s">
        <v>20</v>
      </c>
      <c r="B3" s="8">
        <f>'Data Base'!D2</f>
      </c>
      <c r="C3" s="1"/>
      <c r="D3" s="1" t="s">
        <v>250</v>
      </c>
      <c r="E3" s="8">
        <f>E6/B6</f>
      </c>
      <c r="F3" s="1" t="s">
        <v>251</v>
      </c>
      <c r="G3" s="1"/>
      <c r="H3" s="1"/>
      <c r="I3" s="1"/>
      <c r="J3" s="1"/>
      <c r="K3" s="1"/>
    </row>
    <row x14ac:dyDescent="0.25" r="4" customHeight="1" ht="18.75">
      <c r="A4" s="1" t="s">
        <v>252</v>
      </c>
      <c r="B4" s="8">
        <f>'Data Base'!D8</f>
      </c>
      <c r="C4" s="1"/>
      <c r="D4" s="1" t="s">
        <v>253</v>
      </c>
      <c r="E4" s="32">
        <f>(B2*100000000)+((B3-B4)*5000)+(B4*100000)</f>
      </c>
      <c r="F4" s="1" t="s">
        <v>254</v>
      </c>
      <c r="G4" s="1"/>
      <c r="H4" s="1"/>
      <c r="I4" s="1"/>
      <c r="J4" s="1"/>
      <c r="K4" s="1"/>
    </row>
    <row x14ac:dyDescent="0.25" r="5" customHeight="1" ht="18.75">
      <c r="A5" s="1"/>
      <c r="B5" s="7"/>
      <c r="C5" s="1"/>
      <c r="D5" s="1" t="s">
        <v>255</v>
      </c>
      <c r="E5" s="32">
        <f>E2-((E4*(B6+1))-E4)</f>
      </c>
      <c r="F5" s="1" t="s">
        <v>256</v>
      </c>
      <c r="G5" s="1"/>
      <c r="H5" s="1"/>
      <c r="I5" s="1"/>
      <c r="J5" s="1"/>
      <c r="K5" s="1"/>
    </row>
    <row x14ac:dyDescent="0.25" r="6" customHeight="1" ht="18.75">
      <c r="A6" s="1" t="s">
        <v>257</v>
      </c>
      <c r="B6" s="24">
        <f>'Data Base'!D57</f>
      </c>
      <c r="C6" s="1"/>
      <c r="D6" s="1" t="s">
        <v>258</v>
      </c>
      <c r="E6" s="24">
        <f>B7+B6</f>
      </c>
      <c r="F6" s="1" t="s">
        <v>259</v>
      </c>
      <c r="G6" s="1"/>
      <c r="H6" s="1"/>
      <c r="I6" s="1"/>
      <c r="J6" s="6"/>
      <c r="K6" s="1"/>
    </row>
    <row x14ac:dyDescent="0.25" r="7" customHeight="1" ht="18.75">
      <c r="A7" s="1" t="s">
        <v>260</v>
      </c>
      <c r="B7" s="24">
        <f>'Data Base'!D59</f>
      </c>
      <c r="C7" s="1"/>
      <c r="D7" s="1"/>
      <c r="E7" s="7"/>
      <c r="F7" s="1"/>
      <c r="G7" s="1"/>
      <c r="H7" s="1"/>
      <c r="I7" s="1"/>
      <c r="J7" s="1"/>
      <c r="K7" s="8"/>
    </row>
    <row x14ac:dyDescent="0.25" r="8" customHeight="1" ht="18.75">
      <c r="A8" s="1"/>
      <c r="B8" s="7"/>
      <c r="C8" s="1"/>
      <c r="D8" s="1"/>
      <c r="E8" s="7"/>
      <c r="F8" s="1"/>
      <c r="G8" s="1"/>
      <c r="H8" s="1"/>
      <c r="I8" s="1"/>
      <c r="J8" s="1"/>
      <c r="K8" s="1"/>
    </row>
    <row x14ac:dyDescent="0.25" r="9" customHeight="1" ht="14.25">
      <c r="A9" s="1"/>
      <c r="B9" s="7"/>
      <c r="C9" s="1"/>
      <c r="D9" s="1"/>
      <c r="E9" s="7"/>
      <c r="F9" s="1"/>
      <c r="G9" s="1"/>
      <c r="H9" s="1"/>
      <c r="I9" s="1"/>
      <c r="J9" s="1"/>
      <c r="K9" s="1"/>
    </row>
    <row x14ac:dyDescent="0.25" r="10" customHeight="1" ht="18.75">
      <c r="A10" s="1"/>
      <c r="B10" s="7"/>
      <c r="C10" s="1"/>
      <c r="D10" s="1"/>
      <c r="E10" s="7"/>
      <c r="F10" s="1"/>
      <c r="G10" s="1"/>
      <c r="H10" s="1"/>
      <c r="I10" s="1"/>
      <c r="J10" s="1"/>
      <c r="K1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7"/>
  <sheetViews>
    <sheetView workbookViewId="0"/>
  </sheetViews>
  <sheetFormatPr defaultRowHeight="15" x14ac:dyDescent="0.25"/>
  <cols>
    <col min="1" max="1" style="25" width="23.14785714285714" customWidth="1" bestFit="1"/>
    <col min="2" max="2" style="26" width="12.005" customWidth="1" bestFit="1"/>
    <col min="3" max="3" style="25" width="11.576428571428572" customWidth="1" bestFit="1"/>
    <col min="4" max="4" style="25" width="23.433571428571426" customWidth="1" bestFit="1"/>
    <col min="5" max="5" style="26" width="11.576428571428572" customWidth="1" bestFit="1"/>
    <col min="6" max="6" style="25" width="80.005" customWidth="1" bestFit="1"/>
    <col min="7" max="7" style="25" width="11.576428571428572" customWidth="1" bestFit="1"/>
    <col min="8" max="8" style="25" width="22.862142857142857" customWidth="1" bestFit="1"/>
    <col min="9" max="9" style="26" width="22.862142857142857" customWidth="1" bestFit="1"/>
    <col min="10" max="10" style="26" width="22.862142857142857" customWidth="1" bestFit="1"/>
    <col min="11" max="11" style="26" width="11.43357142857143" customWidth="1" bestFit="1"/>
    <col min="12" max="12" style="26" width="22.862142857142857" customWidth="1" bestFit="1"/>
    <col min="13" max="13" style="25" width="65.29071428571429" customWidth="1" bestFit="1"/>
    <col min="14" max="14" style="25" width="62.86214285714286" customWidth="1" bestFit="1"/>
  </cols>
  <sheetData>
    <row x14ac:dyDescent="0.25" r="1" customHeight="1" ht="18.75">
      <c r="A1" s="1" t="s">
        <v>20</v>
      </c>
      <c r="B1" s="8">
        <f>'Data Base'!D2</f>
      </c>
      <c r="C1" s="1"/>
      <c r="D1" s="1" t="s">
        <v>229</v>
      </c>
      <c r="E1" s="8">
        <f>(B7*B1+B8*B4)*B2</f>
      </c>
      <c r="F1" s="1" t="s">
        <v>230</v>
      </c>
      <c r="G1" s="1"/>
      <c r="H1" s="1"/>
      <c r="I1" s="38" t="s">
        <v>231</v>
      </c>
      <c r="J1" s="38" t="s">
        <v>1</v>
      </c>
      <c r="K1" s="38" t="s">
        <v>44</v>
      </c>
      <c r="L1" s="38" t="s">
        <v>232</v>
      </c>
      <c r="M1" s="1"/>
      <c r="N1" s="1"/>
    </row>
    <row x14ac:dyDescent="0.25" r="2" customHeight="1" ht="18.75">
      <c r="A2" s="1" t="s">
        <v>74</v>
      </c>
      <c r="B2" s="8">
        <f>'Data Base'!D13</f>
      </c>
      <c r="C2" s="1"/>
      <c r="D2" s="1" t="s">
        <v>233</v>
      </c>
      <c r="E2" s="8">
        <f>B9*B3*B2</f>
      </c>
      <c r="F2" s="1" t="s">
        <v>234</v>
      </c>
      <c r="G2" s="1"/>
      <c r="H2" s="1" t="s">
        <v>7</v>
      </c>
      <c r="I2" s="8">
        <v>10</v>
      </c>
      <c r="J2" s="8">
        <v>1</v>
      </c>
      <c r="K2" s="8">
        <v>80</v>
      </c>
      <c r="L2" s="8">
        <f>I2*K2</f>
      </c>
      <c r="M2" s="39">
        <f>"set_variable = { ebf_economy_"&amp;H2&amp;"_monthly_cost = "&amp;I2&amp;" }"</f>
      </c>
      <c r="N2" s="39">
        <f>"set_variable = { ebf_economy_"&amp;H2&amp;"_building_cost = "&amp;J2&amp;" }"</f>
      </c>
    </row>
    <row x14ac:dyDescent="0.25" r="3" customHeight="1" ht="18.75">
      <c r="A3" s="1" t="s">
        <v>235</v>
      </c>
      <c r="B3" s="8">
        <f>'Data Base'!D4</f>
      </c>
      <c r="C3" s="1"/>
      <c r="D3" s="1" t="s">
        <v>236</v>
      </c>
      <c r="E3" s="8">
        <f>B10*(B4+(B5*0.01))*B2</f>
      </c>
      <c r="F3" s="1" t="s">
        <v>237</v>
      </c>
      <c r="G3" s="1"/>
      <c r="H3" s="1" t="s">
        <v>14</v>
      </c>
      <c r="I3" s="8">
        <v>500</v>
      </c>
      <c r="J3" s="8">
        <v>20</v>
      </c>
      <c r="K3" s="8">
        <f>'Data Base'!D41</f>
      </c>
      <c r="L3" s="8">
        <f>I3*K3</f>
      </c>
      <c r="M3" s="39">
        <f>"set_variable = { ebf_economy_"&amp;H3&amp;"_monthly_cost = "&amp;I3&amp;" }"</f>
      </c>
      <c r="N3" s="39">
        <f>"set_variable = { ebf_economy_"&amp;H3&amp;"_building_cost = "&amp;J3&amp;" }"</f>
      </c>
    </row>
    <row x14ac:dyDescent="0.25" r="4" customHeight="1" ht="18.75">
      <c r="A4" s="1" t="s">
        <v>238</v>
      </c>
      <c r="B4" s="24">
        <f>'Data Base'!D14</f>
      </c>
      <c r="C4" s="1"/>
      <c r="D4" s="1" t="s">
        <v>65</v>
      </c>
      <c r="E4" s="8">
        <f>B11*B6*B2</f>
      </c>
      <c r="F4" s="1" t="s">
        <v>239</v>
      </c>
      <c r="G4" s="1"/>
      <c r="H4" s="1" t="s">
        <v>21</v>
      </c>
      <c r="I4" s="8">
        <v>500</v>
      </c>
      <c r="J4" s="8">
        <v>40</v>
      </c>
      <c r="K4" s="8">
        <f>'Data Base'!D40</f>
      </c>
      <c r="L4" s="8">
        <f>I4*K4</f>
      </c>
      <c r="M4" s="39">
        <f>"set_variable = { ebf_economy_"&amp;H4&amp;"_monthly_cost = "&amp;I4&amp;" }"</f>
      </c>
      <c r="N4" s="39">
        <f>"set_variable = { ebf_economy_"&amp;H4&amp;"_building_cost = "&amp;J4&amp;" }"</f>
      </c>
    </row>
    <row x14ac:dyDescent="0.25" r="5" customHeight="1" ht="18.75">
      <c r="A5" s="1" t="s">
        <v>240</v>
      </c>
      <c r="B5" s="24">
        <f>'Data Base'!D3</f>
      </c>
      <c r="C5" s="1"/>
      <c r="D5" s="1" t="s">
        <v>241</v>
      </c>
      <c r="E5" s="8">
        <f>L24*B2</f>
      </c>
      <c r="F5" s="1" t="s">
        <v>242</v>
      </c>
      <c r="G5" s="1"/>
      <c r="H5" s="1" t="s">
        <v>26</v>
      </c>
      <c r="I5" s="8">
        <v>20</v>
      </c>
      <c r="J5" s="8">
        <v>5</v>
      </c>
      <c r="K5" s="8">
        <v>40</v>
      </c>
      <c r="L5" s="8">
        <f>I5*K5</f>
      </c>
      <c r="M5" s="39">
        <f>"set_variable = { ebf_economy_"&amp;H5&amp;"_monthly_cost = "&amp;I5&amp;" }"</f>
      </c>
      <c r="N5" s="39">
        <f>"set_variable = { ebf_economy_"&amp;H5&amp;"_building_cost = "&amp;J5&amp;" }"</f>
      </c>
    </row>
    <row x14ac:dyDescent="0.25" r="6" customHeight="1" ht="18.75">
      <c r="A6" s="1" t="s">
        <v>243</v>
      </c>
      <c r="B6" s="24">
        <f>'Data Base'!D7</f>
      </c>
      <c r="C6" s="1"/>
      <c r="D6" s="1" t="s">
        <v>38</v>
      </c>
      <c r="E6" s="8">
        <f>SUM(E1:E5)</f>
      </c>
      <c r="F6" s="1"/>
      <c r="G6" s="1"/>
      <c r="H6" s="1" t="s">
        <v>31</v>
      </c>
      <c r="I6" s="8">
        <v>500</v>
      </c>
      <c r="J6" s="8">
        <v>10</v>
      </c>
      <c r="K6" s="8">
        <v>5</v>
      </c>
      <c r="L6" s="8">
        <f>I6*K6</f>
      </c>
      <c r="M6" s="39">
        <f>"set_variable = { ebf_economy_"&amp;H6&amp;"_monthly_cost = "&amp;I6&amp;" }"</f>
      </c>
      <c r="N6" s="39">
        <f>"set_variable = { ebf_economy_"&amp;H6&amp;"_building_cost = "&amp;J6&amp;" }"</f>
      </c>
    </row>
    <row x14ac:dyDescent="0.25" r="7" customHeight="1" ht="18.75">
      <c r="A7" s="1" t="s">
        <v>193</v>
      </c>
      <c r="B7" s="8">
        <f>'Data Base'!D15</f>
      </c>
      <c r="C7" s="1"/>
      <c r="D7" s="1"/>
      <c r="E7" s="16"/>
      <c r="F7" s="1"/>
      <c r="G7" s="1"/>
      <c r="H7" s="1" t="s">
        <v>34</v>
      </c>
      <c r="I7" s="8">
        <v>10</v>
      </c>
      <c r="J7" s="8">
        <v>1</v>
      </c>
      <c r="K7" s="8">
        <v>80</v>
      </c>
      <c r="L7" s="8">
        <f>I7*K7</f>
      </c>
      <c r="M7" s="39">
        <f>"set_variable = { ebf_economy_"&amp;H7&amp;"_monthly_cost = "&amp;I7&amp;" }"</f>
      </c>
      <c r="N7" s="39">
        <f>"set_variable = { ebf_economy_"&amp;H7&amp;"_building_cost = "&amp;J7&amp;" }"</f>
      </c>
    </row>
    <row x14ac:dyDescent="0.25" r="8" customHeight="1" ht="18.75">
      <c r="A8" s="1" t="s">
        <v>196</v>
      </c>
      <c r="B8" s="8">
        <f>'Data Base'!D16</f>
      </c>
      <c r="C8" s="1"/>
      <c r="D8" s="1"/>
      <c r="E8" s="16"/>
      <c r="F8" s="1"/>
      <c r="G8" s="1"/>
      <c r="H8" s="1" t="s">
        <v>35</v>
      </c>
      <c r="I8" s="8">
        <v>50</v>
      </c>
      <c r="J8" s="8">
        <v>5</v>
      </c>
      <c r="K8" s="8">
        <v>25</v>
      </c>
      <c r="L8" s="8">
        <f>I8*K8</f>
      </c>
      <c r="M8" s="39">
        <f>"set_variable = { ebf_economy_"&amp;H8&amp;"_monthly_cost = "&amp;I8&amp;" }"</f>
      </c>
      <c r="N8" s="39">
        <f>"set_variable = { ebf_economy_"&amp;H8&amp;"_building_cost = "&amp;J8&amp;" }"</f>
      </c>
    </row>
    <row x14ac:dyDescent="0.25" r="9" customHeight="1" ht="18.75">
      <c r="A9" s="1" t="s">
        <v>199</v>
      </c>
      <c r="B9" s="8">
        <f>'Data Base'!D17</f>
      </c>
      <c r="C9" s="1"/>
      <c r="D9" s="1"/>
      <c r="E9" s="16"/>
      <c r="F9" s="1"/>
      <c r="G9" s="1"/>
      <c r="H9" s="1" t="s">
        <v>36</v>
      </c>
      <c r="I9" s="8">
        <v>10</v>
      </c>
      <c r="J9" s="8">
        <v>1</v>
      </c>
      <c r="K9" s="8">
        <v>50</v>
      </c>
      <c r="L9" s="8">
        <f>I9*K9</f>
      </c>
      <c r="M9" s="39">
        <f>"set_variable = { ebf_economy_"&amp;H9&amp;"_monthly_cost = "&amp;I9&amp;" }"</f>
      </c>
      <c r="N9" s="39">
        <f>"set_variable = { ebf_economy_"&amp;H9&amp;"_building_cost = "&amp;J9&amp;" }"</f>
      </c>
    </row>
    <row x14ac:dyDescent="0.25" r="10" customHeight="1" ht="18.75">
      <c r="A10" s="1" t="s">
        <v>202</v>
      </c>
      <c r="B10" s="8">
        <f>'Data Base'!D18</f>
      </c>
      <c r="C10" s="1"/>
      <c r="D10" s="1"/>
      <c r="E10" s="16"/>
      <c r="F10" s="1"/>
      <c r="G10" s="1"/>
      <c r="H10" s="1" t="s">
        <v>37</v>
      </c>
      <c r="I10" s="8">
        <v>10</v>
      </c>
      <c r="J10" s="8">
        <v>1</v>
      </c>
      <c r="K10" s="8">
        <v>30</v>
      </c>
      <c r="L10" s="8">
        <f>I10*K10</f>
      </c>
      <c r="M10" s="39">
        <f>"set_variable = { ebf_economy_"&amp;H10&amp;"_monthly_cost = "&amp;I10&amp;" }"</f>
      </c>
      <c r="N10" s="39">
        <f>"set_variable = { ebf_economy_"&amp;H10&amp;"_building_cost = "&amp;J10&amp;" }"</f>
      </c>
    </row>
    <row x14ac:dyDescent="0.25" r="11" customHeight="1" ht="18.75">
      <c r="A11" s="1" t="s">
        <v>205</v>
      </c>
      <c r="B11" s="8">
        <f>'Data Base'!D19</f>
      </c>
      <c r="C11" s="1"/>
      <c r="D11" s="1"/>
      <c r="E11" s="16"/>
      <c r="F11" s="1"/>
      <c r="G11" s="1"/>
      <c r="H11" s="1" t="s">
        <v>41</v>
      </c>
      <c r="I11" s="8">
        <v>500</v>
      </c>
      <c r="J11" s="8">
        <v>20</v>
      </c>
      <c r="K11" s="8">
        <f>'Data Base'!D42</f>
      </c>
      <c r="L11" s="8">
        <f>I11*K11</f>
      </c>
      <c r="M11" s="39">
        <f>"set_variable = { ebf_economy_"&amp;H11&amp;"_monthly_cost = "&amp;I11&amp;" }"</f>
      </c>
      <c r="N11" s="39">
        <f>"set_variable = { ebf_economy_"&amp;H11&amp;"_building_cost = "&amp;J11&amp;" }"</f>
      </c>
    </row>
    <row x14ac:dyDescent="0.25" r="12" customHeight="1" ht="18.75">
      <c r="A12" s="1"/>
      <c r="B12" s="16"/>
      <c r="C12" s="1"/>
      <c r="D12" s="1"/>
      <c r="E12" s="16"/>
      <c r="F12" s="1"/>
      <c r="G12" s="1"/>
      <c r="H12" s="1" t="s">
        <v>47</v>
      </c>
      <c r="I12" s="8">
        <v>10</v>
      </c>
      <c r="J12" s="8">
        <v>1</v>
      </c>
      <c r="K12" s="8">
        <v>10</v>
      </c>
      <c r="L12" s="8">
        <f>I12*K12</f>
      </c>
      <c r="M12" s="39">
        <f>"set_variable = { ebf_economy_"&amp;H12&amp;"_monthly_cost = "&amp;I12&amp;" }"</f>
      </c>
      <c r="N12" s="39">
        <f>"set_variable = { ebf_economy_"&amp;H12&amp;"_building_cost = "&amp;J12&amp;" }"</f>
      </c>
    </row>
    <row x14ac:dyDescent="0.25" r="13" customHeight="1" ht="18.75">
      <c r="A13" s="1"/>
      <c r="B13" s="16"/>
      <c r="C13" s="1"/>
      <c r="D13" s="1"/>
      <c r="E13" s="16"/>
      <c r="F13" s="1"/>
      <c r="G13" s="1"/>
      <c r="H13" s="1" t="s">
        <v>54</v>
      </c>
      <c r="I13" s="8">
        <v>300</v>
      </c>
      <c r="J13" s="8">
        <v>10</v>
      </c>
      <c r="K13" s="8">
        <v>10</v>
      </c>
      <c r="L13" s="8">
        <f>I13*K13</f>
      </c>
      <c r="M13" s="39">
        <f>"set_variable = { ebf_economy_"&amp;H13&amp;"_monthly_cost = "&amp;I13&amp;" }"</f>
      </c>
      <c r="N13" s="39">
        <f>"set_variable = { ebf_economy_"&amp;H13&amp;"_building_cost = "&amp;J13&amp;" }"</f>
      </c>
    </row>
    <row x14ac:dyDescent="0.25" r="14" customHeight="1" ht="18.75">
      <c r="A14" s="1"/>
      <c r="B14" s="16"/>
      <c r="C14" s="1"/>
      <c r="D14" s="1"/>
      <c r="E14" s="16"/>
      <c r="F14" s="1"/>
      <c r="G14" s="1"/>
      <c r="H14" s="1" t="s">
        <v>59</v>
      </c>
      <c r="I14" s="8">
        <v>20</v>
      </c>
      <c r="J14" s="8">
        <v>5</v>
      </c>
      <c r="K14" s="8">
        <v>4</v>
      </c>
      <c r="L14" s="8">
        <f>I14*K14</f>
      </c>
      <c r="M14" s="39">
        <f>"set_variable = { ebf_economy_"&amp;H14&amp;"_monthly_cost = "&amp;I14&amp;" }"</f>
      </c>
      <c r="N14" s="39">
        <f>"set_variable = { ebf_economy_"&amp;H14&amp;"_building_cost = "&amp;J14&amp;" }"</f>
      </c>
    </row>
    <row x14ac:dyDescent="0.25" r="15" customHeight="1" ht="18.75">
      <c r="A15" s="1"/>
      <c r="B15" s="16"/>
      <c r="C15" s="1"/>
      <c r="D15" s="1"/>
      <c r="E15" s="16"/>
      <c r="F15" s="1"/>
      <c r="G15" s="1"/>
      <c r="H15" s="1" t="s">
        <v>64</v>
      </c>
      <c r="I15" s="8">
        <v>50</v>
      </c>
      <c r="J15" s="8">
        <v>10</v>
      </c>
      <c r="K15" s="8">
        <v>6</v>
      </c>
      <c r="L15" s="8">
        <f>I15*K15</f>
      </c>
      <c r="M15" s="39">
        <f>"set_variable = { ebf_economy_"&amp;H15&amp;"_monthly_cost = "&amp;I15&amp;" }"</f>
      </c>
      <c r="N15" s="39">
        <f>"set_variable = { ebf_economy_"&amp;H15&amp;"_building_cost = "&amp;J15&amp;" }"</f>
      </c>
    </row>
    <row x14ac:dyDescent="0.25" r="16" customHeight="1" ht="18.75">
      <c r="A16" s="1"/>
      <c r="B16" s="16"/>
      <c r="C16" s="1"/>
      <c r="D16" s="1"/>
      <c r="E16" s="16"/>
      <c r="F16" s="1"/>
      <c r="G16" s="1"/>
      <c r="H16" s="1" t="s">
        <v>69</v>
      </c>
      <c r="I16" s="8">
        <v>20</v>
      </c>
      <c r="J16" s="8">
        <v>5</v>
      </c>
      <c r="K16" s="8">
        <v>0</v>
      </c>
      <c r="L16" s="8">
        <f>I16*K16</f>
      </c>
      <c r="M16" s="39">
        <f>"set_variable = { ebf_economy_"&amp;H16&amp;"_monthly_cost = "&amp;I16&amp;" }"</f>
      </c>
      <c r="N16" s="39">
        <f>"set_variable = { ebf_economy_"&amp;H16&amp;"_building_cost = "&amp;J16&amp;" }"</f>
      </c>
    </row>
    <row x14ac:dyDescent="0.25" r="17" customHeight="1" ht="18.75">
      <c r="A17" s="1"/>
      <c r="B17" s="16"/>
      <c r="C17" s="1"/>
      <c r="D17" s="1"/>
      <c r="E17" s="16"/>
      <c r="F17" s="1"/>
      <c r="G17" s="1"/>
      <c r="H17" s="1" t="s">
        <v>70</v>
      </c>
      <c r="I17" s="8">
        <v>2000</v>
      </c>
      <c r="J17" s="8">
        <v>100</v>
      </c>
      <c r="K17" s="8">
        <v>0</v>
      </c>
      <c r="L17" s="8">
        <f>I17*K17</f>
      </c>
      <c r="M17" s="39">
        <f>"set_variable = { ebf_economy_"&amp;H17&amp;"_monthly_cost = "&amp;I17&amp;" }"</f>
      </c>
      <c r="N17" s="39">
        <f>"set_variable = { ebf_economy_"&amp;H17&amp;"_building_cost = "&amp;J17&amp;" }"</f>
      </c>
    </row>
    <row x14ac:dyDescent="0.25" r="18" customHeight="1" ht="18.75">
      <c r="A18" s="1"/>
      <c r="B18" s="16"/>
      <c r="C18" s="1"/>
      <c r="D18" s="1"/>
      <c r="E18" s="16"/>
      <c r="F18" s="1"/>
      <c r="G18" s="1"/>
      <c r="H18" s="1" t="s">
        <v>71</v>
      </c>
      <c r="I18" s="8">
        <v>200</v>
      </c>
      <c r="J18" s="8">
        <v>15</v>
      </c>
      <c r="K18" s="8">
        <v>0</v>
      </c>
      <c r="L18" s="8">
        <f>I18*K18</f>
      </c>
      <c r="M18" s="39">
        <f>"set_variable = { ebf_economy_"&amp;H18&amp;"_monthly_cost = "&amp;I18&amp;" }"</f>
      </c>
      <c r="N18" s="39">
        <f>"set_variable = { ebf_economy_"&amp;H18&amp;"_building_cost = "&amp;J18&amp;" }"</f>
      </c>
    </row>
    <row x14ac:dyDescent="0.25" r="19" customHeight="1" ht="18.75">
      <c r="A19" s="1"/>
      <c r="B19" s="16"/>
      <c r="C19" s="1"/>
      <c r="D19" s="1"/>
      <c r="E19" s="16"/>
      <c r="F19" s="1"/>
      <c r="G19" s="1"/>
      <c r="H19" s="1" t="s">
        <v>72</v>
      </c>
      <c r="I19" s="8">
        <v>200</v>
      </c>
      <c r="J19" s="8">
        <v>15</v>
      </c>
      <c r="K19" s="8">
        <v>0</v>
      </c>
      <c r="L19" s="8">
        <f>I19*K19</f>
      </c>
      <c r="M19" s="39">
        <f>"set_variable = { ebf_economy_"&amp;H19&amp;"_monthly_cost = "&amp;I19&amp;" }"</f>
      </c>
      <c r="N19" s="39">
        <f>"set_variable = { ebf_economy_"&amp;H19&amp;"_building_cost = "&amp;J19&amp;" }"</f>
      </c>
    </row>
    <row x14ac:dyDescent="0.25" r="20" customHeight="1" ht="18.75">
      <c r="A20" s="1"/>
      <c r="B20" s="16"/>
      <c r="C20" s="6"/>
      <c r="D20" s="1"/>
      <c r="E20" s="16"/>
      <c r="F20" s="1"/>
      <c r="G20" s="1"/>
      <c r="H20" s="1" t="s">
        <v>76</v>
      </c>
      <c r="I20" s="8">
        <v>200</v>
      </c>
      <c r="J20" s="8">
        <v>15</v>
      </c>
      <c r="K20" s="8">
        <v>0</v>
      </c>
      <c r="L20" s="8">
        <f>I20*K20</f>
      </c>
      <c r="M20" s="39">
        <f>"set_variable = { ebf_economy_"&amp;H20&amp;"_monthly_cost = "&amp;I20&amp;" }"</f>
      </c>
      <c r="N20" s="39">
        <f>"set_variable = { ebf_economy_"&amp;H20&amp;"_building_cost = "&amp;J20&amp;" }"</f>
      </c>
    </row>
    <row x14ac:dyDescent="0.25" r="21" customHeight="1" ht="18.75">
      <c r="A21" s="1"/>
      <c r="B21" s="16"/>
      <c r="C21" s="1"/>
      <c r="D21" s="1"/>
      <c r="E21" s="16"/>
      <c r="F21" s="1"/>
      <c r="G21" s="1"/>
      <c r="H21" s="1" t="s">
        <v>84</v>
      </c>
      <c r="I21" s="8">
        <v>20</v>
      </c>
      <c r="J21" s="8">
        <v>5</v>
      </c>
      <c r="K21" s="8">
        <v>0</v>
      </c>
      <c r="L21" s="8">
        <f>I21*K21</f>
      </c>
      <c r="M21" s="39">
        <f>"set_variable = { ebf_economy_"&amp;H21&amp;"_monthly_cost = "&amp;I21&amp;" }"</f>
      </c>
      <c r="N21" s="39">
        <f>"set_variable = { ebf_economy_"&amp;H21&amp;"_building_cost = "&amp;J21&amp;" }"</f>
      </c>
    </row>
    <row x14ac:dyDescent="0.25" r="22" customHeight="1" ht="18.75">
      <c r="A22" s="1"/>
      <c r="B22" s="16"/>
      <c r="C22" s="1"/>
      <c r="D22" s="1"/>
      <c r="E22" s="16"/>
      <c r="F22" s="1"/>
      <c r="G22" s="1"/>
      <c r="H22" s="1" t="s">
        <v>92</v>
      </c>
      <c r="I22" s="8">
        <v>20</v>
      </c>
      <c r="J22" s="8">
        <v>5</v>
      </c>
      <c r="K22" s="8">
        <v>0</v>
      </c>
      <c r="L22" s="8">
        <f>I22*K22</f>
      </c>
      <c r="M22" s="39">
        <f>"set_variable = { ebf_economy_"&amp;H22&amp;"_monthly_cost = "&amp;I22&amp;" }"</f>
      </c>
      <c r="N22" s="39">
        <f>"set_variable = { ebf_economy_"&amp;H22&amp;"_building_cost = "&amp;J22&amp;" }"</f>
      </c>
    </row>
    <row x14ac:dyDescent="0.25" r="23" customHeight="1" ht="18.75">
      <c r="A23" s="1"/>
      <c r="B23" s="16"/>
      <c r="C23" s="1"/>
      <c r="D23" s="1"/>
      <c r="E23" s="16"/>
      <c r="F23" s="1"/>
      <c r="G23" s="1"/>
      <c r="H23" s="1" t="s">
        <v>99</v>
      </c>
      <c r="I23" s="8">
        <v>20</v>
      </c>
      <c r="J23" s="8">
        <v>5</v>
      </c>
      <c r="K23" s="8">
        <v>0</v>
      </c>
      <c r="L23" s="8">
        <f>I23*K23</f>
      </c>
      <c r="M23" s="1"/>
      <c r="N23" s="1"/>
    </row>
    <row x14ac:dyDescent="0.25" r="24" customHeight="1" ht="18.75">
      <c r="A24" s="1"/>
      <c r="B24" s="16"/>
      <c r="C24" s="1"/>
      <c r="D24" s="1"/>
      <c r="E24" s="16"/>
      <c r="F24" s="1"/>
      <c r="G24" s="1"/>
      <c r="H24" s="1" t="s">
        <v>244</v>
      </c>
      <c r="I24" s="16"/>
      <c r="J24" s="16"/>
      <c r="K24" s="16"/>
      <c r="L24" s="8">
        <f>SUM(L2:L23)</f>
      </c>
      <c r="M24" s="1"/>
      <c r="N24" s="1"/>
    </row>
    <row x14ac:dyDescent="0.25" r="25" customHeight="1" ht="18.75">
      <c r="A25" s="1"/>
      <c r="B25" s="16"/>
      <c r="C25" s="1"/>
      <c r="D25" s="1"/>
      <c r="E25" s="16"/>
      <c r="F25" s="1"/>
      <c r="G25" s="1"/>
      <c r="H25" s="1"/>
      <c r="I25" s="16"/>
      <c r="J25" s="16"/>
      <c r="K25" s="16"/>
      <c r="L25" s="16"/>
      <c r="M25" s="1"/>
      <c r="N25" s="1"/>
    </row>
    <row x14ac:dyDescent="0.25" r="26" customHeight="1" ht="18.75">
      <c r="A26" s="1"/>
      <c r="B26" s="16"/>
      <c r="C26" s="1"/>
      <c r="D26" s="1"/>
      <c r="E26" s="16"/>
      <c r="F26" s="1"/>
      <c r="G26" s="1"/>
      <c r="H26" s="1"/>
      <c r="I26" s="16"/>
      <c r="J26" s="16"/>
      <c r="K26" s="16"/>
      <c r="L26" s="16"/>
      <c r="M26" s="1"/>
      <c r="N26" s="1"/>
    </row>
    <row x14ac:dyDescent="0.25" r="27" customHeight="1" ht="18.75">
      <c r="A27" s="1"/>
      <c r="B27" s="16"/>
      <c r="C27" s="1"/>
      <c r="D27" s="1"/>
      <c r="E27" s="16"/>
      <c r="F27" s="1"/>
      <c r="G27" s="1"/>
      <c r="H27" s="1" t="s">
        <v>245</v>
      </c>
      <c r="I27" s="16"/>
      <c r="J27" s="16"/>
      <c r="K27" s="16"/>
      <c r="L27" s="16"/>
      <c r="M27" s="1"/>
      <c r="N2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25" width="22.862142857142857" customWidth="1" bestFit="1"/>
    <col min="2" max="2" style="26" width="13.576428571428572" customWidth="1" bestFit="1"/>
    <col min="3" max="3" style="25" width="13.576428571428572" customWidth="1" bestFit="1"/>
    <col min="4" max="4" style="25" width="34.29071428571429" customWidth="1" bestFit="1"/>
    <col min="5" max="5" style="26" width="13.576428571428572" customWidth="1" bestFit="1"/>
  </cols>
  <sheetData>
    <row x14ac:dyDescent="0.25" r="1" customHeight="1" ht="18.75">
      <c r="A1" s="37" t="s">
        <v>221</v>
      </c>
      <c r="B1" s="8">
        <f>'Data Base'!D61</f>
      </c>
      <c r="C1" s="1"/>
      <c r="D1" s="1" t="s">
        <v>222</v>
      </c>
      <c r="E1" s="8">
        <f>B1*B3*B5</f>
      </c>
    </row>
    <row x14ac:dyDescent="0.25" r="2" customHeight="1" ht="18.75">
      <c r="A2" s="37" t="s">
        <v>223</v>
      </c>
      <c r="B2" s="8">
        <f>'Data Base'!D62</f>
      </c>
      <c r="C2" s="1"/>
      <c r="D2" s="1" t="s">
        <v>224</v>
      </c>
      <c r="E2" s="8">
        <f>B2*B4*B5</f>
      </c>
    </row>
    <row x14ac:dyDescent="0.25" r="3" customHeight="1" ht="18.75">
      <c r="A3" s="37" t="s">
        <v>225</v>
      </c>
      <c r="B3" s="8">
        <f>'Data Base'!D63</f>
      </c>
      <c r="C3" s="1"/>
      <c r="D3" s="1" t="s">
        <v>226</v>
      </c>
      <c r="E3" s="8">
        <f>E1-E2</f>
      </c>
    </row>
    <row x14ac:dyDescent="0.25" r="4" customHeight="1" ht="18.75">
      <c r="A4" s="37" t="s">
        <v>227</v>
      </c>
      <c r="B4" s="8">
        <f>'Data Base'!D64</f>
      </c>
      <c r="C4" s="1"/>
      <c r="D4" s="1"/>
      <c r="E4" s="16"/>
    </row>
    <row x14ac:dyDescent="0.25" r="5" customHeight="1" ht="18.75">
      <c r="A5" s="1" t="s">
        <v>74</v>
      </c>
      <c r="B5" s="8">
        <f>'Data Base'!D13</f>
      </c>
      <c r="C5" s="1"/>
      <c r="D5" s="1"/>
      <c r="E5" s="16"/>
    </row>
    <row x14ac:dyDescent="0.25" r="6" customHeight="1" ht="18.75">
      <c r="A6" s="1"/>
      <c r="B6" s="16"/>
      <c r="C6" s="1"/>
      <c r="D6" s="1"/>
      <c r="E6" s="16"/>
    </row>
    <row x14ac:dyDescent="0.25" r="7" customHeight="1" ht="18.75">
      <c r="A7" s="1"/>
      <c r="B7" s="16"/>
      <c r="C7" s="1"/>
      <c r="D7" s="1"/>
      <c r="E7" s="16"/>
    </row>
    <row x14ac:dyDescent="0.25" r="8" customHeight="1" ht="18.75">
      <c r="A8" s="1" t="s">
        <v>228</v>
      </c>
      <c r="B8" s="16"/>
      <c r="C8" s="1"/>
      <c r="D8" s="1"/>
      <c r="E8" s="1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3"/>
  <sheetViews>
    <sheetView workbookViewId="0"/>
  </sheetViews>
  <sheetFormatPr defaultRowHeight="15" x14ac:dyDescent="0.25"/>
  <cols>
    <col min="1" max="1" style="25" width="22.862142857142857" customWidth="1" bestFit="1"/>
    <col min="2" max="2" style="26" width="13.576428571428572" customWidth="1" bestFit="1"/>
    <col min="3" max="3" style="36" width="13.576428571428572" customWidth="1" bestFit="1"/>
    <col min="4" max="4" style="25" width="22.862142857142857" customWidth="1" bestFit="1"/>
    <col min="5" max="5" style="28" width="13.576428571428572" customWidth="1" bestFit="1"/>
    <col min="6" max="6" style="25" width="57.14785714285715" customWidth="1" bestFit="1"/>
    <col min="7" max="7" style="25" width="13.576428571428572" customWidth="1" bestFit="1"/>
    <col min="8" max="8" style="25" width="13.576428571428572" customWidth="1" bestFit="1"/>
    <col min="9" max="9" style="25" width="13.576428571428572" customWidth="1" bestFit="1"/>
    <col min="10" max="10" style="25" width="13.576428571428572" customWidth="1" bestFit="1"/>
    <col min="11" max="11" style="25" width="13.576428571428572" customWidth="1" bestFit="1"/>
    <col min="12" max="12" style="25" width="13.576428571428572" customWidth="1" bestFit="1"/>
    <col min="13" max="13" style="25" width="13.576428571428572" customWidth="1" bestFit="1"/>
    <col min="14" max="14" style="25" width="13.576428571428572" customWidth="1" bestFit="1"/>
    <col min="15" max="15" style="25" width="13.576428571428572" customWidth="1" bestFit="1"/>
  </cols>
  <sheetData>
    <row x14ac:dyDescent="0.25" r="1" customHeight="1" ht="18.75">
      <c r="A1" s="1" t="s">
        <v>95</v>
      </c>
      <c r="B1" s="16"/>
      <c r="C1" s="31"/>
      <c r="D1" s="1" t="s">
        <v>74</v>
      </c>
      <c r="E1" s="7"/>
      <c r="F1" s="1" t="s">
        <v>80</v>
      </c>
      <c r="G1" s="1"/>
      <c r="H1" s="1"/>
      <c r="I1" s="1"/>
      <c r="J1" s="1"/>
      <c r="K1" s="1"/>
      <c r="L1" s="1"/>
      <c r="M1" s="1"/>
      <c r="N1" s="1"/>
      <c r="O1" s="1"/>
    </row>
    <row x14ac:dyDescent="0.25" r="2" customHeight="1" ht="18.75">
      <c r="A2" s="1" t="s">
        <v>209</v>
      </c>
      <c r="B2" s="16"/>
      <c r="C2" s="31"/>
      <c r="D2" s="1" t="s">
        <v>171</v>
      </c>
      <c r="E2" s="24">
        <f>SUM(E3:E6)</f>
      </c>
      <c r="F2" s="1"/>
      <c r="G2" s="1"/>
      <c r="H2" s="1"/>
      <c r="I2" s="1"/>
      <c r="J2" s="1"/>
      <c r="K2" s="1"/>
      <c r="L2" s="1"/>
      <c r="M2" s="1"/>
      <c r="N2" s="1"/>
      <c r="O2" s="1"/>
    </row>
    <row x14ac:dyDescent="0.25" r="3" customHeight="1" ht="18.75">
      <c r="A3" s="1" t="s">
        <v>210</v>
      </c>
      <c r="B3" s="8">
        <f>'Data Base'!D41</f>
      </c>
      <c r="C3" s="31"/>
      <c r="D3" s="1" t="s">
        <v>102</v>
      </c>
      <c r="E3" s="24">
        <f>'Data Base'!D53</f>
      </c>
      <c r="F3" s="1" t="s">
        <v>211</v>
      </c>
      <c r="G3" s="1"/>
      <c r="H3" s="1"/>
      <c r="I3" s="1"/>
      <c r="J3" s="1"/>
      <c r="K3" s="1"/>
      <c r="L3" s="1"/>
      <c r="M3" s="1"/>
      <c r="N3" s="1"/>
      <c r="O3" s="1"/>
    </row>
    <row x14ac:dyDescent="0.25" r="4" customHeight="1" ht="18.75">
      <c r="A4" s="1" t="s">
        <v>212</v>
      </c>
      <c r="B4" s="8">
        <f>'Data Base'!D42</f>
      </c>
      <c r="C4" s="31"/>
      <c r="D4" s="1" t="s">
        <v>107</v>
      </c>
      <c r="E4" s="24">
        <f>((((B3+B4)*2)/B5)-1)/100</f>
      </c>
      <c r="F4" s="1" t="s">
        <v>213</v>
      </c>
      <c r="G4" s="1"/>
      <c r="H4" s="1"/>
      <c r="I4" s="1"/>
      <c r="J4" s="1"/>
      <c r="K4" s="1"/>
      <c r="L4" s="1"/>
      <c r="M4" s="1"/>
      <c r="N4" s="1"/>
      <c r="O4" s="1"/>
    </row>
    <row x14ac:dyDescent="0.25" r="5" customHeight="1" ht="18.75">
      <c r="A5" s="1" t="s">
        <v>214</v>
      </c>
      <c r="B5" s="8">
        <f>'Data Base'!D40</f>
      </c>
      <c r="C5" s="31"/>
      <c r="D5" s="1" t="s">
        <v>215</v>
      </c>
      <c r="E5" s="24">
        <f>((B6-(0.1*B7))/B7)/3</f>
      </c>
      <c r="F5" s="1" t="s">
        <v>216</v>
      </c>
      <c r="G5" s="1"/>
      <c r="H5" s="1"/>
      <c r="I5" s="1"/>
      <c r="J5" s="1"/>
      <c r="K5" s="1"/>
      <c r="L5" s="1"/>
      <c r="M5" s="1"/>
      <c r="N5" s="1"/>
      <c r="O5" s="1"/>
    </row>
    <row x14ac:dyDescent="0.25" r="6" customHeight="1" ht="18.75">
      <c r="A6" s="1" t="s">
        <v>217</v>
      </c>
      <c r="B6" s="32">
        <f>1000000000</f>
      </c>
      <c r="C6" s="32"/>
      <c r="D6" s="1" t="s">
        <v>115</v>
      </c>
      <c r="E6" s="24">
        <f>(B8/(B7*12))/50</f>
      </c>
      <c r="F6" s="1" t="s">
        <v>218</v>
      </c>
      <c r="G6" s="1"/>
      <c r="H6" s="1"/>
      <c r="I6" s="1"/>
      <c r="J6" s="1"/>
      <c r="K6" s="1"/>
      <c r="L6" s="1"/>
      <c r="M6" s="1"/>
      <c r="N6" s="1"/>
      <c r="O6" s="1"/>
    </row>
    <row x14ac:dyDescent="0.25" r="7" customHeight="1" ht="18.75">
      <c r="A7" s="1" t="s">
        <v>219</v>
      </c>
      <c r="B7" s="32">
        <f>'Data Base'!D39</f>
      </c>
      <c r="C7" s="31"/>
      <c r="D7" s="1"/>
      <c r="E7" s="24"/>
      <c r="F7" s="1"/>
      <c r="G7" s="1"/>
      <c r="H7" s="1"/>
      <c r="I7" s="1"/>
      <c r="J7" s="1"/>
      <c r="K7" s="1"/>
      <c r="L7" s="1"/>
      <c r="M7" s="1"/>
      <c r="N7" s="1"/>
      <c r="O7" s="1"/>
    </row>
    <row x14ac:dyDescent="0.25" r="8" customHeight="1" ht="18.75">
      <c r="A8" s="1" t="s">
        <v>220</v>
      </c>
      <c r="B8" s="32">
        <f>'Data Base'!D48</f>
      </c>
      <c r="C8" s="31"/>
      <c r="D8" s="1"/>
      <c r="E8" s="7"/>
      <c r="F8" s="1"/>
      <c r="G8" s="1"/>
      <c r="H8" s="1"/>
      <c r="I8" s="1"/>
      <c r="J8" s="1"/>
      <c r="K8" s="1"/>
      <c r="L8" s="1"/>
      <c r="M8" s="1"/>
      <c r="N8" s="1"/>
      <c r="O8" s="1"/>
    </row>
    <row x14ac:dyDescent="0.25" r="9" customHeight="1" ht="18.75">
      <c r="A9" s="1"/>
      <c r="B9" s="32"/>
      <c r="C9" s="31"/>
      <c r="D9" s="1"/>
      <c r="E9" s="7"/>
      <c r="F9" s="1"/>
      <c r="G9" s="1"/>
      <c r="H9" s="1"/>
      <c r="I9" s="1"/>
      <c r="J9" s="1"/>
      <c r="K9" s="1"/>
      <c r="L9" s="1"/>
      <c r="M9" s="1"/>
      <c r="N9" s="1"/>
      <c r="O9" s="1"/>
    </row>
    <row x14ac:dyDescent="0.25" r="10" customHeight="1" ht="18.75">
      <c r="A10" s="1"/>
      <c r="B10" s="32"/>
      <c r="C10" s="31"/>
      <c r="D10" s="1"/>
      <c r="E10" s="7"/>
      <c r="F10" s="1"/>
      <c r="G10" s="1"/>
      <c r="H10" s="1"/>
      <c r="I10" s="1"/>
      <c r="J10" s="1"/>
      <c r="K10" s="1"/>
      <c r="L10" s="1"/>
      <c r="M10" s="1"/>
      <c r="N10" s="1"/>
      <c r="O10" s="1"/>
    </row>
    <row x14ac:dyDescent="0.25" r="11" customHeight="1" ht="18.75">
      <c r="A11" s="1"/>
      <c r="B11" s="16"/>
      <c r="C11" s="31"/>
      <c r="D11" s="1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</row>
    <row x14ac:dyDescent="0.25" r="12" customHeight="1" ht="18.75">
      <c r="A12" s="1"/>
      <c r="B12" s="16"/>
      <c r="C12" s="31"/>
      <c r="D12" s="1"/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</row>
    <row x14ac:dyDescent="0.25" r="13" customHeight="1" ht="18.75">
      <c r="A13" s="1" t="s">
        <v>169</v>
      </c>
      <c r="B13" s="8">
        <v>100</v>
      </c>
      <c r="C13" s="33">
        <f>(B14/(B13*12))/50</f>
      </c>
      <c r="D13" s="1"/>
      <c r="E13" s="7"/>
      <c r="F13" s="1"/>
      <c r="G13" s="1"/>
      <c r="H13" s="1"/>
      <c r="I13" s="1"/>
      <c r="J13" s="1"/>
      <c r="K13" s="1"/>
      <c r="L13" s="1"/>
      <c r="M13" s="1"/>
      <c r="N13" s="1"/>
      <c r="O13" s="1"/>
    </row>
    <row x14ac:dyDescent="0.25" r="14" customHeight="1" ht="18.75">
      <c r="A14" s="1" t="s">
        <v>39</v>
      </c>
      <c r="B14" s="8">
        <v>1</v>
      </c>
      <c r="C14" s="31"/>
      <c r="D14" s="1"/>
      <c r="E14" s="7"/>
      <c r="F14" s="1"/>
      <c r="G14" s="1"/>
      <c r="H14" s="1"/>
      <c r="I14" s="1"/>
      <c r="J14" s="1"/>
      <c r="K14" s="1"/>
      <c r="L14" s="1"/>
      <c r="M14" s="1"/>
      <c r="N14" s="1"/>
      <c r="O14" s="1"/>
    </row>
    <row x14ac:dyDescent="0.25" r="15" customHeight="1" ht="18.75">
      <c r="A15" s="1"/>
      <c r="B15" s="16"/>
      <c r="C15" s="31"/>
      <c r="D15" s="1"/>
      <c r="E15" s="7"/>
      <c r="F15" s="1"/>
      <c r="G15" s="1"/>
      <c r="H15" s="1"/>
      <c r="I15" s="1"/>
      <c r="J15" s="1"/>
      <c r="K15" s="1"/>
      <c r="L15" s="1"/>
      <c r="M15" s="1"/>
      <c r="N15" s="1"/>
      <c r="O15" s="1"/>
    </row>
    <row x14ac:dyDescent="0.25" r="16" customHeight="1" ht="18.75">
      <c r="A16" s="1"/>
      <c r="B16" s="16"/>
      <c r="C16" s="31"/>
      <c r="D16" s="1"/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</row>
    <row x14ac:dyDescent="0.25" r="17" customHeight="1" ht="18.75">
      <c r="A17" s="1"/>
      <c r="B17" s="16"/>
      <c r="C17" s="31"/>
      <c r="D17" s="1"/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</row>
    <row x14ac:dyDescent="0.25" r="18" customHeight="1" ht="18.75">
      <c r="A18" s="1"/>
      <c r="B18" s="16"/>
      <c r="C18" s="31"/>
      <c r="D18" s="1"/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</row>
    <row x14ac:dyDescent="0.25" r="19" customHeight="1" ht="18.75">
      <c r="A19" s="1"/>
      <c r="B19" s="16"/>
      <c r="C19" s="31"/>
      <c r="D19" s="1"/>
      <c r="E19" s="7"/>
      <c r="F19" s="1"/>
      <c r="G19" s="1"/>
      <c r="H19" s="1"/>
      <c r="I19" s="1"/>
      <c r="J19" s="1"/>
      <c r="K19" s="1"/>
      <c r="L19" s="1"/>
      <c r="M19" s="1"/>
      <c r="N19" s="1"/>
      <c r="O19" s="34"/>
    </row>
    <row x14ac:dyDescent="0.25" r="20" customHeight="1" ht="18.75">
      <c r="A20" s="1"/>
      <c r="B20" s="16"/>
      <c r="C20" s="31"/>
      <c r="D20" s="1"/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</row>
    <row x14ac:dyDescent="0.25" r="21" customHeight="1" ht="18.75">
      <c r="A21" s="1"/>
      <c r="B21" s="16"/>
      <c r="C21" s="31"/>
      <c r="D21" s="1"/>
      <c r="E21" s="7"/>
      <c r="F21" s="1"/>
      <c r="G21" s="1"/>
      <c r="H21" s="1"/>
      <c r="I21" s="1"/>
      <c r="J21" s="1"/>
      <c r="K21" s="1"/>
      <c r="L21" s="1"/>
      <c r="M21" s="1"/>
      <c r="N21" s="1"/>
      <c r="O21" s="1"/>
    </row>
    <row x14ac:dyDescent="0.25" r="22" customHeight="1" ht="18.75">
      <c r="A22" s="1"/>
      <c r="B22" s="16"/>
      <c r="C22" s="31"/>
      <c r="D22" s="1"/>
      <c r="E22" s="7"/>
      <c r="F22" s="1"/>
      <c r="G22" s="1"/>
      <c r="H22" s="1"/>
      <c r="I22" s="1"/>
      <c r="J22" s="1"/>
      <c r="K22" s="1"/>
      <c r="L22" s="1"/>
      <c r="M22" s="1"/>
      <c r="N22" s="1"/>
      <c r="O22" s="1"/>
    </row>
    <row x14ac:dyDescent="0.25" r="23" customHeight="1" ht="18.75">
      <c r="A23" s="1"/>
      <c r="B23" s="16"/>
      <c r="C23" s="31"/>
      <c r="D23" s="1"/>
      <c r="E23" s="7"/>
      <c r="F23" s="1"/>
      <c r="G23" s="1"/>
      <c r="H23" s="1"/>
      <c r="I23" s="1"/>
      <c r="J23" s="1"/>
      <c r="K23" s="1"/>
      <c r="L23" s="1"/>
      <c r="M23" s="1"/>
      <c r="N23" s="1"/>
      <c r="O23" s="3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1"/>
  <sheetViews>
    <sheetView workbookViewId="0" tabSelected="1"/>
  </sheetViews>
  <sheetFormatPr defaultRowHeight="15" x14ac:dyDescent="0.25"/>
  <cols>
    <col min="1" max="1" style="25" width="23.14785714285714" customWidth="1" bestFit="1"/>
    <col min="2" max="2" style="26" width="13.576428571428572" customWidth="1" bestFit="1"/>
    <col min="3" max="3" style="25" width="11.576428571428572" customWidth="1" bestFit="1"/>
    <col min="4" max="4" style="25" width="29.290714285714284" customWidth="1" bestFit="1"/>
    <col min="5" max="5" style="28" width="23.14785714285714" customWidth="1" bestFit="1"/>
    <col min="6" max="6" style="28" width="34.71928571428572" customWidth="1" bestFit="1"/>
    <col min="7" max="7" style="25" width="13.576428571428572" customWidth="1" bestFit="1" hidden="1"/>
    <col min="8" max="8" style="25" width="23.005" customWidth="1" bestFit="1"/>
    <col min="9" max="9" style="28" width="11.862142857142858" customWidth="1" bestFit="1"/>
    <col min="10" max="10" style="25" width="13.576428571428572" customWidth="1" bestFit="1" hidden="1"/>
    <col min="11" max="11" style="26" width="15.290714285714287" customWidth="1" bestFit="1"/>
    <col min="12" max="12" style="25" width="25.719285714285714" customWidth="1" bestFit="1"/>
  </cols>
  <sheetData>
    <row x14ac:dyDescent="0.25" r="1" customHeight="1" ht="19.5">
      <c r="A1" s="1" t="s">
        <v>75</v>
      </c>
      <c r="B1" s="24">
        <f>'Data Base'!D74</f>
      </c>
      <c r="C1" s="1"/>
      <c r="D1" s="1" t="s">
        <v>173</v>
      </c>
      <c r="E1" s="24">
        <f>1.1-B1</f>
      </c>
      <c r="F1" s="7" t="s">
        <v>174</v>
      </c>
      <c r="G1" s="1"/>
      <c r="H1" s="6" t="s">
        <v>175</v>
      </c>
      <c r="I1" s="7"/>
      <c r="J1" s="1"/>
      <c r="K1" s="2" t="s">
        <v>147</v>
      </c>
      <c r="L1" s="1" t="s">
        <v>128</v>
      </c>
    </row>
    <row x14ac:dyDescent="0.25" r="2" customHeight="1" ht="18.75">
      <c r="A2" s="1" t="s">
        <v>176</v>
      </c>
      <c r="B2" s="24">
        <f>'Data Base'!D26</f>
      </c>
      <c r="C2" s="1"/>
      <c r="D2" s="1" t="s">
        <v>177</v>
      </c>
      <c r="E2" s="24">
        <f>1.1-B2</f>
      </c>
      <c r="F2" s="7" t="s">
        <v>178</v>
      </c>
      <c r="G2" s="1"/>
      <c r="H2" s="1" t="s">
        <v>179</v>
      </c>
      <c r="I2" s="24">
        <f>IF(E12&gt;0.9,-0.01,IF(E12&gt;0.7,0,IF(E12&gt;0.5,0,IF(E12&gt;0.3,0.02,IF(E12&gt;0.1,0.05,0.1)))))</f>
      </c>
      <c r="J2" s="1"/>
      <c r="K2" s="8">
        <v>100</v>
      </c>
      <c r="L2" s="1" t="s">
        <v>150</v>
      </c>
    </row>
    <row x14ac:dyDescent="0.25" r="3" customHeight="1" ht="18.75">
      <c r="A3" s="1" t="s">
        <v>180</v>
      </c>
      <c r="B3" s="24">
        <f>'Data Base'!D27</f>
      </c>
      <c r="C3" s="1"/>
      <c r="D3" s="1" t="s">
        <v>181</v>
      </c>
      <c r="E3" s="24">
        <f>1-(0.3*B3)</f>
      </c>
      <c r="F3" s="7" t="s">
        <v>182</v>
      </c>
      <c r="G3" s="1"/>
      <c r="H3" s="1" t="s">
        <v>183</v>
      </c>
      <c r="I3" s="24">
        <f>IF(E12&gt;0.9,0.05,IF(E12&gt;0.7,0,IF(E12&gt;0.5,-0.05,IF(E12&gt;0.3,-0.05,-0.1))))</f>
      </c>
      <c r="J3" s="1"/>
      <c r="K3" s="16" t="s">
        <v>153</v>
      </c>
      <c r="L3" s="1" t="s">
        <v>154</v>
      </c>
    </row>
    <row x14ac:dyDescent="0.25" r="4" customHeight="1" ht="18.75">
      <c r="A4" s="1" t="s">
        <v>74</v>
      </c>
      <c r="B4" s="8">
        <f>'Data Base'!D13</f>
      </c>
      <c r="C4" s="1"/>
      <c r="D4" s="1" t="s">
        <v>184</v>
      </c>
      <c r="E4" s="24">
        <f>(1.1-B5)^4</f>
      </c>
      <c r="F4" s="7" t="s">
        <v>185</v>
      </c>
      <c r="G4" s="1"/>
      <c r="H4" s="1" t="s">
        <v>186</v>
      </c>
      <c r="I4" s="24">
        <f>IF(E12&gt;0.9,0.05,IF(E12&gt;0.7,0,IF(E12&gt;0.5,-0.05,IF(E12&gt;0.3,-0.05,-0.1))))</f>
      </c>
      <c r="J4" s="1"/>
      <c r="K4" s="16" t="s">
        <v>157</v>
      </c>
      <c r="L4" s="1" t="s">
        <v>158</v>
      </c>
    </row>
    <row x14ac:dyDescent="0.25" r="5" customHeight="1" ht="18.75">
      <c r="A5" s="1" t="s">
        <v>171</v>
      </c>
      <c r="B5" s="24">
        <f>'Data Base'!D60</f>
      </c>
      <c r="C5" s="1"/>
      <c r="D5" s="1" t="s">
        <v>187</v>
      </c>
      <c r="E5" s="8">
        <f>IF(B4=0,0,1/B4)</f>
      </c>
      <c r="F5" s="7" t="s">
        <v>188</v>
      </c>
      <c r="G5" s="1"/>
      <c r="H5" s="1" t="s">
        <v>189</v>
      </c>
      <c r="I5" s="24">
        <f>IF(E12&gt;0.1,0,0.05)</f>
      </c>
      <c r="J5" s="1"/>
      <c r="K5" s="16" t="s">
        <v>161</v>
      </c>
      <c r="L5" s="1" t="s">
        <v>162</v>
      </c>
    </row>
    <row x14ac:dyDescent="0.25" r="6" customHeight="1" ht="18.75">
      <c r="A6" s="1" t="s">
        <v>190</v>
      </c>
      <c r="B6" s="24">
        <f>'Data Base'!D75</f>
      </c>
      <c r="C6" s="1"/>
      <c r="D6" s="1" t="s">
        <v>191</v>
      </c>
      <c r="E6" s="8">
        <f>B7/150</f>
      </c>
      <c r="F6" s="7" t="s">
        <v>192</v>
      </c>
      <c r="G6" s="1"/>
      <c r="H6" s="1"/>
      <c r="I6" s="7"/>
      <c r="J6" s="1"/>
      <c r="K6" s="16" t="s">
        <v>165</v>
      </c>
      <c r="L6" s="1" t="s">
        <v>166</v>
      </c>
    </row>
    <row x14ac:dyDescent="0.25" r="7" customHeight="1" ht="18.75">
      <c r="A7" s="1" t="s">
        <v>193</v>
      </c>
      <c r="B7" s="8">
        <f>'Data Base'!D15</f>
      </c>
      <c r="C7" s="1"/>
      <c r="D7" s="1" t="s">
        <v>194</v>
      </c>
      <c r="E7" s="8">
        <f>B8/500</f>
      </c>
      <c r="F7" s="7" t="s">
        <v>195</v>
      </c>
      <c r="G7" s="1"/>
      <c r="H7" s="1"/>
      <c r="I7" s="7"/>
      <c r="J7" s="1"/>
      <c r="K7" s="16" t="s">
        <v>163</v>
      </c>
      <c r="L7" s="1" t="s">
        <v>152</v>
      </c>
    </row>
    <row x14ac:dyDescent="0.25" r="8" customHeight="1" ht="18.75">
      <c r="A8" s="1" t="s">
        <v>196</v>
      </c>
      <c r="B8" s="8">
        <f>'Data Base'!D16</f>
      </c>
      <c r="C8" s="1"/>
      <c r="D8" s="1" t="s">
        <v>197</v>
      </c>
      <c r="E8" s="8">
        <f>B9/1000</f>
      </c>
      <c r="F8" s="7" t="s">
        <v>198</v>
      </c>
      <c r="G8" s="1"/>
      <c r="H8" s="1"/>
      <c r="I8" s="7"/>
      <c r="J8" s="1"/>
      <c r="K8" s="16"/>
      <c r="L8" s="1"/>
    </row>
    <row x14ac:dyDescent="0.25" r="9" customHeight="1" ht="18.75">
      <c r="A9" s="1" t="s">
        <v>199</v>
      </c>
      <c r="B9" s="8">
        <f>'Data Base'!D17</f>
      </c>
      <c r="C9" s="1"/>
      <c r="D9" s="1" t="s">
        <v>200</v>
      </c>
      <c r="E9" s="8">
        <f>B10/2000</f>
      </c>
      <c r="F9" s="7" t="s">
        <v>201</v>
      </c>
      <c r="G9" s="1"/>
      <c r="H9" s="1"/>
      <c r="I9" s="7"/>
      <c r="J9" s="1"/>
      <c r="K9" s="16"/>
      <c r="L9" s="1"/>
    </row>
    <row x14ac:dyDescent="0.25" r="10" customHeight="1" ht="18.75">
      <c r="A10" s="1" t="s">
        <v>202</v>
      </c>
      <c r="B10" s="8">
        <f>'Data Base'!D18</f>
      </c>
      <c r="C10" s="1"/>
      <c r="D10" s="1" t="s">
        <v>203</v>
      </c>
      <c r="E10" s="24">
        <f>B11/10000</f>
      </c>
      <c r="F10" s="7" t="s">
        <v>204</v>
      </c>
      <c r="G10" s="1"/>
      <c r="H10" s="1"/>
      <c r="I10" s="7"/>
      <c r="J10" s="1"/>
      <c r="K10" s="16"/>
      <c r="L10" s="1"/>
    </row>
    <row x14ac:dyDescent="0.25" r="11" customHeight="1" ht="18.75">
      <c r="A11" s="1" t="s">
        <v>205</v>
      </c>
      <c r="B11" s="8">
        <f>'Data Base'!D19</f>
      </c>
      <c r="C11" s="1"/>
      <c r="D11" s="1" t="s">
        <v>206</v>
      </c>
      <c r="E11" s="24">
        <f>((0.3*E6)+(0.4*E7)+(1.35*E8)+(1.6*E9)+(1.35*E10))/COUNT(E6:E10)</f>
      </c>
      <c r="F11" s="7" t="s">
        <v>207</v>
      </c>
      <c r="G11" s="1"/>
      <c r="H11" s="1"/>
      <c r="I11" s="7"/>
      <c r="J11" s="1"/>
      <c r="K11" s="16"/>
      <c r="L11" s="1"/>
    </row>
    <row x14ac:dyDescent="0.25" r="12" customHeight="1" ht="18.75">
      <c r="A12" s="1"/>
      <c r="B12" s="16"/>
      <c r="C12" s="1"/>
      <c r="D12" s="1" t="s">
        <v>208</v>
      </c>
      <c r="E12" s="24">
        <v>0.01</v>
      </c>
      <c r="F12" s="24">
        <f>PRODUCT(E1:E5,E11)</f>
      </c>
      <c r="G12" s="1"/>
      <c r="H12" s="1"/>
      <c r="I12" s="7"/>
      <c r="J12" s="1"/>
      <c r="K12" s="16"/>
      <c r="L12" s="1"/>
    </row>
    <row x14ac:dyDescent="0.25" r="13" customHeight="1" ht="19.5">
      <c r="A13" s="1"/>
      <c r="B13" s="16"/>
      <c r="C13" s="1"/>
      <c r="D13" s="1"/>
      <c r="E13" s="30"/>
      <c r="F13" s="7"/>
      <c r="G13" s="1"/>
      <c r="H13" s="1"/>
      <c r="I13" s="7"/>
      <c r="J13" s="1"/>
      <c r="K13" s="16"/>
      <c r="L13" s="1"/>
    </row>
    <row x14ac:dyDescent="0.25" r="14" customHeight="1" ht="18.75">
      <c r="A14" s="1"/>
      <c r="B14" s="16"/>
      <c r="C14" s="1"/>
      <c r="D14" s="1"/>
      <c r="E14" s="7"/>
      <c r="F14" s="7"/>
      <c r="G14" s="1"/>
      <c r="H14" s="1"/>
      <c r="I14" s="7"/>
      <c r="J14" s="1"/>
      <c r="K14" s="16"/>
      <c r="L14" s="1"/>
    </row>
    <row x14ac:dyDescent="0.25" r="15" customHeight="1" ht="18.75">
      <c r="A15" s="1"/>
      <c r="B15" s="16"/>
      <c r="C15" s="1"/>
      <c r="D15" s="1"/>
      <c r="E15" s="7"/>
      <c r="F15" s="7"/>
      <c r="G15" s="1"/>
      <c r="H15" s="1"/>
      <c r="I15" s="7"/>
      <c r="J15" s="1"/>
      <c r="K15" s="16"/>
      <c r="L15" s="1"/>
    </row>
    <row x14ac:dyDescent="0.25" r="16" customHeight="1" ht="18.75">
      <c r="A16" s="1"/>
      <c r="B16" s="16"/>
      <c r="C16" s="1"/>
      <c r="D16" s="1"/>
      <c r="E16" s="7"/>
      <c r="F16" s="7"/>
      <c r="G16" s="1"/>
      <c r="H16" s="1"/>
      <c r="I16" s="7"/>
      <c r="J16" s="1"/>
      <c r="K16" s="16"/>
      <c r="L16" s="1"/>
    </row>
    <row x14ac:dyDescent="0.25" r="17" customHeight="1" ht="18.75">
      <c r="A17" s="1"/>
      <c r="B17" s="16"/>
      <c r="C17" s="1"/>
      <c r="D17" s="1"/>
      <c r="E17" s="7"/>
      <c r="F17" s="7"/>
      <c r="G17" s="1"/>
      <c r="H17" s="1"/>
      <c r="I17" s="7"/>
      <c r="J17" s="1"/>
      <c r="K17" s="16"/>
      <c r="L17" s="1"/>
    </row>
    <row x14ac:dyDescent="0.25" r="18" customHeight="1" ht="19.5">
      <c r="A18" s="1"/>
      <c r="B18" s="16"/>
      <c r="C18" s="1"/>
      <c r="D18" s="1"/>
      <c r="E18" s="30"/>
      <c r="F18" s="7"/>
      <c r="G18" s="1"/>
      <c r="H18" s="1"/>
      <c r="I18" s="7"/>
      <c r="J18" s="1"/>
      <c r="K18" s="16"/>
      <c r="L18" s="1"/>
    </row>
    <row x14ac:dyDescent="0.25" r="19" customHeight="1" ht="18.75">
      <c r="A19" s="1"/>
      <c r="B19" s="16"/>
      <c r="C19" s="1"/>
      <c r="D19" s="1"/>
      <c r="E19" s="7"/>
      <c r="F19" s="7"/>
      <c r="G19" s="1"/>
      <c r="H19" s="1"/>
      <c r="I19" s="7"/>
      <c r="J19" s="1"/>
      <c r="K19" s="16"/>
      <c r="L19" s="1"/>
    </row>
    <row x14ac:dyDescent="0.25" r="20" customHeight="1" ht="18.75">
      <c r="A20" s="1"/>
      <c r="B20" s="16"/>
      <c r="C20" s="1"/>
      <c r="D20" s="1"/>
      <c r="E20" s="7"/>
      <c r="F20" s="7"/>
      <c r="G20" s="1"/>
      <c r="H20" s="1"/>
      <c r="I20" s="7"/>
      <c r="J20" s="1"/>
      <c r="K20" s="16"/>
      <c r="L20" s="1"/>
    </row>
    <row x14ac:dyDescent="0.25" r="21" customHeight="1" ht="18.75">
      <c r="A21" s="1"/>
      <c r="B21" s="16"/>
      <c r="C21" s="1"/>
      <c r="D21" s="1"/>
      <c r="E21" s="7"/>
      <c r="F21" s="7"/>
      <c r="G21" s="1"/>
      <c r="H21" s="1"/>
      <c r="I21" s="7"/>
      <c r="J21" s="1"/>
      <c r="K21" s="16"/>
      <c r="L2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7"/>
  <sheetViews>
    <sheetView workbookViewId="0"/>
  </sheetViews>
  <sheetFormatPr defaultRowHeight="15" x14ac:dyDescent="0.25"/>
  <cols>
    <col min="1" max="1" style="25" width="20.433571428571426" customWidth="1" bestFit="1"/>
    <col min="2" max="2" style="26" width="11.43357142857143" customWidth="1" bestFit="1"/>
    <col min="3" max="3" style="26" width="13.576428571428572" customWidth="1" bestFit="1"/>
    <col min="4" max="4" style="25" width="13.576428571428572" customWidth="1" bestFit="1"/>
    <col min="5" max="5" style="27" width="20.005" customWidth="1" bestFit="1"/>
    <col min="6" max="6" style="28" width="44.005" customWidth="1" bestFit="1"/>
    <col min="7" max="7" style="25" width="13.576428571428572" customWidth="1" bestFit="1"/>
    <col min="8" max="8" style="26" width="17.14785714285714" customWidth="1" bestFit="1"/>
    <col min="9" max="9" style="29" width="87.57642857142856" customWidth="1" bestFit="1"/>
    <col min="10" max="10" style="25" width="13.576428571428572" customWidth="1" bestFit="1"/>
    <col min="11" max="11" style="25" width="22.862142857142857" customWidth="1" bestFit="1"/>
    <col min="12" max="12" style="25" width="32.57642857142857" customWidth="1" bestFit="1"/>
    <col min="13" max="13" style="25" width="13.576428571428572" customWidth="1" bestFit="1"/>
    <col min="14" max="14" style="25" width="20.14785714285714" customWidth="1" bestFit="1"/>
    <col min="15" max="15" style="28" width="20.719285714285714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1"/>
      <c r="E1" s="3" t="s">
        <v>2</v>
      </c>
      <c r="F1" s="3" t="s">
        <v>3</v>
      </c>
      <c r="G1" s="1"/>
      <c r="H1" s="4" t="s">
        <v>4</v>
      </c>
      <c r="I1" s="5" t="s">
        <v>3</v>
      </c>
      <c r="J1" s="1"/>
      <c r="K1" s="6" t="s">
        <v>5</v>
      </c>
      <c r="L1" s="1"/>
      <c r="M1" s="1"/>
      <c r="N1" s="1" t="s">
        <v>6</v>
      </c>
      <c r="O1" s="7"/>
    </row>
    <row x14ac:dyDescent="0.25" r="2" customHeight="1" ht="18.75">
      <c r="A2" s="1" t="s">
        <v>7</v>
      </c>
      <c r="B2" s="8">
        <v>-100</v>
      </c>
      <c r="C2" s="8">
        <v>1000</v>
      </c>
      <c r="D2" s="1"/>
      <c r="E2" s="9" t="s">
        <v>8</v>
      </c>
      <c r="F2" s="9" t="s">
        <v>9</v>
      </c>
      <c r="G2" s="1"/>
      <c r="H2" s="10" t="s">
        <v>10</v>
      </c>
      <c r="I2" s="11" t="s">
        <v>11</v>
      </c>
      <c r="J2" s="1"/>
      <c r="K2" s="1" t="s">
        <v>12</v>
      </c>
      <c r="L2" s="1"/>
      <c r="M2" s="1"/>
      <c r="N2" s="1" t="s">
        <v>13</v>
      </c>
      <c r="O2" s="7"/>
    </row>
    <row x14ac:dyDescent="0.25" r="3" customHeight="1" ht="18.75">
      <c r="A3" s="1" t="s">
        <v>14</v>
      </c>
      <c r="B3" s="8">
        <v>-5000</v>
      </c>
      <c r="C3" s="8">
        <v>20000</v>
      </c>
      <c r="D3" s="1"/>
      <c r="E3" s="9" t="s">
        <v>15</v>
      </c>
      <c r="F3" s="9" t="s">
        <v>16</v>
      </c>
      <c r="G3" s="1"/>
      <c r="H3" s="10" t="s">
        <v>17</v>
      </c>
      <c r="I3" s="11" t="s">
        <v>18</v>
      </c>
      <c r="J3" s="1"/>
      <c r="K3" s="1" t="s">
        <v>19</v>
      </c>
      <c r="L3" s="1"/>
      <c r="M3" s="1"/>
      <c r="N3" s="1" t="s">
        <v>20</v>
      </c>
      <c r="O3" s="7"/>
    </row>
    <row x14ac:dyDescent="0.25" r="4" customHeight="1" ht="18.75">
      <c r="A4" s="1" t="s">
        <v>21</v>
      </c>
      <c r="B4" s="8">
        <v>-5000</v>
      </c>
      <c r="C4" s="8">
        <v>40000</v>
      </c>
      <c r="D4" s="1"/>
      <c r="E4" s="9" t="s">
        <v>22</v>
      </c>
      <c r="F4" s="9" t="s">
        <v>23</v>
      </c>
      <c r="G4" s="1"/>
      <c r="H4" s="10" t="s">
        <v>24</v>
      </c>
      <c r="I4" s="11" t="s">
        <v>25</v>
      </c>
      <c r="J4" s="1"/>
      <c r="K4" s="1"/>
      <c r="L4" s="1"/>
      <c r="M4" s="1"/>
      <c r="N4" s="1"/>
      <c r="O4" s="7"/>
    </row>
    <row x14ac:dyDescent="0.25" r="5" customHeight="1" ht="18.75">
      <c r="A5" s="1" t="s">
        <v>26</v>
      </c>
      <c r="B5" s="8">
        <v>-200</v>
      </c>
      <c r="C5" s="8">
        <v>5000</v>
      </c>
      <c r="D5" s="1"/>
      <c r="E5" s="9" t="s">
        <v>27</v>
      </c>
      <c r="F5" s="9" t="s">
        <v>28</v>
      </c>
      <c r="G5" s="1"/>
      <c r="H5" s="10" t="s">
        <v>29</v>
      </c>
      <c r="I5" s="11" t="s">
        <v>30</v>
      </c>
      <c r="J5" s="1"/>
      <c r="K5" s="1"/>
      <c r="L5" s="1"/>
      <c r="M5" s="1"/>
      <c r="N5" s="1"/>
      <c r="O5" s="7"/>
    </row>
    <row x14ac:dyDescent="0.25" r="6" customHeight="1" ht="18.75">
      <c r="A6" s="1" t="s">
        <v>31</v>
      </c>
      <c r="B6" s="8">
        <v>-5000</v>
      </c>
      <c r="C6" s="8">
        <v>10000</v>
      </c>
      <c r="D6" s="1"/>
      <c r="E6" s="9"/>
      <c r="F6" s="9"/>
      <c r="G6" s="1"/>
      <c r="H6" s="10" t="s">
        <v>32</v>
      </c>
      <c r="I6" s="11" t="s">
        <v>33</v>
      </c>
      <c r="J6" s="1"/>
      <c r="K6" s="1"/>
      <c r="L6" s="1"/>
      <c r="M6" s="1"/>
      <c r="N6" s="1"/>
      <c r="O6" s="7"/>
    </row>
    <row x14ac:dyDescent="0.25" r="7" customHeight="1" ht="18.75">
      <c r="A7" s="1" t="s">
        <v>34</v>
      </c>
      <c r="B7" s="8">
        <v>-100</v>
      </c>
      <c r="C7" s="8">
        <v>1000</v>
      </c>
      <c r="D7" s="1"/>
      <c r="E7" s="9"/>
      <c r="F7" s="9"/>
      <c r="G7" s="1"/>
      <c r="H7" s="10"/>
      <c r="I7" s="11"/>
      <c r="J7" s="1"/>
      <c r="K7" s="1"/>
      <c r="L7" s="1"/>
      <c r="M7" s="1"/>
      <c r="N7" s="1"/>
      <c r="O7" s="7"/>
    </row>
    <row x14ac:dyDescent="0.25" r="8" customHeight="1" ht="18.75">
      <c r="A8" s="1" t="s">
        <v>35</v>
      </c>
      <c r="B8" s="8">
        <v>-500</v>
      </c>
      <c r="C8" s="8">
        <v>5000</v>
      </c>
      <c r="D8" s="1"/>
      <c r="E8" s="9"/>
      <c r="F8" s="9"/>
      <c r="G8" s="1"/>
      <c r="H8" s="10"/>
      <c r="I8" s="11"/>
      <c r="J8" s="1"/>
      <c r="K8" s="1"/>
      <c r="L8" s="1"/>
      <c r="M8" s="1"/>
      <c r="N8" s="1"/>
      <c r="O8" s="7"/>
    </row>
    <row x14ac:dyDescent="0.25" r="9" customHeight="1" ht="18.75">
      <c r="A9" s="1" t="s">
        <v>36</v>
      </c>
      <c r="B9" s="8">
        <v>-100</v>
      </c>
      <c r="C9" s="8">
        <v>1000</v>
      </c>
      <c r="D9" s="1"/>
      <c r="E9" s="9"/>
      <c r="F9" s="9"/>
      <c r="G9" s="1"/>
      <c r="H9" s="10"/>
      <c r="I9" s="11"/>
      <c r="J9" s="1"/>
      <c r="K9" s="1"/>
      <c r="L9" s="1"/>
      <c r="M9" s="1"/>
      <c r="N9" s="1"/>
      <c r="O9" s="7"/>
    </row>
    <row x14ac:dyDescent="0.25" r="10" customHeight="1" ht="18.75">
      <c r="A10" s="1" t="s">
        <v>37</v>
      </c>
      <c r="B10" s="8">
        <v>-100</v>
      </c>
      <c r="C10" s="8">
        <v>1000</v>
      </c>
      <c r="D10" s="1"/>
      <c r="E10" s="3" t="s">
        <v>38</v>
      </c>
      <c r="F10" s="9"/>
      <c r="G10" s="1"/>
      <c r="H10" s="4" t="s">
        <v>39</v>
      </c>
      <c r="I10" s="11"/>
      <c r="J10" s="1"/>
      <c r="K10" s="12" t="s">
        <v>40</v>
      </c>
      <c r="L10" s="13"/>
      <c r="M10" s="1"/>
      <c r="N10" s="1"/>
      <c r="O10" s="7"/>
    </row>
    <row x14ac:dyDescent="0.25" r="11" customHeight="1" ht="18.75">
      <c r="A11" s="1" t="s">
        <v>41</v>
      </c>
      <c r="B11" s="8">
        <v>-5000</v>
      </c>
      <c r="C11" s="8">
        <v>20000</v>
      </c>
      <c r="D11" s="1"/>
      <c r="E11" s="9" t="s">
        <v>42</v>
      </c>
      <c r="F11" s="9" t="s">
        <v>43</v>
      </c>
      <c r="G11" s="1"/>
      <c r="H11" s="10" t="s">
        <v>44</v>
      </c>
      <c r="I11" s="11"/>
      <c r="J11" s="1"/>
      <c r="K11" s="13" t="s">
        <v>45</v>
      </c>
      <c r="L11" s="13" t="s">
        <v>46</v>
      </c>
      <c r="M11" s="1"/>
      <c r="N11" s="1"/>
      <c r="O11" s="7"/>
    </row>
    <row x14ac:dyDescent="0.25" r="12" customHeight="1" ht="18.75">
      <c r="A12" s="1" t="s">
        <v>47</v>
      </c>
      <c r="B12" s="8">
        <v>-100</v>
      </c>
      <c r="C12" s="8">
        <v>1000</v>
      </c>
      <c r="D12" s="1"/>
      <c r="E12" s="9" t="s">
        <v>48</v>
      </c>
      <c r="F12" s="9" t="s">
        <v>49</v>
      </c>
      <c r="G12" s="1"/>
      <c r="H12" s="10" t="s">
        <v>50</v>
      </c>
      <c r="I12" s="11" t="s">
        <v>51</v>
      </c>
      <c r="J12" s="1"/>
      <c r="K12" s="13" t="s">
        <v>52</v>
      </c>
      <c r="L12" s="13" t="s">
        <v>53</v>
      </c>
      <c r="M12" s="1"/>
      <c r="N12" s="1"/>
      <c r="O12" s="7"/>
    </row>
    <row x14ac:dyDescent="0.25" r="13" customHeight="1" ht="18.75">
      <c r="A13" s="1" t="s">
        <v>54</v>
      </c>
      <c r="B13" s="8">
        <v>-3000</v>
      </c>
      <c r="C13" s="8">
        <v>10000</v>
      </c>
      <c r="D13" s="1"/>
      <c r="E13" s="9" t="s">
        <v>55</v>
      </c>
      <c r="F13" s="9" t="s">
        <v>56</v>
      </c>
      <c r="G13" s="1"/>
      <c r="H13" s="10" t="s">
        <v>57</v>
      </c>
      <c r="I13" s="11" t="s">
        <v>58</v>
      </c>
      <c r="J13" s="1"/>
      <c r="K13" s="14">
        <f>&gt; Remove Civs for Trade</f>
      </c>
      <c r="L13" s="13"/>
      <c r="M13" s="1"/>
      <c r="N13" s="1"/>
      <c r="O13" s="7"/>
    </row>
    <row x14ac:dyDescent="0.25" r="14" customHeight="1" ht="18.75">
      <c r="A14" s="1" t="s">
        <v>59</v>
      </c>
      <c r="B14" s="8">
        <v>-200</v>
      </c>
      <c r="C14" s="8">
        <v>5000</v>
      </c>
      <c r="D14" s="1"/>
      <c r="E14" s="9" t="s">
        <v>60</v>
      </c>
      <c r="F14" s="9" t="s">
        <v>61</v>
      </c>
      <c r="G14" s="1"/>
      <c r="H14" s="10" t="s">
        <v>62</v>
      </c>
      <c r="I14" s="11" t="s">
        <v>63</v>
      </c>
      <c r="J14" s="1"/>
      <c r="K14" s="1"/>
      <c r="L14" s="1"/>
      <c r="M14" s="1"/>
      <c r="N14" s="1"/>
      <c r="O14" s="7"/>
    </row>
    <row x14ac:dyDescent="0.25" r="15" customHeight="1" ht="18.75">
      <c r="A15" s="1" t="s">
        <v>64</v>
      </c>
      <c r="B15" s="8">
        <v>-500</v>
      </c>
      <c r="C15" s="8">
        <v>10000</v>
      </c>
      <c r="D15" s="1"/>
      <c r="E15" s="9" t="s">
        <v>65</v>
      </c>
      <c r="F15" s="9" t="s">
        <v>66</v>
      </c>
      <c r="G15" s="1"/>
      <c r="H15" s="10" t="s">
        <v>67</v>
      </c>
      <c r="I15" s="11" t="s">
        <v>68</v>
      </c>
      <c r="J15" s="1"/>
      <c r="K15" s="1"/>
      <c r="L15" s="1"/>
      <c r="M15" s="1"/>
      <c r="N15" s="1"/>
      <c r="O15" s="7"/>
    </row>
    <row x14ac:dyDescent="0.25" r="16" customHeight="1" ht="18.75">
      <c r="A16" s="1" t="s">
        <v>69</v>
      </c>
      <c r="B16" s="8">
        <v>-200</v>
      </c>
      <c r="C16" s="8">
        <v>5000</v>
      </c>
      <c r="D16" s="1"/>
      <c r="E16" s="9"/>
      <c r="F16" s="9"/>
      <c r="G16" s="1"/>
      <c r="H16" s="10">
        <f>&gt; Bestrafungssystem</f>
      </c>
      <c r="I16" s="11"/>
      <c r="J16" s="1"/>
      <c r="K16" s="1"/>
      <c r="L16" s="1"/>
      <c r="M16" s="1"/>
      <c r="N16" s="1"/>
      <c r="O16" s="7"/>
    </row>
    <row x14ac:dyDescent="0.25" r="17" customHeight="1" ht="18.75">
      <c r="A17" s="1" t="s">
        <v>70</v>
      </c>
      <c r="B17" s="8">
        <v>-20000</v>
      </c>
      <c r="C17" s="8">
        <v>100000</v>
      </c>
      <c r="D17" s="1"/>
      <c r="E17" s="9"/>
      <c r="F17" s="9"/>
      <c r="G17" s="1"/>
      <c r="H17" s="10"/>
      <c r="I17" s="11"/>
      <c r="J17" s="1"/>
      <c r="K17" s="1"/>
      <c r="L17" s="1"/>
      <c r="M17" s="1"/>
      <c r="N17" s="1"/>
      <c r="O17" s="7"/>
    </row>
    <row x14ac:dyDescent="0.25" r="18" customHeight="1" ht="18.75">
      <c r="A18" s="1" t="s">
        <v>71</v>
      </c>
      <c r="B18" s="8">
        <v>-2000</v>
      </c>
      <c r="C18" s="8">
        <v>15000</v>
      </c>
      <c r="D18" s="1"/>
      <c r="E18" s="9"/>
      <c r="F18" s="9"/>
      <c r="G18" s="1"/>
      <c r="H18" s="10"/>
      <c r="I18" s="11"/>
      <c r="J18" s="1"/>
      <c r="K18" s="1"/>
      <c r="L18" s="1"/>
      <c r="M18" s="1"/>
      <c r="N18" s="1"/>
      <c r="O18" s="7"/>
    </row>
    <row x14ac:dyDescent="0.25" r="19" customHeight="1" ht="18.75">
      <c r="A19" s="1" t="s">
        <v>72</v>
      </c>
      <c r="B19" s="8">
        <v>-2000</v>
      </c>
      <c r="C19" s="8">
        <v>15000</v>
      </c>
      <c r="D19" s="1"/>
      <c r="E19" s="3" t="s">
        <v>73</v>
      </c>
      <c r="F19" s="9"/>
      <c r="G19" s="1"/>
      <c r="H19" s="4" t="s">
        <v>74</v>
      </c>
      <c r="I19" s="11"/>
      <c r="J19" s="1"/>
      <c r="K19" s="12" t="s">
        <v>75</v>
      </c>
      <c r="L19" s="13"/>
      <c r="M19" s="13"/>
      <c r="N19" s="13"/>
      <c r="O19" s="9"/>
    </row>
    <row x14ac:dyDescent="0.25" r="20" customHeight="1" ht="18.75">
      <c r="A20" s="1" t="s">
        <v>76</v>
      </c>
      <c r="B20" s="8">
        <v>-2000</v>
      </c>
      <c r="C20" s="8">
        <v>15000</v>
      </c>
      <c r="D20" s="1"/>
      <c r="E20" s="9" t="s">
        <v>77</v>
      </c>
      <c r="F20" s="9" t="s">
        <v>78</v>
      </c>
      <c r="G20" s="1"/>
      <c r="H20" s="10" t="s">
        <v>79</v>
      </c>
      <c r="I20" s="11" t="s">
        <v>80</v>
      </c>
      <c r="J20" s="1"/>
      <c r="K20" s="13" t="s">
        <v>81</v>
      </c>
      <c r="L20" s="13" t="s">
        <v>82</v>
      </c>
      <c r="M20" s="13" t="s">
        <v>83</v>
      </c>
      <c r="N20" s="13"/>
      <c r="O20" s="15">
        <f>2*12</f>
      </c>
    </row>
    <row x14ac:dyDescent="0.25" r="21" customHeight="1" ht="18.75">
      <c r="A21" s="1" t="s">
        <v>84</v>
      </c>
      <c r="B21" s="8">
        <v>-200</v>
      </c>
      <c r="C21" s="8">
        <v>5000</v>
      </c>
      <c r="D21" s="1"/>
      <c r="E21" s="9" t="s">
        <v>85</v>
      </c>
      <c r="F21" s="9" t="s">
        <v>86</v>
      </c>
      <c r="G21" s="1"/>
      <c r="H21" s="10" t="s">
        <v>87</v>
      </c>
      <c r="I21" s="11" t="s">
        <v>88</v>
      </c>
      <c r="J21" s="1"/>
      <c r="K21" s="13" t="s">
        <v>89</v>
      </c>
      <c r="L21" s="13" t="s">
        <v>90</v>
      </c>
      <c r="M21" s="13" t="s">
        <v>91</v>
      </c>
      <c r="N21" s="13"/>
      <c r="O21" s="15">
        <f>(1000000 * 2)/1300000</f>
      </c>
    </row>
    <row x14ac:dyDescent="0.25" r="22" customHeight="1" ht="18.75">
      <c r="A22" s="1" t="s">
        <v>92</v>
      </c>
      <c r="B22" s="8">
        <v>-200</v>
      </c>
      <c r="C22" s="8">
        <v>5000</v>
      </c>
      <c r="D22" s="1"/>
      <c r="E22" s="9" t="s">
        <v>93</v>
      </c>
      <c r="F22" s="9" t="s">
        <v>94</v>
      </c>
      <c r="G22" s="1"/>
      <c r="H22" s="10" t="s">
        <v>95</v>
      </c>
      <c r="I22" s="11">
        <v>0.02</v>
      </c>
      <c r="J22" s="1"/>
      <c r="K22" s="13" t="s">
        <v>96</v>
      </c>
      <c r="L22" s="13" t="s">
        <v>97</v>
      </c>
      <c r="M22" s="13" t="s">
        <v>98</v>
      </c>
      <c r="N22" s="13"/>
      <c r="O22" s="15">
        <f>100000/250000</f>
      </c>
    </row>
    <row x14ac:dyDescent="0.25" r="23" customHeight="1" ht="18.75">
      <c r="A23" s="1" t="s">
        <v>99</v>
      </c>
      <c r="B23" s="8">
        <v>-200</v>
      </c>
      <c r="C23" s="8">
        <v>5000</v>
      </c>
      <c r="D23" s="1"/>
      <c r="E23" s="9" t="s">
        <v>100</v>
      </c>
      <c r="F23" s="9" t="s">
        <v>101</v>
      </c>
      <c r="G23" s="1"/>
      <c r="H23" s="10" t="s">
        <v>102</v>
      </c>
      <c r="I23" s="11" t="s">
        <v>103</v>
      </c>
      <c r="J23" s="1"/>
      <c r="K23" s="13" t="s">
        <v>104</v>
      </c>
      <c r="L23" s="13" t="s">
        <v>105</v>
      </c>
      <c r="M23" s="13" t="s">
        <v>106</v>
      </c>
      <c r="N23" s="13"/>
      <c r="O23" s="15">
        <f>O21*O22</f>
      </c>
    </row>
    <row x14ac:dyDescent="0.25" r="24" customHeight="1" ht="18.75">
      <c r="A24" s="1"/>
      <c r="B24" s="16"/>
      <c r="C24" s="16"/>
      <c r="D24" s="1"/>
      <c r="E24" s="17"/>
      <c r="F24" s="7"/>
      <c r="G24" s="1"/>
      <c r="H24" s="10" t="s">
        <v>107</v>
      </c>
      <c r="I24" s="11" t="s">
        <v>108</v>
      </c>
      <c r="J24" s="1"/>
      <c r="K24" s="13" t="s">
        <v>109</v>
      </c>
      <c r="L24" s="13"/>
      <c r="M24" s="13"/>
      <c r="N24" s="13"/>
      <c r="O24" s="15">
        <v>0.1</v>
      </c>
    </row>
    <row x14ac:dyDescent="0.25" r="25" customHeight="1" ht="18.75">
      <c r="A25" s="1"/>
      <c r="B25" s="16"/>
      <c r="C25" s="16"/>
      <c r="D25" s="1"/>
      <c r="E25" s="17" t="s">
        <v>110</v>
      </c>
      <c r="F25" s="7"/>
      <c r="G25" s="1"/>
      <c r="H25" s="10" t="s">
        <v>111</v>
      </c>
      <c r="I25" s="11" t="s">
        <v>112</v>
      </c>
      <c r="J25" s="1"/>
      <c r="K25" s="13" t="s">
        <v>113</v>
      </c>
      <c r="L25" s="13"/>
      <c r="M25" s="13"/>
      <c r="N25" s="13"/>
      <c r="O25" s="9"/>
    </row>
    <row x14ac:dyDescent="0.25" r="26" customHeight="1" ht="18.75">
      <c r="A26" s="6" t="s">
        <v>114</v>
      </c>
      <c r="B26" s="16"/>
      <c r="C26" s="16"/>
      <c r="D26" s="1"/>
      <c r="E26" s="17"/>
      <c r="F26" s="7"/>
      <c r="G26" s="1"/>
      <c r="H26" s="10" t="s">
        <v>115</v>
      </c>
      <c r="I26" s="18" t="s">
        <v>116</v>
      </c>
      <c r="J26" s="1"/>
      <c r="K26" s="13"/>
      <c r="L26" s="13"/>
      <c r="M26" s="13"/>
      <c r="N26" s="13"/>
      <c r="O26" s="9"/>
    </row>
    <row x14ac:dyDescent="0.25" r="27" customHeight="1" ht="18.75">
      <c r="A27" s="1" t="s">
        <v>75</v>
      </c>
      <c r="B27" s="19"/>
      <c r="C27" s="19"/>
      <c r="D27" s="20"/>
      <c r="E27" s="17"/>
      <c r="F27" s="7"/>
      <c r="G27" s="1"/>
      <c r="H27" s="16"/>
      <c r="I27" s="21"/>
      <c r="J27" s="1"/>
      <c r="K27" s="13" t="s">
        <v>117</v>
      </c>
      <c r="L27" s="13" t="s">
        <v>118</v>
      </c>
      <c r="M27" s="13" t="s">
        <v>119</v>
      </c>
      <c r="N27" s="13"/>
      <c r="O27" s="15">
        <f>O20*O23*O24</f>
      </c>
    </row>
    <row x14ac:dyDescent="0.25" r="28" customHeight="1" ht="18.75">
      <c r="A28" s="1" t="s">
        <v>120</v>
      </c>
      <c r="B28" s="16"/>
      <c r="C28" s="16"/>
      <c r="D28" s="1"/>
      <c r="E28" s="17"/>
      <c r="F28" s="7"/>
      <c r="G28" s="1"/>
      <c r="H28" s="16"/>
      <c r="I28" s="21"/>
      <c r="J28" s="1"/>
      <c r="K28" s="13" t="s">
        <v>121</v>
      </c>
      <c r="L28" s="13" t="s">
        <v>122</v>
      </c>
      <c r="M28" s="13" t="s">
        <v>123</v>
      </c>
      <c r="N28" s="13"/>
      <c r="O28" s="9"/>
    </row>
    <row x14ac:dyDescent="0.25" r="29" customHeight="1" ht="18.75">
      <c r="A29" s="1" t="s">
        <v>124</v>
      </c>
      <c r="B29" s="16"/>
      <c r="C29" s="16"/>
      <c r="D29" s="1"/>
      <c r="E29" s="17"/>
      <c r="F29" s="7"/>
      <c r="G29" s="1"/>
      <c r="H29" s="16"/>
      <c r="I29" s="21"/>
      <c r="J29" s="1"/>
      <c r="K29" s="13"/>
      <c r="L29" s="13" t="s">
        <v>125</v>
      </c>
      <c r="M29" s="13"/>
      <c r="N29" s="13"/>
      <c r="O29" s="9"/>
    </row>
    <row x14ac:dyDescent="0.25" r="30" customHeight="1" ht="18.75">
      <c r="A30" s="1" t="s">
        <v>126</v>
      </c>
      <c r="B30" s="8"/>
      <c r="C30" s="8"/>
      <c r="D30" s="22"/>
      <c r="E30" s="9"/>
      <c r="F30" s="9"/>
      <c r="G30" s="13"/>
      <c r="H30" s="10"/>
      <c r="I30" s="11"/>
      <c r="J30" s="1"/>
      <c r="K30" s="1"/>
      <c r="L30" s="1"/>
      <c r="M30" s="1"/>
      <c r="N30" s="1"/>
      <c r="O30" s="7"/>
    </row>
    <row x14ac:dyDescent="0.25" r="31" customHeight="1" ht="18.75">
      <c r="A31" s="1"/>
      <c r="B31" s="16"/>
      <c r="C31" s="16"/>
      <c r="D31" s="13"/>
      <c r="E31" s="9"/>
      <c r="F31" s="9"/>
      <c r="G31" s="13"/>
      <c r="H31" s="10"/>
      <c r="I31" s="11"/>
      <c r="J31" s="1"/>
      <c r="K31" s="1"/>
      <c r="L31" s="1"/>
      <c r="M31" s="1"/>
      <c r="N31" s="1"/>
      <c r="O31" s="7"/>
    </row>
    <row x14ac:dyDescent="0.25" r="32" customHeight="1" ht="18.75">
      <c r="A32" s="1"/>
      <c r="B32" s="8"/>
      <c r="C32" s="8"/>
      <c r="D32" s="13"/>
      <c r="E32" s="23" t="s">
        <v>127</v>
      </c>
      <c r="F32" s="9" t="s">
        <v>128</v>
      </c>
      <c r="G32" s="13"/>
      <c r="H32" s="10"/>
      <c r="I32" s="11"/>
      <c r="J32" s="1"/>
      <c r="K32" s="1"/>
      <c r="L32" s="1"/>
      <c r="M32" s="1"/>
      <c r="N32" s="1"/>
      <c r="O32" s="7"/>
    </row>
    <row x14ac:dyDescent="0.25" r="33" customHeight="1" ht="18.75">
      <c r="A33" s="1"/>
      <c r="B33" s="16" t="s">
        <v>15</v>
      </c>
      <c r="C33" s="16"/>
      <c r="D33" s="13"/>
      <c r="E33" s="9" t="s">
        <v>129</v>
      </c>
      <c r="F33" s="9"/>
      <c r="G33" s="13"/>
      <c r="H33" s="10"/>
      <c r="I33" s="11"/>
      <c r="J33" s="1"/>
      <c r="K33" s="1"/>
      <c r="L33" s="1"/>
      <c r="M33" s="1"/>
      <c r="N33" s="1"/>
      <c r="O33" s="7"/>
    </row>
    <row x14ac:dyDescent="0.25" r="34" customHeight="1" ht="18.75">
      <c r="A34" s="1"/>
      <c r="B34" s="16" t="s">
        <v>8</v>
      </c>
      <c r="C34" s="16"/>
      <c r="D34" s="13"/>
      <c r="E34" s="3" t="s">
        <v>130</v>
      </c>
      <c r="F34" s="9"/>
      <c r="G34" s="13"/>
      <c r="H34" s="10"/>
      <c r="I34" s="11"/>
      <c r="J34" s="1"/>
      <c r="K34" s="1"/>
      <c r="L34" s="1"/>
      <c r="M34" s="1"/>
      <c r="N34" s="1"/>
      <c r="O34" s="7"/>
    </row>
    <row x14ac:dyDescent="0.25" r="35" customHeight="1" ht="18.75">
      <c r="A35" s="1"/>
      <c r="B35" s="16" t="s">
        <v>74</v>
      </c>
      <c r="C35" s="16"/>
      <c r="D35" s="13"/>
      <c r="E35" s="9" t="s">
        <v>131</v>
      </c>
      <c r="F35" s="9" t="s">
        <v>132</v>
      </c>
      <c r="G35" s="13"/>
      <c r="H35" s="10"/>
      <c r="I35" s="11"/>
      <c r="J35" s="1"/>
      <c r="K35" s="1"/>
      <c r="L35" s="1"/>
      <c r="M35" s="1"/>
      <c r="N35" s="1"/>
      <c r="O35" s="7"/>
    </row>
    <row x14ac:dyDescent="0.25" r="36" customHeight="1" ht="18.75">
      <c r="A36" s="1"/>
      <c r="B36" s="16" t="s">
        <v>133</v>
      </c>
      <c r="C36" s="16"/>
      <c r="D36" s="13"/>
      <c r="E36" s="9" t="s">
        <v>109</v>
      </c>
      <c r="F36" s="9" t="s">
        <v>134</v>
      </c>
      <c r="G36" s="13"/>
      <c r="H36" s="10"/>
      <c r="I36" s="11"/>
      <c r="J36" s="1"/>
      <c r="K36" s="1"/>
      <c r="L36" s="1"/>
      <c r="M36" s="1"/>
      <c r="N36" s="1"/>
      <c r="O36" s="7"/>
    </row>
    <row x14ac:dyDescent="0.25" r="37" customHeight="1" ht="18.75">
      <c r="A37" s="1"/>
      <c r="B37" s="16" t="s">
        <v>135</v>
      </c>
      <c r="C37" s="16"/>
      <c r="D37" s="13"/>
      <c r="E37" s="9">
        <f>&gt; War Exhaustion System??</f>
      </c>
      <c r="F37" s="9"/>
      <c r="G37" s="13"/>
      <c r="H37" s="10"/>
      <c r="I37" s="11"/>
      <c r="J37" s="1"/>
      <c r="K37" s="1"/>
      <c r="L37" s="1"/>
      <c r="M37" s="1"/>
      <c r="N37" s="1"/>
      <c r="O37" s="7"/>
    </row>
    <row x14ac:dyDescent="0.25" r="38" customHeight="1" ht="18.75">
      <c r="A38" s="1"/>
      <c r="B38" s="16" t="s">
        <v>136</v>
      </c>
      <c r="C38" s="16"/>
      <c r="D38" s="13"/>
      <c r="E38" s="3" t="s">
        <v>15</v>
      </c>
      <c r="F38" s="9"/>
      <c r="G38" s="13"/>
      <c r="H38" s="10"/>
      <c r="I38" s="11"/>
      <c r="J38" s="1"/>
      <c r="K38" s="1"/>
      <c r="L38" s="1"/>
      <c r="M38" s="1"/>
      <c r="N38" s="1"/>
      <c r="O38" s="7"/>
    </row>
    <row x14ac:dyDescent="0.25" r="39" customHeight="1" ht="18.75">
      <c r="A39" s="1"/>
      <c r="B39" s="16" t="s">
        <v>48</v>
      </c>
      <c r="C39" s="16"/>
      <c r="D39" s="13"/>
      <c r="E39" s="9" t="s">
        <v>137</v>
      </c>
      <c r="F39" s="9" t="s">
        <v>138</v>
      </c>
      <c r="G39" s="13"/>
      <c r="H39" s="10"/>
      <c r="I39" s="11"/>
      <c r="J39" s="1"/>
      <c r="K39" s="1"/>
      <c r="L39" s="1"/>
      <c r="M39" s="1"/>
      <c r="N39" s="1"/>
      <c r="O39" s="7"/>
    </row>
    <row x14ac:dyDescent="0.25" r="40" customHeight="1" ht="18.75">
      <c r="A40" s="1"/>
      <c r="B40" s="16" t="s">
        <v>139</v>
      </c>
      <c r="C40" s="16"/>
      <c r="D40" s="13"/>
      <c r="E40" s="9"/>
      <c r="F40" s="9"/>
      <c r="G40" s="13"/>
      <c r="H40" s="10"/>
      <c r="I40" s="11"/>
      <c r="J40" s="1"/>
      <c r="K40" s="1"/>
      <c r="L40" s="1"/>
      <c r="M40" s="1"/>
      <c r="N40" s="1"/>
      <c r="O40" s="7"/>
    </row>
    <row x14ac:dyDescent="0.25" r="41" customHeight="1" ht="18.75">
      <c r="A41" s="1"/>
      <c r="B41" s="16" t="s">
        <v>65</v>
      </c>
      <c r="C41" s="16"/>
      <c r="D41" s="13"/>
      <c r="E41" s="3" t="s">
        <v>8</v>
      </c>
      <c r="F41" s="9"/>
      <c r="G41" s="13"/>
      <c r="H41" s="10"/>
      <c r="I41" s="11"/>
      <c r="J41" s="1"/>
      <c r="K41" s="1"/>
      <c r="L41" s="1"/>
      <c r="M41" s="1"/>
      <c r="N41" s="1"/>
      <c r="O41" s="7"/>
    </row>
    <row x14ac:dyDescent="0.25" r="42" customHeight="1" ht="18.75">
      <c r="A42" s="1"/>
      <c r="B42" s="16"/>
      <c r="C42" s="16"/>
      <c r="D42" s="13"/>
      <c r="E42" s="9" t="s">
        <v>140</v>
      </c>
      <c r="F42" s="9" t="s">
        <v>141</v>
      </c>
      <c r="G42" s="13"/>
      <c r="H42" s="10"/>
      <c r="I42" s="11"/>
      <c r="J42" s="1"/>
      <c r="K42" s="1"/>
      <c r="L42" s="1"/>
      <c r="M42" s="1"/>
      <c r="N42" s="1"/>
      <c r="O42" s="7"/>
    </row>
    <row x14ac:dyDescent="0.25" r="43" customHeight="1" ht="18.75">
      <c r="A43" s="1"/>
      <c r="B43" s="16"/>
      <c r="C43" s="16"/>
      <c r="D43" s="13"/>
      <c r="E43" s="9"/>
      <c r="F43" s="9"/>
      <c r="G43" s="13"/>
      <c r="H43" s="10"/>
      <c r="I43" s="11"/>
      <c r="J43" s="1"/>
      <c r="K43" s="1"/>
      <c r="L43" s="1"/>
      <c r="M43" s="1"/>
      <c r="N43" s="1"/>
      <c r="O43" s="7"/>
    </row>
    <row x14ac:dyDescent="0.25" r="44" customHeight="1" ht="18.75">
      <c r="A44" s="1"/>
      <c r="B44" s="16"/>
      <c r="C44" s="16"/>
      <c r="D44" s="13"/>
      <c r="E44" s="3" t="s">
        <v>74</v>
      </c>
      <c r="F44" s="9"/>
      <c r="G44" s="13"/>
      <c r="H44" s="10"/>
      <c r="I44" s="11"/>
      <c r="J44" s="1"/>
      <c r="K44" s="1"/>
      <c r="L44" s="1"/>
      <c r="M44" s="1"/>
      <c r="N44" s="1"/>
      <c r="O44" s="7"/>
    </row>
    <row x14ac:dyDescent="0.25" r="45" customHeight="1" ht="18.75">
      <c r="A45" s="1"/>
      <c r="B45" s="16"/>
      <c r="C45" s="16"/>
      <c r="D45" s="13"/>
      <c r="E45" s="9" t="s">
        <v>142</v>
      </c>
      <c r="F45" s="9" t="s">
        <v>143</v>
      </c>
      <c r="G45" s="13"/>
      <c r="H45" s="10"/>
      <c r="I45" s="11"/>
      <c r="J45" s="1"/>
      <c r="K45" s="1"/>
      <c r="L45" s="1"/>
      <c r="M45" s="1"/>
      <c r="N45" s="1"/>
      <c r="O45" s="7"/>
    </row>
    <row x14ac:dyDescent="0.25" r="46" customHeight="1" ht="18.75">
      <c r="A46" s="1"/>
      <c r="B46" s="16"/>
      <c r="C46" s="16"/>
      <c r="D46" s="13"/>
      <c r="E46" s="9" t="s">
        <v>144</v>
      </c>
      <c r="F46" s="9" t="s">
        <v>145</v>
      </c>
      <c r="G46" s="13"/>
      <c r="H46" s="10"/>
      <c r="I46" s="11"/>
      <c r="J46" s="1"/>
      <c r="K46" s="1"/>
      <c r="L46" s="1"/>
      <c r="M46" s="1"/>
      <c r="N46" s="1"/>
      <c r="O46" s="7"/>
    </row>
    <row x14ac:dyDescent="0.25" r="47" customHeight="1" ht="18.75">
      <c r="A47" s="1"/>
      <c r="B47" s="16"/>
      <c r="C47" s="16"/>
      <c r="D47" s="13"/>
      <c r="E47" s="9"/>
      <c r="F47" s="9"/>
      <c r="G47" s="13"/>
      <c r="H47" s="10"/>
      <c r="I47" s="11"/>
      <c r="J47" s="1"/>
      <c r="K47" s="1"/>
      <c r="L47" s="1"/>
      <c r="M47" s="1"/>
      <c r="N47" s="1"/>
      <c r="O47" s="7"/>
    </row>
    <row x14ac:dyDescent="0.25" r="48" customHeight="1" ht="18.75">
      <c r="A48" s="1"/>
      <c r="B48" s="16"/>
      <c r="C48" s="16"/>
      <c r="D48" s="13"/>
      <c r="E48" s="3" t="s">
        <v>146</v>
      </c>
      <c r="F48" s="9"/>
      <c r="G48" s="13"/>
      <c r="H48" s="4" t="s">
        <v>147</v>
      </c>
      <c r="I48" s="11" t="s">
        <v>128</v>
      </c>
      <c r="J48" s="1"/>
      <c r="K48" s="1"/>
      <c r="L48" s="1"/>
      <c r="M48" s="1"/>
      <c r="N48" s="1"/>
      <c r="O48" s="7"/>
    </row>
    <row x14ac:dyDescent="0.25" r="49" customHeight="1" ht="18.75">
      <c r="A49" s="1"/>
      <c r="B49" s="16"/>
      <c r="C49" s="16"/>
      <c r="D49" s="13"/>
      <c r="E49" s="9" t="s">
        <v>148</v>
      </c>
      <c r="F49" s="9" t="s">
        <v>149</v>
      </c>
      <c r="G49" s="13"/>
      <c r="H49" s="22">
        <v>100</v>
      </c>
      <c r="I49" s="11" t="s">
        <v>150</v>
      </c>
      <c r="J49" s="1"/>
      <c r="K49" s="1"/>
      <c r="L49" s="1"/>
      <c r="M49" s="1"/>
      <c r="N49" s="1"/>
      <c r="O49" s="7"/>
    </row>
    <row x14ac:dyDescent="0.25" r="50" customHeight="1" ht="18.75">
      <c r="A50" s="1"/>
      <c r="B50" s="16"/>
      <c r="C50" s="16"/>
      <c r="D50" s="13"/>
      <c r="E50" s="9" t="s">
        <v>151</v>
      </c>
      <c r="F50" s="9" t="s">
        <v>152</v>
      </c>
      <c r="G50" s="13"/>
      <c r="H50" s="10" t="s">
        <v>153</v>
      </c>
      <c r="I50" s="11" t="s">
        <v>154</v>
      </c>
      <c r="J50" s="1"/>
      <c r="K50" s="1"/>
      <c r="L50" s="1"/>
      <c r="M50" s="1"/>
      <c r="N50" s="1"/>
      <c r="O50" s="7"/>
    </row>
    <row x14ac:dyDescent="0.25" r="51" customHeight="1" ht="18.75">
      <c r="A51" s="1"/>
      <c r="B51" s="16"/>
      <c r="C51" s="16"/>
      <c r="D51" s="13"/>
      <c r="E51" s="9" t="s">
        <v>155</v>
      </c>
      <c r="F51" s="9" t="s">
        <v>156</v>
      </c>
      <c r="G51" s="13"/>
      <c r="H51" s="10" t="s">
        <v>157</v>
      </c>
      <c r="I51" s="11" t="s">
        <v>158</v>
      </c>
      <c r="J51" s="1"/>
      <c r="K51" s="1"/>
      <c r="L51" s="1"/>
      <c r="M51" s="1"/>
      <c r="N51" s="1"/>
      <c r="O51" s="7"/>
    </row>
    <row x14ac:dyDescent="0.25" r="52" customHeight="1" ht="18.75">
      <c r="A52" s="1"/>
      <c r="B52" s="16"/>
      <c r="C52" s="16"/>
      <c r="D52" s="13"/>
      <c r="E52" s="9" t="s">
        <v>159</v>
      </c>
      <c r="F52" s="9" t="s">
        <v>160</v>
      </c>
      <c r="G52" s="13"/>
      <c r="H52" s="10" t="s">
        <v>161</v>
      </c>
      <c r="I52" s="11" t="s">
        <v>162</v>
      </c>
      <c r="J52" s="1"/>
      <c r="K52" s="1"/>
      <c r="L52" s="1"/>
      <c r="M52" s="1"/>
      <c r="N52" s="1"/>
      <c r="O52" s="7"/>
    </row>
    <row x14ac:dyDescent="0.25" r="53" customHeight="1" ht="18.75">
      <c r="A53" s="1"/>
      <c r="B53" s="16"/>
      <c r="C53" s="16"/>
      <c r="D53" s="13"/>
      <c r="E53" s="9" t="s">
        <v>163</v>
      </c>
      <c r="F53" s="9" t="s">
        <v>164</v>
      </c>
      <c r="G53" s="13"/>
      <c r="H53" s="10" t="s">
        <v>165</v>
      </c>
      <c r="I53" s="11" t="s">
        <v>166</v>
      </c>
      <c r="J53" s="1"/>
      <c r="K53" s="1"/>
      <c r="L53" s="1"/>
      <c r="M53" s="1"/>
      <c r="N53" s="1"/>
      <c r="O53" s="7"/>
    </row>
    <row x14ac:dyDescent="0.25" r="54" customHeight="1" ht="18.75">
      <c r="A54" s="1"/>
      <c r="B54" s="16"/>
      <c r="C54" s="16"/>
      <c r="D54" s="13"/>
      <c r="E54" s="9" t="s">
        <v>167</v>
      </c>
      <c r="F54" s="9" t="s">
        <v>168</v>
      </c>
      <c r="G54" s="13"/>
      <c r="H54" s="10" t="s">
        <v>163</v>
      </c>
      <c r="I54" s="11" t="s">
        <v>152</v>
      </c>
      <c r="J54" s="1"/>
      <c r="K54" s="1"/>
      <c r="L54" s="1"/>
      <c r="M54" s="1"/>
      <c r="N54" s="1"/>
      <c r="O54" s="7"/>
    </row>
    <row x14ac:dyDescent="0.25" r="55" customHeight="1" ht="18.75">
      <c r="A55" s="1"/>
      <c r="B55" s="16"/>
      <c r="C55" s="16"/>
      <c r="D55" s="13"/>
      <c r="E55" s="9"/>
      <c r="F55" s="9"/>
      <c r="G55" s="13"/>
      <c r="H55" s="10"/>
      <c r="I55" s="11"/>
      <c r="J55" s="1"/>
      <c r="K55" s="1"/>
      <c r="L55" s="1"/>
      <c r="M55" s="1"/>
      <c r="N55" s="1"/>
      <c r="O55" s="7"/>
    </row>
    <row x14ac:dyDescent="0.25" r="56" customHeight="1" ht="18.75">
      <c r="A56" s="1"/>
      <c r="B56" s="16"/>
      <c r="C56" s="16"/>
      <c r="D56" s="1"/>
      <c r="E56" s="17"/>
      <c r="F56" s="7"/>
      <c r="G56" s="1"/>
      <c r="H56" s="16"/>
      <c r="I56" s="21"/>
      <c r="J56" s="1"/>
      <c r="K56" s="1"/>
      <c r="L56" s="1"/>
      <c r="M56" s="1"/>
      <c r="N56" s="1"/>
      <c r="O56" s="7"/>
    </row>
    <row x14ac:dyDescent="0.25" r="57" customHeight="1" ht="18.75">
      <c r="A57" s="1"/>
      <c r="B57" s="16"/>
      <c r="C57" s="16"/>
      <c r="D57" s="1"/>
      <c r="E57" s="17"/>
      <c r="F57" s="7"/>
      <c r="G57" s="1"/>
      <c r="H57" s="16"/>
      <c r="I57" s="21"/>
      <c r="J57" s="1"/>
      <c r="K57" s="1"/>
      <c r="L57" s="1"/>
      <c r="M57" s="1"/>
      <c r="N57" s="1"/>
      <c r="O57" s="7"/>
    </row>
    <row x14ac:dyDescent="0.25" r="58" customHeight="1" ht="18.75">
      <c r="A58" s="1"/>
      <c r="B58" s="16"/>
      <c r="C58" s="16"/>
      <c r="D58" s="1"/>
      <c r="E58" s="17"/>
      <c r="F58" s="7"/>
      <c r="G58" s="1"/>
      <c r="H58" s="16"/>
      <c r="I58" s="21"/>
      <c r="J58" s="1"/>
      <c r="K58" s="1"/>
      <c r="L58" s="1"/>
      <c r="M58" s="1"/>
      <c r="N58" s="1"/>
      <c r="O58" s="7"/>
    </row>
    <row x14ac:dyDescent="0.25" r="59" customHeight="1" ht="18.75">
      <c r="A59" s="1"/>
      <c r="B59" s="16"/>
      <c r="C59" s="16"/>
      <c r="D59" s="1"/>
      <c r="E59" s="17"/>
      <c r="F59" s="7"/>
      <c r="G59" s="1"/>
      <c r="H59" s="16"/>
      <c r="I59" s="21"/>
      <c r="J59" s="1"/>
      <c r="K59" s="1"/>
      <c r="L59" s="1"/>
      <c r="M59" s="1"/>
      <c r="N59" s="1"/>
      <c r="O59" s="7"/>
    </row>
    <row x14ac:dyDescent="0.25" r="60" customHeight="1" ht="18.75">
      <c r="A60" s="1"/>
      <c r="B60" s="16"/>
      <c r="C60" s="16"/>
      <c r="D60" s="1"/>
      <c r="E60" s="17"/>
      <c r="F60" s="7"/>
      <c r="G60" s="1"/>
      <c r="H60" s="16"/>
      <c r="I60" s="21"/>
      <c r="J60" s="1"/>
      <c r="K60" s="1"/>
      <c r="L60" s="1"/>
      <c r="M60" s="1"/>
      <c r="N60" s="1"/>
      <c r="O60" s="7"/>
    </row>
    <row x14ac:dyDescent="0.25" r="61" customHeight="1" ht="18.75">
      <c r="A61" s="1"/>
      <c r="B61" s="16"/>
      <c r="C61" s="16"/>
      <c r="D61" s="1" t="s">
        <v>130</v>
      </c>
      <c r="E61" s="24">
        <v>0.2</v>
      </c>
      <c r="F61" s="7">
        <f>&gt; 0% Exhaustion</f>
      </c>
      <c r="G61" s="1"/>
      <c r="H61" s="16"/>
      <c r="I61" s="21"/>
      <c r="J61" s="1"/>
      <c r="K61" s="1"/>
      <c r="L61" s="1"/>
      <c r="M61" s="1"/>
      <c r="N61" s="1"/>
      <c r="O61" s="7"/>
    </row>
    <row x14ac:dyDescent="0.25" r="62" customHeight="1" ht="18.75">
      <c r="A62" s="1"/>
      <c r="B62" s="16"/>
      <c r="C62" s="16"/>
      <c r="D62" s="1" t="s">
        <v>169</v>
      </c>
      <c r="E62" s="24">
        <f>1-(0.3*0.3)</f>
      </c>
      <c r="F62" s="7"/>
      <c r="G62" s="1"/>
      <c r="H62" s="16"/>
      <c r="I62" s="21"/>
      <c r="J62" s="1"/>
      <c r="K62" s="1"/>
      <c r="L62" s="1"/>
      <c r="M62" s="1"/>
      <c r="N62" s="1"/>
      <c r="O62" s="7"/>
    </row>
    <row x14ac:dyDescent="0.25" r="63" customHeight="1" ht="18.75">
      <c r="A63" s="1"/>
      <c r="B63" s="16"/>
      <c r="C63" s="16"/>
      <c r="D63" s="1" t="s">
        <v>170</v>
      </c>
      <c r="E63" s="24">
        <f>1-(0.3*0.18)</f>
      </c>
      <c r="F63" s="8">
        <v>10</v>
      </c>
      <c r="G63" s="1"/>
      <c r="H63" s="16"/>
      <c r="I63" s="21"/>
      <c r="J63" s="1"/>
      <c r="K63" s="1"/>
      <c r="L63" s="1"/>
      <c r="M63" s="1"/>
      <c r="N63" s="1"/>
      <c r="O63" s="7"/>
    </row>
    <row x14ac:dyDescent="0.25" r="64" customHeight="1" ht="18.75">
      <c r="A64" s="1"/>
      <c r="B64" s="16"/>
      <c r="C64" s="16"/>
      <c r="D64" s="1" t="s">
        <v>171</v>
      </c>
      <c r="E64" s="24">
        <f> 1-((F63*F64)*(F63*F64))</f>
      </c>
      <c r="F64" s="24">
        <v>0.06</v>
      </c>
      <c r="G64" s="1"/>
      <c r="H64" s="16"/>
      <c r="I64" s="21"/>
      <c r="J64" s="1"/>
      <c r="K64" s="1"/>
      <c r="L64" s="1"/>
      <c r="M64" s="1"/>
      <c r="N64" s="1"/>
      <c r="O64" s="7"/>
    </row>
    <row x14ac:dyDescent="0.25" r="65" customHeight="1" ht="18.75">
      <c r="A65" s="1"/>
      <c r="B65" s="16"/>
      <c r="C65" s="16"/>
      <c r="D65" s="1" t="s">
        <v>74</v>
      </c>
      <c r="E65" s="24">
        <f>1/1.1</f>
      </c>
      <c r="F65" s="7"/>
      <c r="G65" s="1"/>
      <c r="H65" s="16"/>
      <c r="I65" s="21"/>
      <c r="J65" s="1"/>
      <c r="K65" s="1"/>
      <c r="L65" s="1"/>
      <c r="M65" s="1"/>
      <c r="N65" s="1"/>
      <c r="O65" s="7"/>
    </row>
    <row x14ac:dyDescent="0.25" r="66" customHeight="1" ht="18.75">
      <c r="A66" s="1"/>
      <c r="B66" s="16"/>
      <c r="C66" s="16"/>
      <c r="D66" s="1"/>
      <c r="E66" s="17"/>
      <c r="F66" s="7"/>
      <c r="G66" s="1"/>
      <c r="H66" s="16"/>
      <c r="I66" s="21"/>
      <c r="J66" s="1"/>
      <c r="K66" s="1"/>
      <c r="L66" s="1"/>
      <c r="M66" s="1"/>
      <c r="N66" s="1"/>
      <c r="O66" s="7"/>
    </row>
    <row x14ac:dyDescent="0.25" r="67" customHeight="1" ht="18.75">
      <c r="A67" s="1"/>
      <c r="B67" s="16"/>
      <c r="C67" s="16"/>
      <c r="D67" s="1" t="s">
        <v>172</v>
      </c>
      <c r="E67" s="24">
        <f>E61*E62*E63*E64*E65</f>
      </c>
      <c r="F67" s="7"/>
      <c r="G67" s="1"/>
      <c r="H67" s="16"/>
      <c r="I67" s="21"/>
      <c r="J67" s="1"/>
      <c r="K67" s="1"/>
      <c r="L67" s="1"/>
      <c r="M67" s="1"/>
      <c r="N67" s="1"/>
      <c r="O67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Front Page</vt:lpstr>
      <vt:lpstr>Data Base</vt:lpstr>
      <vt:lpstr>Factories</vt:lpstr>
      <vt:lpstr>War Exhaustion</vt:lpstr>
      <vt:lpstr>People</vt:lpstr>
      <vt:lpstr>Taxes</vt:lpstr>
      <vt:lpstr>Loans</vt:lpstr>
      <vt:lpstr>State Bank</vt:lpstr>
      <vt:lpstr>Expenses</vt:lpstr>
      <vt:lpstr>Trade</vt:lpstr>
      <vt:lpstr>Inflation</vt:lpstr>
      <vt:lpstr>Happines</vt:lpstr>
      <vt:lpstr>BETA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2022-07-21T17:47:50.882Z</dcterms:created>
  <dcterms:modified xsi:type="dcterms:W3CDTF">2022-07-21T17:47:50.882Z</dcterms:modified>
</cp:coreProperties>
</file>