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ineOptNordic\MESSO\model-data\"/>
    </mc:Choice>
  </mc:AlternateContent>
  <xr:revisionPtr revIDLastSave="0" documentId="13_ncr:1_{8A7C93A9-5EDC-4AE7-BD2B-18C586BC4A7D}" xr6:coauthVersionLast="47" xr6:coauthVersionMax="47" xr10:uidLastSave="{00000000-0000-0000-0000-000000000000}"/>
  <bookViews>
    <workbookView xWindow="-120" yWindow="-120" windowWidth="38640" windowHeight="21120" activeTab="8" xr2:uid="{1BAD80D3-B61F-4294-A8B7-2B0091A5E784}"/>
  </bookViews>
  <sheets>
    <sheet name="FIN" sheetId="6" r:id="rId1"/>
    <sheet name="NOR" sheetId="7" r:id="rId2"/>
    <sheet name="SWE" sheetId="8" r:id="rId3"/>
    <sheet name="DEN" sheetId="9" r:id="rId4"/>
    <sheet name="BAL" sheetId="5" r:id="rId5"/>
    <sheet name="Lithuania" sheetId="12" r:id="rId6"/>
    <sheet name="Latvia" sheetId="11" r:id="rId7"/>
    <sheet name="Estonia" sheetId="10" r:id="rId8"/>
    <sheet name="hydro_pumped_storage" sheetId="13" r:id="rId9"/>
  </sheets>
  <definedNames>
    <definedName name="ExterneDaten_1" localSheetId="7" hidden="1">Estonia!$A$1:$B$22</definedName>
    <definedName name="ExterneDaten_2" localSheetId="6" hidden="1">Latvia!$A$1:$B$22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3" l="1"/>
  <c r="G10" i="13"/>
  <c r="G11" i="13"/>
  <c r="G12" i="13"/>
  <c r="G13" i="13"/>
  <c r="G14" i="13"/>
  <c r="G15" i="13"/>
  <c r="G16" i="13"/>
  <c r="G17" i="13"/>
  <c r="G8" i="13"/>
  <c r="G6" i="13"/>
  <c r="G4" i="13"/>
  <c r="G2" i="13"/>
  <c r="J6" i="13"/>
  <c r="F6" i="13"/>
  <c r="M6" i="13"/>
  <c r="O4" i="13"/>
  <c r="L4" i="13"/>
  <c r="H3" i="13"/>
  <c r="A3" i="13"/>
  <c r="M2" i="13"/>
  <c r="J2" i="13"/>
  <c r="F2" i="13" s="1"/>
  <c r="F4" i="13" s="1"/>
  <c r="B2" i="13"/>
  <c r="C2" i="13" s="1"/>
  <c r="B23" i="5"/>
  <c r="E21" i="5"/>
  <c r="D21" i="5"/>
  <c r="C21" i="5"/>
  <c r="B23" i="9"/>
  <c r="E21" i="9"/>
  <c r="D21" i="9"/>
  <c r="C21" i="9"/>
  <c r="B23" i="8"/>
  <c r="E21" i="8"/>
  <c r="D21" i="8"/>
  <c r="C21" i="8"/>
  <c r="B23" i="7"/>
  <c r="E21" i="7"/>
  <c r="D21" i="7"/>
  <c r="C21" i="7"/>
  <c r="B23" i="6"/>
  <c r="E20" i="6"/>
  <c r="E21" i="6"/>
  <c r="M3" i="13" l="1"/>
  <c r="J3" i="13"/>
  <c r="L3" i="13" s="1"/>
  <c r="B3" i="13"/>
  <c r="C3" i="13" s="1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" i="6"/>
  <c r="D20" i="9" l="1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3" i="6"/>
  <c r="D4" i="6"/>
  <c r="D5" i="6"/>
  <c r="D6" i="6"/>
  <c r="D7" i="6"/>
  <c r="D8" i="6"/>
  <c r="D9" i="6"/>
  <c r="D10" i="6"/>
  <c r="D11" i="6"/>
  <c r="D12" i="6"/>
  <c r="D21" i="6"/>
  <c r="D13" i="6"/>
  <c r="D14" i="6"/>
  <c r="D15" i="6"/>
  <c r="D16" i="6"/>
  <c r="D17" i="6"/>
  <c r="D18" i="6"/>
  <c r="D19" i="6"/>
  <c r="D20" i="6"/>
  <c r="D2" i="6"/>
  <c r="C20" i="6" l="1"/>
  <c r="C19" i="6"/>
  <c r="C18" i="6"/>
  <c r="C17" i="6"/>
  <c r="C16" i="6"/>
  <c r="C15" i="6"/>
  <c r="C14" i="6"/>
  <c r="C13" i="6"/>
  <c r="C21" i="6"/>
  <c r="C12" i="6"/>
  <c r="C11" i="6"/>
  <c r="C10" i="6"/>
  <c r="C9" i="6"/>
  <c r="C8" i="6"/>
  <c r="C7" i="6"/>
  <c r="C6" i="6"/>
  <c r="C5" i="6"/>
  <c r="C4" i="6"/>
  <c r="C3" i="6"/>
  <c r="C2" i="6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D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  <author>Seppi Koell</author>
  </authors>
  <commentList>
    <comment ref="F1" authorId="0" shapeId="0" xr:uid="{FAB34CD7-B981-4297-B950-5865FE129236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Storage Capacity [MWh]</t>
        </r>
      </text>
    </comment>
    <comment ref="G1" authorId="0" shapeId="0" xr:uid="{AA8B4640-A15D-4B7F-9FED-3A34CB3C6B83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A simple assumption</t>
        </r>
      </text>
    </comment>
    <comment ref="J1" authorId="0" shapeId="0" xr:uid="{39906744-4BF3-4492-A986-E85367B2CC4E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More details about generating mode can be found in:
1) the country's sheets of this workbook
2) gen_technology.xlsx
3) ramping_detail</t>
        </r>
      </text>
    </comment>
    <comment ref="L1" authorId="0" shapeId="0" xr:uid="{BE75A802-EA98-4C3E-9E23-9DB673BF909B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for generating mode</t>
        </r>
      </text>
    </comment>
    <comment ref="O1" authorId="0" shapeId="0" xr:uid="{BE7078FF-8AD8-4203-853C-02E1CA96BD55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for pumping mode</t>
        </r>
      </text>
    </comment>
    <comment ref="P1" authorId="0" shapeId="0" xr:uid="{0B001A76-B421-4DC7-BBB7-505279F1792C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varOM 2010 [€/MWh], for pumping mode</t>
        </r>
      </text>
    </comment>
    <comment ref="Q1" authorId="0" shapeId="0" xr:uid="{88C36894-A8BF-4E6E-89C4-31642D78027A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for pumping node, if available</t>
        </r>
      </text>
    </comment>
    <comment ref="F2" authorId="0" shapeId="0" xr:uid="{492099CD-8FB9-402B-9B95-D91B2B8DEF76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12-hour storage volume for full generator mode operation (mentioned in the vedio in source 1)</t>
        </r>
      </text>
    </comment>
    <comment ref="L2" authorId="0" shapeId="0" xr:uid="{B2F8D1F7-7349-4390-AE00-8DBCF4857B09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It does not make sense for aggregated unit to have min opt level</t>
        </r>
      </text>
    </comment>
    <comment ref="L3" authorId="0" shapeId="0" xr:uid="{B735D12B-3C4C-43F7-BE1F-CA6850C66EC0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The official introduction (source 1&amp;4) claim opt range to be 0-225, while the more serious extension contract info. (source 2&amp;3) shows a min opt level at 160MW</t>
        </r>
      </text>
    </comment>
    <comment ref="F4" authorId="0" shapeId="0" xr:uid="{9684D7C1-62B6-41F5-9739-19B9B839014B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additional 8.2GWh storage capacity</t>
        </r>
      </text>
    </comment>
    <comment ref="H4" authorId="1" shapeId="0" xr:uid="{0A3B0834-2CF8-AE4C-8A08-EF940CAFEE8B}">
      <text>
        <r>
          <rPr>
            <b/>
            <sz val="10"/>
            <color rgb="FF000000"/>
            <rFont val="Tahoma"/>
            <family val="2"/>
          </rPr>
          <t>Seppi Koell: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Unit number 5 with more flexibility see source 3</t>
        </r>
      </text>
    </comment>
    <comment ref="I4" authorId="0" shapeId="0" xr:uid="{F48592AE-D7B7-4E53-944D-AE9CE3E0EE33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plan to commission in 2024 (source 2)</t>
        </r>
      </text>
    </comment>
    <comment ref="F6" authorId="0" shapeId="0" xr:uid="{931B08B3-AF40-406A-AA87-5AA2D92D212E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The values here are only the higher reservoir. Source 1 also provides storage capacity of lower reservior. Re-think a proper way to model.</t>
        </r>
      </text>
    </comment>
    <comment ref="K6" authorId="0" shapeId="0" xr:uid="{9C007590-AF60-4F89-9888-F119FDB98844}">
      <text>
        <r>
          <rPr>
            <b/>
            <sz val="9"/>
            <color indexed="81"/>
            <rFont val="Tahoma"/>
            <charset val="1"/>
          </rPr>
          <t>Huang  Jiangyi:</t>
        </r>
        <r>
          <rPr>
            <sz val="9"/>
            <color indexed="81"/>
            <rFont val="Tahoma"/>
            <charset val="1"/>
          </rPr>
          <t xml:space="preserve">
a range of 0.65-0.8</t>
        </r>
      </text>
    </comment>
    <comment ref="B8" authorId="1" shapeId="0" xr:uid="{8B89C5E2-519C-B44E-B1E8-A3AF873FA20F}">
      <text>
        <r>
          <rPr>
            <b/>
            <sz val="10"/>
            <color rgb="FF000000"/>
            <rFont val="Tahoma"/>
            <family val="2"/>
          </rPr>
          <t>Seppi Koell: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Big and small plants are analyzed</t>
        </r>
      </text>
    </comment>
  </commentList>
</comments>
</file>

<file path=xl/sharedStrings.xml><?xml version="1.0" encoding="utf-8"?>
<sst xmlns="http://schemas.openxmlformats.org/spreadsheetml/2006/main" count="574" uniqueCount="74">
  <si>
    <t>Production Type</t>
  </si>
  <si>
    <t>2020 [MW]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</si>
  <si>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</si>
  <si>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</si>
  <si>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</si>
  <si>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</si>
  <si>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</si>
  <si>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</si>
  <si>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</si>
  <si>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</si>
  <si>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</si>
  <si>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</si>
  <si>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</si>
  <si>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</si>
  <si>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</si>
  <si>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</si>
  <si>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</si>
  <si>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</si>
  <si>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</si>
  <si>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</si>
  <si>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</si>
  <si>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</si>
  <si>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Total Grand capacity</t>
  </si>
  <si>
    <t>BAL</t>
  </si>
  <si>
    <t>DEN</t>
  </si>
  <si>
    <t>FIN</t>
  </si>
  <si>
    <t>NOR</t>
  </si>
  <si>
    <t>SWE</t>
  </si>
  <si>
    <t>is_active</t>
  </si>
  <si>
    <t>Aggregated capacity 2020 [MW]</t>
  </si>
  <si>
    <t>Generation unit capacity 2020 [MW]</t>
  </si>
  <si>
    <t>number_of_units</t>
  </si>
  <si>
    <t>alternative</t>
  </si>
  <si>
    <t>RampBase</t>
  </si>
  <si>
    <t>online_variable_type</t>
  </si>
  <si>
    <t>unit_online_variable_type_integer</t>
  </si>
  <si>
    <t>node</t>
  </si>
  <si>
    <t>unit</t>
  </si>
  <si>
    <t>has_state</t>
  </si>
  <si>
    <t>True</t>
  </si>
  <si>
    <t>Base</t>
  </si>
  <si>
    <t>minimum_operating_point</t>
  </si>
  <si>
    <t>Generator Capacity [MW]</t>
  </si>
  <si>
    <t>Pump Capacity</t>
  </si>
  <si>
    <t>Generator Efficiency</t>
  </si>
  <si>
    <t>Pump Efficiency</t>
  </si>
  <si>
    <t>metadata</t>
  </si>
  <si>
    <t>source 1</t>
  </si>
  <si>
    <t>source 2</t>
  </si>
  <si>
    <t>emissions [CO2 tons / MWh of electricity]</t>
  </si>
  <si>
    <t>node_state_cap</t>
  </si>
  <si>
    <t>vom_cost</t>
  </si>
  <si>
    <t>IntegerVariables</t>
  </si>
  <si>
    <t>Future</t>
  </si>
  <si>
    <t>Source 1</t>
  </si>
  <si>
    <t>BAL_hydro-pumped_storage</t>
  </si>
  <si>
    <t>source 3</t>
  </si>
  <si>
    <t>source 4</t>
  </si>
  <si>
    <t>BAL_hydro-pumped_ext</t>
  </si>
  <si>
    <t>False</t>
  </si>
  <si>
    <t>NOR_hydro-pumped_storage</t>
  </si>
  <si>
    <t>NOR_hydro-pumped_Øljusjøen</t>
  </si>
  <si>
    <t>NOR_hydro-pumped_Tevla</t>
  </si>
  <si>
    <t>NOR_hydro-pumped_Stølsdal</t>
  </si>
  <si>
    <t>NOR_hydro-pumped_Saurdal</t>
  </si>
  <si>
    <t>NOR_hydro-pumped_Nygard</t>
  </si>
  <si>
    <t>NOR_hydro-pumped_Jukla</t>
  </si>
  <si>
    <t>NOR_hydro-pumped_Herva</t>
  </si>
  <si>
    <t>NOR_hydro-pumped_Duge</t>
  </si>
  <si>
    <t>NOR_hydro-pumped_Brattingfoss</t>
  </si>
  <si>
    <t>NOR_hydro-pumped_Aurland_III</t>
  </si>
  <si>
    <t>Source 2</t>
  </si>
  <si>
    <t>NOR_hydro-pumped</t>
  </si>
  <si>
    <t>initial_node_state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</si>
</sst>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3" fillId="0" borderId="0" xfId="1" applyAlignment="1">
      <alignment vertical="center"/>
    </xf>
    <xf numFmtId="164" fontId="0" fillId="0" borderId="0" xfId="0" applyNumberFormat="1"/>
    <xf numFmtId="0" fontId="0" fillId="0" borderId="0" xfId="0" quotePrefix="1"/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A7841D-BFC6-4DAA-93C5-5E499302E976}" name="Lithuania" displayName="Lithuania" ref="A1:B22" headerRowCount="0" totalsRowShown="0">
  <tableColumns count="2">
    <tableColumn id="1" xr3:uid="{216BAC46-EA21-4B26-B77A-365E6089AEF7}" name="Column1" dataDxfId="4"/>
    <tableColumn id="2" xr3:uid="{67FCF6A7-4FA0-4798-8738-666C0485936C}" name="Column2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74F209-284E-467F-995C-D5AF006565F4}" name="Latvia" displayName="Latvia" ref="A1:B22" headerRowCount="0" totalsRowShown="0">
  <tableColumns count="2">
    <tableColumn id="1" xr3:uid="{EB7B36CC-80E8-4DC8-8EE3-4A193E5B6FC1}" name="Column1" dataDxfId="2"/>
    <tableColumn id="2" xr3:uid="{A7ED2011-89A3-40B8-A6B9-074B2E11D50C}" name="Column2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79D45E-3E57-4D4F-9B14-9DE58F73E6C3}" name="Estonia" displayName="Estonia" ref="A1:B22" totalsRowShown="0">
  <autoFilter ref="A1:B22" xr:uid="{2479D45E-3E57-4D4F-9B14-9DE58F73E6C3}"/>
  <tableColumns count="2">
    <tableColumn id="1" xr3:uid="{8C8DBC5A-09EF-421D-BF32-CD05BEBEA452}" name="Production Type" dataDxfId="0"/>
    <tableColumn id="2" xr3:uid="{77FC7614-6DE9-4319-A68C-535FC721080E}" name="2020 [MW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eepublicdownloads.entsoe.eu/clean-documents/tyndp-documents/TYNDP%202016/projects/P1009.pdf" TargetMode="External"/><Relationship Id="rId7" Type="http://schemas.openxmlformats.org/officeDocument/2006/relationships/hyperlink" Target="https://www.hydropower.org/country-profiles/norway" TargetMode="External"/><Relationship Id="rId2" Type="http://schemas.openxmlformats.org/officeDocument/2006/relationships/hyperlink" Target="https://tyndp.entsoe.eu/tyndp2018/projects/storage_projects/1009" TargetMode="External"/><Relationship Id="rId1" Type="http://schemas.openxmlformats.org/officeDocument/2006/relationships/hyperlink" Target="https://ignitisgamyba.lt/en/our-activities/electricity-generation/kruonis-pumped-storage-hydroelectric-plant-the-kpshp/4188" TargetMode="External"/><Relationship Id="rId6" Type="http://schemas.openxmlformats.org/officeDocument/2006/relationships/hyperlink" Target="https://www.mdpi.com/2071-1050/14/11/6939" TargetMode="External"/><Relationship Id="rId5" Type="http://schemas.openxmlformats.org/officeDocument/2006/relationships/hyperlink" Target="https://mdpi-res.com/d_attachment/energies/energies-13-04918/article_deploy/energies-13-04918-v2.pdf?version=1601001709" TargetMode="External"/><Relationship Id="rId4" Type="http://schemas.openxmlformats.org/officeDocument/2006/relationships/hyperlink" Target="https://enmin.lrv.lt/en/strategic-projects/electricity-sector/pumped-storage-hydroelectricity-plant-kruonis-5th-block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0367-8F61-4CFD-AF92-8269AB06E53E}">
  <dimension ref="A1:I23"/>
  <sheetViews>
    <sheetView workbookViewId="0">
      <selection activeCell="I2" sqref="I2:I21"/>
    </sheetView>
  </sheetViews>
  <sheetFormatPr defaultColWidth="11.42578125" defaultRowHeight="15" x14ac:dyDescent="0.25"/>
  <cols>
    <col min="1" max="1" width="31" bestFit="1" customWidth="1"/>
    <col min="2" max="2" width="29.140625" bestFit="1" customWidth="1"/>
    <col min="3" max="3" width="22" bestFit="1" customWidth="1"/>
    <col min="4" max="4" width="8.7109375" bestFit="1" customWidth="1"/>
    <col min="5" max="5" width="33.140625" bestFit="1" customWidth="1"/>
    <col min="6" max="6" width="16.42578125" bestFit="1" customWidth="1"/>
    <col min="8" max="8" width="32.5703125" bestFit="1" customWidth="1"/>
    <col min="10" max="10" width="12" bestFit="1" customWidth="1"/>
    <col min="11" max="11" width="11.85546875" bestFit="1" customWidth="1"/>
    <col min="12" max="12" width="9.140625" bestFit="1" customWidth="1"/>
  </cols>
  <sheetData>
    <row r="1" spans="1:9" x14ac:dyDescent="0.25">
      <c r="A1" s="1" t="s">
        <v>0</v>
      </c>
      <c r="B1" s="1" t="s">
        <v>29</v>
      </c>
      <c r="C1" s="1" t="s">
        <v>25</v>
      </c>
      <c r="D1" s="1" t="s">
        <v>28</v>
      </c>
      <c r="E1" s="1" t="s">
        <v>30</v>
      </c>
      <c r="F1" s="1" t="s">
        <v>31</v>
      </c>
      <c r="G1" s="1" t="s">
        <v>32</v>
      </c>
      <c r="H1" s="1" t="s">
        <v>34</v>
      </c>
      <c r="I1" s="1" t="s">
        <v>32</v>
      </c>
    </row>
    <row r="2" spans="1:9" x14ac:dyDescent="0.25">
      <c r="A2" s="1" t="s">
        <v>2</v>
      </c>
      <c r="B2" s="1">
        <v>1860</v>
      </c>
      <c r="C2" t="str">
        <f>$C$1&amp;"_biomass"</f>
        <v>FIN_biomass</v>
      </c>
      <c r="D2" t="str">
        <f>IF(B2&gt;0,"True","False")</f>
        <v>True</v>
      </c>
      <c r="E2" s="2">
        <f>B2/F2</f>
        <v>88.571428571428569</v>
      </c>
      <c r="F2">
        <v>21</v>
      </c>
      <c r="G2" t="s">
        <v>33</v>
      </c>
      <c r="H2" t="s">
        <v>35</v>
      </c>
      <c r="I2" t="s">
        <v>52</v>
      </c>
    </row>
    <row r="3" spans="1:9" x14ac:dyDescent="0.25">
      <c r="A3" s="1" t="s">
        <v>3</v>
      </c>
      <c r="B3" s="1">
        <v>0</v>
      </c>
      <c r="C3" t="str">
        <f>$C$1&amp;"_brown-coal_lignite"</f>
        <v>FIN_brown-coal_lignite</v>
      </c>
      <c r="D3" t="str">
        <f t="shared" ref="D3:D20" si="0">IF(B3&gt;0,"True","False")</f>
        <v>False</v>
      </c>
      <c r="E3" s="2">
        <f t="shared" ref="E3:E21" si="1">B3/F3</f>
        <v>0</v>
      </c>
      <c r="F3">
        <v>1</v>
      </c>
      <c r="G3" t="s">
        <v>33</v>
      </c>
      <c r="H3" t="s">
        <v>35</v>
      </c>
      <c r="I3" t="s">
        <v>52</v>
      </c>
    </row>
    <row r="4" spans="1:9" x14ac:dyDescent="0.25">
      <c r="A4" s="1" t="s">
        <v>4</v>
      </c>
      <c r="B4" s="1">
        <v>0</v>
      </c>
      <c r="C4" t="str">
        <f>$C$1&amp;"_gas-coal-derived"</f>
        <v>FIN_gas-coal-derived</v>
      </c>
      <c r="D4" t="str">
        <f t="shared" si="0"/>
        <v>False</v>
      </c>
      <c r="E4" s="2">
        <f t="shared" si="1"/>
        <v>0</v>
      </c>
      <c r="F4">
        <v>1</v>
      </c>
      <c r="G4" t="s">
        <v>33</v>
      </c>
      <c r="H4" t="s">
        <v>35</v>
      </c>
      <c r="I4" t="s">
        <v>52</v>
      </c>
    </row>
    <row r="5" spans="1:9" x14ac:dyDescent="0.25">
      <c r="A5" s="1" t="s">
        <v>5</v>
      </c>
      <c r="B5" s="1">
        <v>1849</v>
      </c>
      <c r="C5" t="str">
        <f>$C$1&amp;"_gas"</f>
        <v>FIN_gas</v>
      </c>
      <c r="D5" t="str">
        <f t="shared" si="0"/>
        <v>True</v>
      </c>
      <c r="E5" s="2">
        <f t="shared" si="1"/>
        <v>108.76470588235294</v>
      </c>
      <c r="F5">
        <v>17</v>
      </c>
      <c r="G5" t="s">
        <v>33</v>
      </c>
      <c r="H5" t="s">
        <v>35</v>
      </c>
      <c r="I5" t="s">
        <v>52</v>
      </c>
    </row>
    <row r="6" spans="1:9" x14ac:dyDescent="0.25">
      <c r="A6" s="1" t="s">
        <v>6</v>
      </c>
      <c r="B6" s="1">
        <v>2163</v>
      </c>
      <c r="C6" t="str">
        <f>$C$1&amp;"_hard-coal"</f>
        <v>FIN_hard-coal</v>
      </c>
      <c r="D6" t="str">
        <f t="shared" si="0"/>
        <v>True</v>
      </c>
      <c r="E6" s="2">
        <f t="shared" si="1"/>
        <v>270.375</v>
      </c>
      <c r="F6">
        <v>8</v>
      </c>
      <c r="G6" t="s">
        <v>33</v>
      </c>
      <c r="H6" t="s">
        <v>35</v>
      </c>
      <c r="I6" t="s">
        <v>52</v>
      </c>
    </row>
    <row r="7" spans="1:9" x14ac:dyDescent="0.25">
      <c r="A7" s="1" t="s">
        <v>7</v>
      </c>
      <c r="B7" s="1">
        <v>1300</v>
      </c>
      <c r="C7" t="str">
        <f>$C$1&amp;"_oil"</f>
        <v>FIN_oil</v>
      </c>
      <c r="D7" t="str">
        <f t="shared" si="0"/>
        <v>True</v>
      </c>
      <c r="E7" s="2">
        <f t="shared" si="1"/>
        <v>76.470588235294116</v>
      </c>
      <c r="F7">
        <v>17</v>
      </c>
      <c r="G7" t="s">
        <v>33</v>
      </c>
      <c r="H7" t="s">
        <v>35</v>
      </c>
      <c r="I7" t="s">
        <v>52</v>
      </c>
    </row>
    <row r="8" spans="1:9" x14ac:dyDescent="0.25">
      <c r="A8" s="1" t="s">
        <v>8</v>
      </c>
      <c r="B8" s="1">
        <v>0</v>
      </c>
      <c r="C8" t="str">
        <f>$C$1&amp;"_oil-shale"</f>
        <v>FIN_oil-shale</v>
      </c>
      <c r="D8" t="str">
        <f t="shared" si="0"/>
        <v>False</v>
      </c>
      <c r="E8" s="2">
        <f t="shared" si="1"/>
        <v>0</v>
      </c>
      <c r="F8">
        <v>1</v>
      </c>
      <c r="G8" t="s">
        <v>33</v>
      </c>
      <c r="H8" t="s">
        <v>35</v>
      </c>
      <c r="I8" t="s">
        <v>52</v>
      </c>
    </row>
    <row r="9" spans="1:9" x14ac:dyDescent="0.25">
      <c r="A9" s="1" t="s">
        <v>9</v>
      </c>
      <c r="B9" s="1">
        <v>1135</v>
      </c>
      <c r="C9" t="str">
        <f>$C$1&amp;"_peat"</f>
        <v>FIN_peat</v>
      </c>
      <c r="D9" t="str">
        <f t="shared" si="0"/>
        <v>True</v>
      </c>
      <c r="E9" s="2">
        <f t="shared" si="1"/>
        <v>227</v>
      </c>
      <c r="F9">
        <v>5</v>
      </c>
      <c r="G9" t="s">
        <v>33</v>
      </c>
      <c r="H9" t="s">
        <v>35</v>
      </c>
      <c r="I9" t="s">
        <v>52</v>
      </c>
    </row>
    <row r="10" spans="1:9" x14ac:dyDescent="0.25">
      <c r="A10" s="1" t="s">
        <v>10</v>
      </c>
      <c r="B10" s="1">
        <v>0</v>
      </c>
      <c r="C10" t="str">
        <f>$C$1&amp;"_geothermal"</f>
        <v>FIN_geothermal</v>
      </c>
      <c r="D10" t="str">
        <f t="shared" si="0"/>
        <v>False</v>
      </c>
      <c r="E10" s="2">
        <f t="shared" si="1"/>
        <v>0</v>
      </c>
      <c r="F10">
        <v>1</v>
      </c>
      <c r="G10" t="s">
        <v>33</v>
      </c>
      <c r="H10" t="s">
        <v>35</v>
      </c>
      <c r="I10" t="s">
        <v>52</v>
      </c>
    </row>
    <row r="11" spans="1:9" x14ac:dyDescent="0.25">
      <c r="A11" s="1" t="s">
        <v>11</v>
      </c>
      <c r="B11" s="1">
        <v>0</v>
      </c>
      <c r="C11" t="str">
        <f>$C$1&amp;"_hydro-pumped"</f>
        <v>FIN_hydro-pumped</v>
      </c>
      <c r="D11" t="str">
        <f t="shared" si="0"/>
        <v>False</v>
      </c>
      <c r="E11" s="2">
        <f t="shared" si="1"/>
        <v>0</v>
      </c>
      <c r="F11">
        <v>1</v>
      </c>
      <c r="G11" t="s">
        <v>33</v>
      </c>
      <c r="H11" t="s">
        <v>35</v>
      </c>
      <c r="I11" t="s">
        <v>52</v>
      </c>
    </row>
    <row r="12" spans="1:9" x14ac:dyDescent="0.25">
      <c r="A12" s="1" t="s">
        <v>12</v>
      </c>
      <c r="B12" s="1">
        <v>3148</v>
      </c>
      <c r="C12" t="str">
        <f>$C$1&amp;"_hydro-ror"</f>
        <v>FIN_hydro-ror</v>
      </c>
      <c r="D12" t="str">
        <f t="shared" si="0"/>
        <v>True</v>
      </c>
      <c r="E12" s="2">
        <f t="shared" si="1"/>
        <v>64.244897959183675</v>
      </c>
      <c r="F12">
        <v>49</v>
      </c>
      <c r="G12" t="s">
        <v>33</v>
      </c>
      <c r="H12" t="s">
        <v>35</v>
      </c>
      <c r="I12" t="s">
        <v>52</v>
      </c>
    </row>
    <row r="13" spans="1:9" x14ac:dyDescent="0.25">
      <c r="A13" s="1" t="s">
        <v>14</v>
      </c>
      <c r="B13" s="1">
        <v>0</v>
      </c>
      <c r="C13" t="str">
        <f>$C$1&amp;"_marine"</f>
        <v>FIN_marine</v>
      </c>
      <c r="D13" t="str">
        <f t="shared" si="0"/>
        <v>False</v>
      </c>
      <c r="E13" s="2">
        <f t="shared" si="1"/>
        <v>0</v>
      </c>
      <c r="F13">
        <v>1</v>
      </c>
      <c r="G13" t="s">
        <v>33</v>
      </c>
      <c r="I13" t="s">
        <v>52</v>
      </c>
    </row>
    <row r="14" spans="1:9" x14ac:dyDescent="0.25">
      <c r="A14" s="1" t="s">
        <v>15</v>
      </c>
      <c r="B14" s="1">
        <v>2794</v>
      </c>
      <c r="C14" t="str">
        <f>$C$1&amp;"_nuclear"</f>
        <v>FIN_nuclear</v>
      </c>
      <c r="D14" t="str">
        <f t="shared" si="0"/>
        <v>True</v>
      </c>
      <c r="E14" s="2">
        <f t="shared" si="1"/>
        <v>558.79999999999995</v>
      </c>
      <c r="F14">
        <v>5</v>
      </c>
      <c r="G14" t="s">
        <v>33</v>
      </c>
      <c r="H14" t="s">
        <v>35</v>
      </c>
      <c r="I14" t="s">
        <v>52</v>
      </c>
    </row>
    <row r="15" spans="1:9" x14ac:dyDescent="0.25">
      <c r="A15" s="1" t="s">
        <v>16</v>
      </c>
      <c r="B15" s="1">
        <v>436</v>
      </c>
      <c r="C15" t="str">
        <f>$C$1&amp;"_other"</f>
        <v>FIN_other</v>
      </c>
      <c r="D15" t="str">
        <f t="shared" si="0"/>
        <v>True</v>
      </c>
      <c r="E15" s="2">
        <f t="shared" si="1"/>
        <v>218</v>
      </c>
      <c r="F15">
        <v>2</v>
      </c>
      <c r="G15" t="s">
        <v>33</v>
      </c>
      <c r="I15" t="s">
        <v>52</v>
      </c>
    </row>
    <row r="16" spans="1:9" x14ac:dyDescent="0.25">
      <c r="A16" s="1" t="s">
        <v>17</v>
      </c>
      <c r="B16" s="1">
        <v>274</v>
      </c>
      <c r="C16" t="str">
        <f>$C$1&amp;"_other-ren"</f>
        <v>FIN_other-ren</v>
      </c>
      <c r="D16" t="str">
        <f t="shared" si="0"/>
        <v>True</v>
      </c>
      <c r="E16" s="2">
        <f t="shared" si="1"/>
        <v>274</v>
      </c>
      <c r="F16">
        <v>1</v>
      </c>
      <c r="G16" t="s">
        <v>33</v>
      </c>
      <c r="I16" t="s">
        <v>52</v>
      </c>
    </row>
    <row r="17" spans="1:9" x14ac:dyDescent="0.25">
      <c r="A17" s="1" t="s">
        <v>18</v>
      </c>
      <c r="B17" s="1">
        <v>7</v>
      </c>
      <c r="C17" t="str">
        <f>$C$1&amp;"_solar"</f>
        <v>FIN_solar</v>
      </c>
      <c r="D17" t="str">
        <f t="shared" si="0"/>
        <v>True</v>
      </c>
      <c r="E17" s="2">
        <f t="shared" si="1"/>
        <v>7</v>
      </c>
      <c r="F17">
        <v>1</v>
      </c>
      <c r="G17" t="s">
        <v>33</v>
      </c>
      <c r="I17" t="s">
        <v>52</v>
      </c>
    </row>
    <row r="18" spans="1:9" x14ac:dyDescent="0.25">
      <c r="A18" s="1" t="s">
        <v>19</v>
      </c>
      <c r="B18" s="1">
        <v>163</v>
      </c>
      <c r="C18" t="str">
        <f>$C$1&amp;"_waste"</f>
        <v>FIN_waste</v>
      </c>
      <c r="D18" t="str">
        <f t="shared" si="0"/>
        <v>True</v>
      </c>
      <c r="E18" s="2">
        <f t="shared" si="1"/>
        <v>54.333333333333336</v>
      </c>
      <c r="F18">
        <v>3</v>
      </c>
      <c r="G18" t="s">
        <v>33</v>
      </c>
      <c r="I18" t="s">
        <v>52</v>
      </c>
    </row>
    <row r="19" spans="1:9" x14ac:dyDescent="0.25">
      <c r="A19" s="1" t="s">
        <v>20</v>
      </c>
      <c r="B19" s="1">
        <v>0</v>
      </c>
      <c r="C19" t="str">
        <f>$C$1&amp;"_wind-off"</f>
        <v>FIN_wind-off</v>
      </c>
      <c r="D19" t="str">
        <f t="shared" si="0"/>
        <v>False</v>
      </c>
      <c r="E19" s="2">
        <f t="shared" si="1"/>
        <v>0</v>
      </c>
      <c r="F19">
        <v>1</v>
      </c>
      <c r="G19" t="s">
        <v>33</v>
      </c>
      <c r="I19" t="s">
        <v>52</v>
      </c>
    </row>
    <row r="20" spans="1:9" x14ac:dyDescent="0.25">
      <c r="A20" s="1" t="s">
        <v>21</v>
      </c>
      <c r="B20" s="1">
        <v>2145</v>
      </c>
      <c r="C20" t="str">
        <f>$C$1&amp;"_wind-on"</f>
        <v>FIN_wind-on</v>
      </c>
      <c r="D20" t="str">
        <f t="shared" si="0"/>
        <v>True</v>
      </c>
      <c r="E20" s="2">
        <f>B20/F20</f>
        <v>2145</v>
      </c>
      <c r="F20">
        <v>1</v>
      </c>
      <c r="G20" t="s">
        <v>33</v>
      </c>
      <c r="I20" t="s">
        <v>52</v>
      </c>
    </row>
    <row r="21" spans="1:9" x14ac:dyDescent="0.25">
      <c r="A21" s="1" t="s">
        <v>13</v>
      </c>
      <c r="B21" s="1">
        <v>0</v>
      </c>
      <c r="C21" t="str">
        <f>$C$1&amp;"_hydro-reservoir"</f>
        <v>FIN_hydro-reservoir</v>
      </c>
      <c r="D21" t="str">
        <f>IF(B21&gt;0,"True","False")</f>
        <v>False</v>
      </c>
      <c r="E21" s="2">
        <f t="shared" si="1"/>
        <v>0</v>
      </c>
      <c r="F21">
        <v>1</v>
      </c>
      <c r="G21" t="s">
        <v>33</v>
      </c>
      <c r="H21" t="s">
        <v>35</v>
      </c>
      <c r="I21" t="s">
        <v>52</v>
      </c>
    </row>
    <row r="22" spans="1:9" x14ac:dyDescent="0.25">
      <c r="A22" s="1"/>
      <c r="B22" s="1"/>
      <c r="C22" s="1"/>
      <c r="D22" s="1"/>
      <c r="E22" s="1"/>
    </row>
    <row r="23" spans="1:9" x14ac:dyDescent="0.25">
      <c r="A23" s="1" t="s">
        <v>22</v>
      </c>
      <c r="B23" s="1">
        <f>SUM(B2:B21)</f>
        <v>17274</v>
      </c>
      <c r="C23" s="1"/>
      <c r="D23" s="1"/>
      <c r="E2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D0E3-0831-47AD-A8A3-9FE0AF10CD42}">
  <dimension ref="A1:L24"/>
  <sheetViews>
    <sheetView workbookViewId="0">
      <selection activeCell="I2" sqref="I2:I21"/>
    </sheetView>
  </sheetViews>
  <sheetFormatPr defaultColWidth="11.42578125" defaultRowHeight="15" x14ac:dyDescent="0.25"/>
  <cols>
    <col min="1" max="1" width="31" bestFit="1" customWidth="1"/>
    <col min="2" max="2" width="10.42578125" bestFit="1" customWidth="1"/>
    <col min="3" max="3" width="23" bestFit="1" customWidth="1"/>
    <col min="4" max="4" width="31" bestFit="1" customWidth="1"/>
    <col min="5" max="5" width="10.42578125" bestFit="1" customWidth="1"/>
  </cols>
  <sheetData>
    <row r="1" spans="1:12" x14ac:dyDescent="0.25">
      <c r="A1" s="1" t="s">
        <v>0</v>
      </c>
      <c r="B1" s="1" t="s">
        <v>29</v>
      </c>
      <c r="C1" s="1" t="s">
        <v>26</v>
      </c>
      <c r="D1" s="1" t="s">
        <v>28</v>
      </c>
      <c r="E1" s="1" t="s">
        <v>30</v>
      </c>
      <c r="F1" s="1" t="s">
        <v>31</v>
      </c>
      <c r="G1" s="1" t="s">
        <v>32</v>
      </c>
      <c r="H1" s="1" t="s">
        <v>34</v>
      </c>
      <c r="I1" s="1" t="s">
        <v>32</v>
      </c>
      <c r="J1" s="1"/>
      <c r="K1" s="1"/>
      <c r="L1" s="1"/>
    </row>
    <row r="2" spans="1:12" x14ac:dyDescent="0.25">
      <c r="A2" s="1" t="s">
        <v>2</v>
      </c>
      <c r="B2" s="1">
        <v>0</v>
      </c>
      <c r="C2" t="str">
        <f>$C$1&amp;"_biomass"</f>
        <v>NOR_biomass</v>
      </c>
      <c r="D2" t="str">
        <f>IF(B2&gt;0,"True","False")</f>
        <v>False</v>
      </c>
      <c r="E2" s="2">
        <f>B2/F2</f>
        <v>0</v>
      </c>
      <c r="F2">
        <v>1</v>
      </c>
      <c r="G2" t="s">
        <v>33</v>
      </c>
      <c r="H2" t="s">
        <v>35</v>
      </c>
      <c r="I2" t="s">
        <v>52</v>
      </c>
      <c r="J2" s="1"/>
      <c r="K2" s="1"/>
      <c r="L2" s="1"/>
    </row>
    <row r="3" spans="1:12" x14ac:dyDescent="0.25">
      <c r="A3" s="1" t="s">
        <v>3</v>
      </c>
      <c r="B3" s="1">
        <v>0</v>
      </c>
      <c r="C3" t="str">
        <f>$C$1&amp;"_brown-coal_lignite"</f>
        <v>NOR_brown-coal_lignite</v>
      </c>
      <c r="D3" t="str">
        <f t="shared" ref="D3:D20" si="0">IF(B3&gt;0,"True","False")</f>
        <v>False</v>
      </c>
      <c r="E3" s="2">
        <f t="shared" ref="E3:E20" si="1">B3/F3</f>
        <v>0</v>
      </c>
      <c r="F3">
        <v>1</v>
      </c>
      <c r="G3" t="s">
        <v>33</v>
      </c>
      <c r="H3" t="s">
        <v>35</v>
      </c>
      <c r="I3" t="s">
        <v>52</v>
      </c>
      <c r="J3" s="1"/>
      <c r="K3" s="1"/>
      <c r="L3" s="1"/>
    </row>
    <row r="4" spans="1:12" x14ac:dyDescent="0.25">
      <c r="A4" s="1" t="s">
        <v>4</v>
      </c>
      <c r="B4" s="1">
        <v>0</v>
      </c>
      <c r="C4" t="str">
        <f>$C$1&amp;"_gas-coal-derived"</f>
        <v>NOR_gas-coal-derived</v>
      </c>
      <c r="D4" t="str">
        <f t="shared" si="0"/>
        <v>False</v>
      </c>
      <c r="E4" s="2">
        <f t="shared" si="1"/>
        <v>0</v>
      </c>
      <c r="F4">
        <v>1</v>
      </c>
      <c r="G4" t="s">
        <v>33</v>
      </c>
      <c r="H4" t="s">
        <v>35</v>
      </c>
      <c r="I4" t="s">
        <v>52</v>
      </c>
      <c r="J4" s="1"/>
      <c r="K4" s="1"/>
      <c r="L4" s="1"/>
    </row>
    <row r="5" spans="1:12" x14ac:dyDescent="0.25">
      <c r="A5" s="1" t="s">
        <v>5</v>
      </c>
      <c r="B5" s="1">
        <v>642</v>
      </c>
      <c r="C5" t="str">
        <f>$C$1&amp;"_gas"</f>
        <v>NOR_gas</v>
      </c>
      <c r="D5" t="str">
        <f t="shared" si="0"/>
        <v>True</v>
      </c>
      <c r="E5" s="2">
        <f t="shared" si="1"/>
        <v>128.4</v>
      </c>
      <c r="F5">
        <v>5</v>
      </c>
      <c r="G5" t="s">
        <v>33</v>
      </c>
      <c r="H5" t="s">
        <v>35</v>
      </c>
      <c r="I5" t="s">
        <v>52</v>
      </c>
      <c r="J5" s="1"/>
      <c r="K5" s="1"/>
      <c r="L5" s="1"/>
    </row>
    <row r="6" spans="1:12" x14ac:dyDescent="0.25">
      <c r="A6" s="1" t="s">
        <v>6</v>
      </c>
      <c r="B6" s="1">
        <v>0</v>
      </c>
      <c r="C6" t="str">
        <f>$C$1&amp;"_hard-coal"</f>
        <v>NOR_hard-coal</v>
      </c>
      <c r="D6" t="str">
        <f t="shared" si="0"/>
        <v>False</v>
      </c>
      <c r="E6" s="2">
        <f t="shared" si="1"/>
        <v>0</v>
      </c>
      <c r="F6">
        <v>1</v>
      </c>
      <c r="G6" t="s">
        <v>33</v>
      </c>
      <c r="H6" t="s">
        <v>35</v>
      </c>
      <c r="I6" t="s">
        <v>52</v>
      </c>
      <c r="J6" s="1"/>
      <c r="K6" s="1"/>
      <c r="L6" s="1"/>
    </row>
    <row r="7" spans="1:12" x14ac:dyDescent="0.25">
      <c r="A7" s="1" t="s">
        <v>7</v>
      </c>
      <c r="B7" s="1">
        <v>0</v>
      </c>
      <c r="C7" t="str">
        <f>$C$1&amp;"_oil"</f>
        <v>NOR_oil</v>
      </c>
      <c r="D7" t="str">
        <f t="shared" si="0"/>
        <v>False</v>
      </c>
      <c r="E7" s="2">
        <f t="shared" si="1"/>
        <v>0</v>
      </c>
      <c r="F7">
        <v>1</v>
      </c>
      <c r="G7" t="s">
        <v>33</v>
      </c>
      <c r="H7" t="s">
        <v>35</v>
      </c>
      <c r="I7" t="s">
        <v>52</v>
      </c>
      <c r="J7" s="1"/>
      <c r="K7" s="1"/>
      <c r="L7" s="1"/>
    </row>
    <row r="8" spans="1:12" x14ac:dyDescent="0.25">
      <c r="A8" s="1" t="s">
        <v>8</v>
      </c>
      <c r="B8" s="1">
        <v>0</v>
      </c>
      <c r="C8" t="str">
        <f>$C$1&amp;"_oil-shale"</f>
        <v>NOR_oil-shale</v>
      </c>
      <c r="D8" t="str">
        <f t="shared" si="0"/>
        <v>False</v>
      </c>
      <c r="E8" s="2">
        <f t="shared" si="1"/>
        <v>0</v>
      </c>
      <c r="F8">
        <v>1</v>
      </c>
      <c r="G8" t="s">
        <v>33</v>
      </c>
      <c r="H8" t="s">
        <v>35</v>
      </c>
      <c r="I8" t="s">
        <v>52</v>
      </c>
      <c r="J8" s="1"/>
      <c r="K8" s="1"/>
      <c r="L8" s="1"/>
    </row>
    <row r="9" spans="1:12" x14ac:dyDescent="0.25">
      <c r="A9" s="1" t="s">
        <v>9</v>
      </c>
      <c r="B9" s="1">
        <v>0</v>
      </c>
      <c r="C9" t="str">
        <f>$C$1&amp;"_peat"</f>
        <v>NOR_peat</v>
      </c>
      <c r="D9" t="str">
        <f t="shared" si="0"/>
        <v>False</v>
      </c>
      <c r="E9" s="2">
        <f t="shared" si="1"/>
        <v>0</v>
      </c>
      <c r="F9">
        <v>1</v>
      </c>
      <c r="G9" t="s">
        <v>33</v>
      </c>
      <c r="H9" t="s">
        <v>35</v>
      </c>
      <c r="I9" t="s">
        <v>52</v>
      </c>
      <c r="J9" s="1"/>
      <c r="K9" s="1"/>
      <c r="L9" s="1"/>
    </row>
    <row r="10" spans="1:12" x14ac:dyDescent="0.25">
      <c r="A10" s="1" t="s">
        <v>10</v>
      </c>
      <c r="B10" s="1">
        <v>0</v>
      </c>
      <c r="C10" t="str">
        <f>$C$1&amp;"_geothermal"</f>
        <v>NOR_geothermal</v>
      </c>
      <c r="D10" t="str">
        <f t="shared" si="0"/>
        <v>False</v>
      </c>
      <c r="E10" s="2">
        <f t="shared" si="1"/>
        <v>0</v>
      </c>
      <c r="F10">
        <v>1</v>
      </c>
      <c r="G10" t="s">
        <v>33</v>
      </c>
      <c r="H10" t="s">
        <v>35</v>
      </c>
      <c r="I10" t="s">
        <v>52</v>
      </c>
      <c r="J10" s="1"/>
      <c r="K10" s="1"/>
      <c r="L10" s="1"/>
    </row>
    <row r="11" spans="1:12" x14ac:dyDescent="0.25">
      <c r="A11" s="1" t="s">
        <v>11</v>
      </c>
      <c r="B11" s="1">
        <v>0</v>
      </c>
      <c r="C11" t="str">
        <f>$C$1&amp;"_hydro-pumped"</f>
        <v>NOR_hydro-pumped</v>
      </c>
      <c r="D11" t="str">
        <f t="shared" si="0"/>
        <v>False</v>
      </c>
      <c r="E11" s="2">
        <f t="shared" si="1"/>
        <v>0</v>
      </c>
      <c r="F11">
        <v>10</v>
      </c>
      <c r="G11" t="s">
        <v>33</v>
      </c>
      <c r="H11" t="s">
        <v>35</v>
      </c>
      <c r="I11" t="s">
        <v>52</v>
      </c>
      <c r="J11" s="1"/>
      <c r="K11" s="1"/>
      <c r="L11" s="1"/>
    </row>
    <row r="12" spans="1:12" x14ac:dyDescent="0.25">
      <c r="A12" s="1" t="s">
        <v>12</v>
      </c>
      <c r="B12" s="1">
        <v>1149</v>
      </c>
      <c r="C12" t="str">
        <f>$C$1&amp;"_hydro-ror"</f>
        <v>NOR_hydro-ror</v>
      </c>
      <c r="D12" t="str">
        <f t="shared" si="0"/>
        <v>True</v>
      </c>
      <c r="E12" s="2">
        <f t="shared" si="1"/>
        <v>7.1366459627329188</v>
      </c>
      <c r="F12">
        <v>161</v>
      </c>
      <c r="G12" t="s">
        <v>33</v>
      </c>
      <c r="H12" t="s">
        <v>35</v>
      </c>
      <c r="I12" t="s">
        <v>52</v>
      </c>
      <c r="J12" s="1"/>
      <c r="K12" s="1"/>
      <c r="L12" s="1"/>
    </row>
    <row r="13" spans="1:12" x14ac:dyDescent="0.25">
      <c r="A13" s="1" t="s">
        <v>14</v>
      </c>
      <c r="B13" s="1">
        <v>0</v>
      </c>
      <c r="C13" t="str">
        <f>$C$1&amp;"_marine"</f>
        <v>NOR_marine</v>
      </c>
      <c r="D13" t="str">
        <f t="shared" si="0"/>
        <v>False</v>
      </c>
      <c r="E13" s="2">
        <f t="shared" si="1"/>
        <v>0</v>
      </c>
      <c r="F13">
        <v>1</v>
      </c>
      <c r="G13" t="s">
        <v>33</v>
      </c>
      <c r="I13" t="s">
        <v>52</v>
      </c>
      <c r="J13" s="1"/>
      <c r="K13" s="1"/>
      <c r="L13" s="1"/>
    </row>
    <row r="14" spans="1:12" x14ac:dyDescent="0.25">
      <c r="A14" s="1" t="s">
        <v>15</v>
      </c>
      <c r="B14" s="1">
        <v>0</v>
      </c>
      <c r="C14" t="str">
        <f>$C$1&amp;"_nuclear"</f>
        <v>NOR_nuclear</v>
      </c>
      <c r="D14" t="str">
        <f t="shared" si="0"/>
        <v>False</v>
      </c>
      <c r="E14" s="2">
        <f t="shared" si="1"/>
        <v>0</v>
      </c>
      <c r="F14">
        <v>1</v>
      </c>
      <c r="G14" t="s">
        <v>33</v>
      </c>
      <c r="H14" t="s">
        <v>35</v>
      </c>
      <c r="I14" t="s">
        <v>52</v>
      </c>
      <c r="J14" s="1"/>
      <c r="K14" s="1"/>
      <c r="L14" s="1"/>
    </row>
    <row r="15" spans="1:12" x14ac:dyDescent="0.25">
      <c r="A15" s="1" t="s">
        <v>16</v>
      </c>
      <c r="B15" s="1">
        <v>0</v>
      </c>
      <c r="C15" t="str">
        <f>$C$1&amp;"_other"</f>
        <v>NOR_other</v>
      </c>
      <c r="D15" t="str">
        <f t="shared" si="0"/>
        <v>False</v>
      </c>
      <c r="E15" s="2">
        <f t="shared" si="1"/>
        <v>0</v>
      </c>
      <c r="F15">
        <v>1</v>
      </c>
      <c r="G15" t="s">
        <v>33</v>
      </c>
      <c r="I15" t="s">
        <v>52</v>
      </c>
      <c r="J15" s="1"/>
      <c r="K15" s="1"/>
      <c r="L15" s="1"/>
    </row>
    <row r="16" spans="1:12" x14ac:dyDescent="0.25">
      <c r="A16" s="1" t="s">
        <v>17</v>
      </c>
      <c r="B16" s="1">
        <v>0</v>
      </c>
      <c r="C16" t="str">
        <f>$C$1&amp;"_other-ren"</f>
        <v>NOR_other-ren</v>
      </c>
      <c r="D16" t="str">
        <f t="shared" si="0"/>
        <v>False</v>
      </c>
      <c r="E16" s="2">
        <f t="shared" si="1"/>
        <v>0</v>
      </c>
      <c r="F16">
        <v>1</v>
      </c>
      <c r="G16" t="s">
        <v>33</v>
      </c>
      <c r="I16" t="s">
        <v>52</v>
      </c>
      <c r="J16" s="1"/>
      <c r="K16" s="1"/>
      <c r="L16" s="1"/>
    </row>
    <row r="17" spans="1:12" x14ac:dyDescent="0.25">
      <c r="A17" s="1" t="s">
        <v>18</v>
      </c>
      <c r="B17" s="1">
        <v>0</v>
      </c>
      <c r="C17" t="str">
        <f>$C$1&amp;"_solar"</f>
        <v>NOR_solar</v>
      </c>
      <c r="D17" t="str">
        <f t="shared" si="0"/>
        <v>False</v>
      </c>
      <c r="E17" s="2">
        <f t="shared" si="1"/>
        <v>0</v>
      </c>
      <c r="F17">
        <v>1</v>
      </c>
      <c r="G17" t="s">
        <v>33</v>
      </c>
      <c r="I17" t="s">
        <v>52</v>
      </c>
      <c r="J17" s="1"/>
      <c r="K17" s="1"/>
      <c r="L17" s="1"/>
    </row>
    <row r="18" spans="1:12" x14ac:dyDescent="0.25">
      <c r="A18" s="1" t="s">
        <v>19</v>
      </c>
      <c r="B18" s="1">
        <v>0</v>
      </c>
      <c r="C18" t="str">
        <f>$C$1&amp;"_waste"</f>
        <v>NOR_waste</v>
      </c>
      <c r="D18" t="str">
        <f t="shared" si="0"/>
        <v>False</v>
      </c>
      <c r="E18" s="2">
        <f t="shared" si="1"/>
        <v>0</v>
      </c>
      <c r="F18">
        <v>1</v>
      </c>
      <c r="G18" t="s">
        <v>33</v>
      </c>
      <c r="I18" t="s">
        <v>52</v>
      </c>
      <c r="J18" s="1"/>
      <c r="K18" s="1"/>
      <c r="L18" s="1"/>
    </row>
    <row r="19" spans="1:12" x14ac:dyDescent="0.25">
      <c r="A19" s="1" t="s">
        <v>20</v>
      </c>
      <c r="B19" s="1">
        <v>0</v>
      </c>
      <c r="C19" t="str">
        <f>$C$1&amp;"_wind-off"</f>
        <v>NOR_wind-off</v>
      </c>
      <c r="D19" t="str">
        <f t="shared" si="0"/>
        <v>False</v>
      </c>
      <c r="E19" s="2">
        <f t="shared" si="1"/>
        <v>0</v>
      </c>
      <c r="F19">
        <v>1</v>
      </c>
      <c r="G19" t="s">
        <v>33</v>
      </c>
      <c r="I19" t="s">
        <v>52</v>
      </c>
      <c r="J19" s="1"/>
      <c r="K19" s="1"/>
      <c r="L19" s="1"/>
    </row>
    <row r="20" spans="1:12" x14ac:dyDescent="0.25">
      <c r="A20" s="1" t="s">
        <v>21</v>
      </c>
      <c r="B20" s="1">
        <v>3068</v>
      </c>
      <c r="C20" t="str">
        <f>$C$1&amp;"_wind-on"</f>
        <v>NOR_wind-on</v>
      </c>
      <c r="D20" t="str">
        <f t="shared" si="0"/>
        <v>True</v>
      </c>
      <c r="E20" s="2">
        <f t="shared" si="1"/>
        <v>3068</v>
      </c>
      <c r="F20">
        <v>1</v>
      </c>
      <c r="G20" t="s">
        <v>33</v>
      </c>
      <c r="I20" t="s">
        <v>52</v>
      </c>
      <c r="J20" s="1"/>
      <c r="K20" s="1"/>
      <c r="L20" s="1"/>
    </row>
    <row r="21" spans="1:12" x14ac:dyDescent="0.25">
      <c r="A21" s="1" t="s">
        <v>13</v>
      </c>
      <c r="B21" s="1">
        <v>28185</v>
      </c>
      <c r="C21" t="str">
        <f>$C$1&amp;"_hydro-reservoir"</f>
        <v>NOR_hydro-reservoir</v>
      </c>
      <c r="D21" t="str">
        <f>IF(B21&gt;0,"True","False")</f>
        <v>True</v>
      </c>
      <c r="E21" s="2">
        <f>B21/F21</f>
        <v>309.72527472527474</v>
      </c>
      <c r="F21">
        <v>91</v>
      </c>
      <c r="G21" t="s">
        <v>33</v>
      </c>
      <c r="H21" t="s">
        <v>35</v>
      </c>
      <c r="I21" t="s">
        <v>52</v>
      </c>
      <c r="J21" s="1"/>
      <c r="K21" s="1"/>
      <c r="L21" s="1"/>
    </row>
    <row r="22" spans="1:12" x14ac:dyDescent="0.25">
      <c r="A22" s="1"/>
      <c r="B22" s="1"/>
      <c r="C22" s="1"/>
      <c r="D22" s="1"/>
      <c r="E22" s="1"/>
    </row>
    <row r="23" spans="1:12" x14ac:dyDescent="0.25">
      <c r="A23" s="1" t="s">
        <v>22</v>
      </c>
      <c r="B23" s="1">
        <f>SUM(B2:B21)</f>
        <v>33044</v>
      </c>
      <c r="C23" s="1"/>
      <c r="D23" s="1"/>
      <c r="E23" s="1"/>
    </row>
    <row r="24" spans="1:12" x14ac:dyDescent="0.25">
      <c r="A24" s="1"/>
      <c r="B24" s="1"/>
      <c r="J24" s="1"/>
      <c r="K24" s="1"/>
      <c r="L24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9322-F8A7-4330-820A-E439827D862B}">
  <dimension ref="A1:L24"/>
  <sheetViews>
    <sheetView workbookViewId="0">
      <selection activeCell="I2" sqref="I2:I21"/>
    </sheetView>
  </sheetViews>
  <sheetFormatPr defaultColWidth="11.42578125" defaultRowHeight="15" x14ac:dyDescent="0.25"/>
  <cols>
    <col min="1" max="1" width="31" bestFit="1" customWidth="1"/>
    <col min="2" max="2" width="10.42578125" bestFit="1" customWidth="1"/>
    <col min="3" max="3" width="25.28515625" bestFit="1" customWidth="1"/>
    <col min="4" max="4" width="31" bestFit="1" customWidth="1"/>
    <col min="5" max="5" width="10.42578125" bestFit="1" customWidth="1"/>
    <col min="11" max="11" width="22.5703125" bestFit="1" customWidth="1"/>
  </cols>
  <sheetData>
    <row r="1" spans="1:12" x14ac:dyDescent="0.25">
      <c r="A1" s="1" t="s">
        <v>0</v>
      </c>
      <c r="B1" s="1" t="s">
        <v>29</v>
      </c>
      <c r="C1" s="1" t="s">
        <v>27</v>
      </c>
      <c r="D1" s="1" t="s">
        <v>28</v>
      </c>
      <c r="E1" s="1" t="s">
        <v>30</v>
      </c>
      <c r="F1" s="1" t="s">
        <v>31</v>
      </c>
      <c r="G1" s="1" t="s">
        <v>32</v>
      </c>
      <c r="H1" s="1" t="s">
        <v>34</v>
      </c>
      <c r="I1" s="1" t="s">
        <v>32</v>
      </c>
      <c r="J1" s="1"/>
      <c r="K1" s="1"/>
      <c r="L1" s="1"/>
    </row>
    <row r="2" spans="1:12" x14ac:dyDescent="0.25">
      <c r="A2" s="1" t="s">
        <v>2</v>
      </c>
      <c r="B2" s="1">
        <v>0</v>
      </c>
      <c r="C2" t="str">
        <f>$C$1&amp;"_biomass"</f>
        <v>SWE_biomass</v>
      </c>
      <c r="D2" t="str">
        <f>IF(B2&gt;0,"True","False")</f>
        <v>False</v>
      </c>
      <c r="E2" s="2">
        <f>B2/F2</f>
        <v>0</v>
      </c>
      <c r="F2">
        <v>1</v>
      </c>
      <c r="G2" t="s">
        <v>33</v>
      </c>
      <c r="H2" t="s">
        <v>35</v>
      </c>
      <c r="I2" t="s">
        <v>52</v>
      </c>
      <c r="J2" s="1"/>
      <c r="K2" s="1"/>
      <c r="L2" s="1"/>
    </row>
    <row r="3" spans="1:12" x14ac:dyDescent="0.25">
      <c r="A3" s="1" t="s">
        <v>3</v>
      </c>
      <c r="B3" s="1">
        <v>0</v>
      </c>
      <c r="C3" t="str">
        <f>$C$1&amp;"_brown-coal_lignite"</f>
        <v>SWE_brown-coal_lignite</v>
      </c>
      <c r="D3" t="str">
        <f t="shared" ref="D3:D20" si="0">IF(B3&gt;0,"True","False")</f>
        <v>False</v>
      </c>
      <c r="E3" s="2">
        <f t="shared" ref="E3:E20" si="1">B3/F3</f>
        <v>0</v>
      </c>
      <c r="F3">
        <v>1</v>
      </c>
      <c r="G3" t="s">
        <v>33</v>
      </c>
      <c r="H3" t="s">
        <v>35</v>
      </c>
      <c r="I3" t="s">
        <v>52</v>
      </c>
    </row>
    <row r="4" spans="1:12" x14ac:dyDescent="0.25">
      <c r="A4" s="1" t="s">
        <v>4</v>
      </c>
      <c r="B4" s="1">
        <v>0</v>
      </c>
      <c r="C4" t="str">
        <f>$C$1&amp;"_gas-coal-derived"</f>
        <v>SWE_gas-coal-derived</v>
      </c>
      <c r="D4" t="str">
        <f t="shared" si="0"/>
        <v>False</v>
      </c>
      <c r="E4" s="2">
        <f t="shared" si="1"/>
        <v>0</v>
      </c>
      <c r="F4">
        <v>1</v>
      </c>
      <c r="G4" t="s">
        <v>33</v>
      </c>
      <c r="H4" t="s">
        <v>35</v>
      </c>
      <c r="I4" t="s">
        <v>52</v>
      </c>
    </row>
    <row r="5" spans="1:12" x14ac:dyDescent="0.25">
      <c r="A5" s="1" t="s">
        <v>5</v>
      </c>
      <c r="B5" s="1">
        <v>0</v>
      </c>
      <c r="C5" t="str">
        <f>$C$1&amp;"_gas"</f>
        <v>SWE_gas</v>
      </c>
      <c r="D5" t="str">
        <f t="shared" si="0"/>
        <v>False</v>
      </c>
      <c r="E5" s="2">
        <f t="shared" si="1"/>
        <v>0</v>
      </c>
      <c r="F5">
        <v>5</v>
      </c>
      <c r="G5" t="s">
        <v>33</v>
      </c>
      <c r="H5" t="s">
        <v>35</v>
      </c>
      <c r="I5" t="s">
        <v>52</v>
      </c>
    </row>
    <row r="6" spans="1:12" x14ac:dyDescent="0.25">
      <c r="A6" s="1" t="s">
        <v>6</v>
      </c>
      <c r="B6" s="1">
        <v>0</v>
      </c>
      <c r="C6" t="str">
        <f>$C$1&amp;"_hard-coal"</f>
        <v>SWE_hard-coal</v>
      </c>
      <c r="D6" t="str">
        <f t="shared" si="0"/>
        <v>False</v>
      </c>
      <c r="E6" s="2">
        <f t="shared" si="1"/>
        <v>0</v>
      </c>
      <c r="F6">
        <v>1</v>
      </c>
      <c r="G6" t="s">
        <v>33</v>
      </c>
      <c r="H6" t="s">
        <v>35</v>
      </c>
      <c r="I6" t="s">
        <v>52</v>
      </c>
    </row>
    <row r="7" spans="1:12" x14ac:dyDescent="0.25">
      <c r="A7" s="1" t="s">
        <v>7</v>
      </c>
      <c r="B7" s="1">
        <v>0</v>
      </c>
      <c r="C7" t="str">
        <f>$C$1&amp;"_oil"</f>
        <v>SWE_oil</v>
      </c>
      <c r="D7" t="str">
        <f t="shared" si="0"/>
        <v>False</v>
      </c>
      <c r="E7" s="2">
        <f t="shared" si="1"/>
        <v>0</v>
      </c>
      <c r="F7">
        <v>1</v>
      </c>
      <c r="G7" t="s">
        <v>33</v>
      </c>
      <c r="H7" t="s">
        <v>35</v>
      </c>
      <c r="I7" t="s">
        <v>52</v>
      </c>
    </row>
    <row r="8" spans="1:12" x14ac:dyDescent="0.25">
      <c r="A8" s="1" t="s">
        <v>8</v>
      </c>
      <c r="B8" s="1">
        <v>0</v>
      </c>
      <c r="C8" t="str">
        <f>$C$1&amp;"_oil-shale"</f>
        <v>SWE_oil-shale</v>
      </c>
      <c r="D8" t="str">
        <f t="shared" si="0"/>
        <v>False</v>
      </c>
      <c r="E8" s="2">
        <f t="shared" si="1"/>
        <v>0</v>
      </c>
      <c r="F8">
        <v>1</v>
      </c>
      <c r="G8" t="s">
        <v>33</v>
      </c>
      <c r="H8" t="s">
        <v>35</v>
      </c>
      <c r="I8" t="s">
        <v>52</v>
      </c>
    </row>
    <row r="9" spans="1:12" x14ac:dyDescent="0.25">
      <c r="A9" s="1" t="s">
        <v>9</v>
      </c>
      <c r="B9" s="1">
        <v>0</v>
      </c>
      <c r="C9" t="str">
        <f>$C$1&amp;"_peat"</f>
        <v>SWE_peat</v>
      </c>
      <c r="D9" t="str">
        <f t="shared" si="0"/>
        <v>False</v>
      </c>
      <c r="E9" s="2">
        <f t="shared" si="1"/>
        <v>0</v>
      </c>
      <c r="F9">
        <v>1</v>
      </c>
      <c r="G9" t="s">
        <v>33</v>
      </c>
      <c r="H9" t="s">
        <v>35</v>
      </c>
      <c r="I9" t="s">
        <v>52</v>
      </c>
    </row>
    <row r="10" spans="1:12" x14ac:dyDescent="0.25">
      <c r="A10" s="1" t="s">
        <v>10</v>
      </c>
      <c r="B10" s="1">
        <v>8408</v>
      </c>
      <c r="C10" t="str">
        <f>$C$1&amp;"_geothermal"</f>
        <v>SWE_geothermal</v>
      </c>
      <c r="D10" t="str">
        <f t="shared" si="0"/>
        <v>True</v>
      </c>
      <c r="E10" s="2">
        <f t="shared" si="1"/>
        <v>8408</v>
      </c>
      <c r="F10">
        <v>1</v>
      </c>
      <c r="G10" t="s">
        <v>33</v>
      </c>
      <c r="H10" t="s">
        <v>35</v>
      </c>
      <c r="I10" t="s">
        <v>52</v>
      </c>
    </row>
    <row r="11" spans="1:12" x14ac:dyDescent="0.25">
      <c r="A11" s="1" t="s">
        <v>11</v>
      </c>
      <c r="B11" s="1">
        <v>0</v>
      </c>
      <c r="C11" t="str">
        <f>$C$1&amp;"_hydro-pumped"</f>
        <v>SWE_hydro-pumped</v>
      </c>
      <c r="D11" t="str">
        <f t="shared" si="0"/>
        <v>False</v>
      </c>
      <c r="E11" s="2">
        <f t="shared" si="1"/>
        <v>0</v>
      </c>
      <c r="F11">
        <v>1</v>
      </c>
      <c r="G11" t="s">
        <v>33</v>
      </c>
      <c r="H11" t="s">
        <v>35</v>
      </c>
      <c r="I11" t="s">
        <v>52</v>
      </c>
    </row>
    <row r="12" spans="1:12" x14ac:dyDescent="0.25">
      <c r="A12" s="1" t="s">
        <v>12</v>
      </c>
      <c r="B12" s="1">
        <v>0</v>
      </c>
      <c r="C12" t="str">
        <f>$C$1&amp;"_hydro-ror"</f>
        <v>SWE_hydro-ror</v>
      </c>
      <c r="D12" t="str">
        <f t="shared" si="0"/>
        <v>False</v>
      </c>
      <c r="E12" s="2">
        <f t="shared" si="1"/>
        <v>0</v>
      </c>
      <c r="F12">
        <v>1</v>
      </c>
      <c r="G12" t="s">
        <v>33</v>
      </c>
      <c r="H12" t="s">
        <v>35</v>
      </c>
      <c r="I12" t="s">
        <v>52</v>
      </c>
    </row>
    <row r="13" spans="1:12" x14ac:dyDescent="0.25">
      <c r="A13" s="1" t="s">
        <v>14</v>
      </c>
      <c r="B13" s="1">
        <v>0</v>
      </c>
      <c r="C13" t="str">
        <f>$C$1&amp;"_marine"</f>
        <v>SWE_marine</v>
      </c>
      <c r="D13" t="str">
        <f t="shared" si="0"/>
        <v>False</v>
      </c>
      <c r="E13" s="2">
        <f t="shared" si="1"/>
        <v>0</v>
      </c>
      <c r="F13">
        <v>1</v>
      </c>
      <c r="G13" t="s">
        <v>33</v>
      </c>
      <c r="I13" t="s">
        <v>52</v>
      </c>
    </row>
    <row r="14" spans="1:12" x14ac:dyDescent="0.25">
      <c r="A14" s="1" t="s">
        <v>15</v>
      </c>
      <c r="B14" s="1">
        <v>8656</v>
      </c>
      <c r="C14" t="str">
        <f>$C$1&amp;"_nuclear"</f>
        <v>SWE_nuclear</v>
      </c>
      <c r="D14" t="str">
        <f t="shared" si="0"/>
        <v>True</v>
      </c>
      <c r="E14" s="2">
        <f t="shared" si="1"/>
        <v>1442.6666666666667</v>
      </c>
      <c r="F14">
        <v>6</v>
      </c>
      <c r="G14" t="s">
        <v>33</v>
      </c>
      <c r="H14" t="s">
        <v>35</v>
      </c>
      <c r="I14" t="s">
        <v>52</v>
      </c>
    </row>
    <row r="15" spans="1:12" x14ac:dyDescent="0.25">
      <c r="A15" s="1" t="s">
        <v>16</v>
      </c>
      <c r="B15" s="1">
        <v>0</v>
      </c>
      <c r="C15" t="str">
        <f>$C$1&amp;"_other"</f>
        <v>SWE_other</v>
      </c>
      <c r="D15" t="str">
        <f t="shared" si="0"/>
        <v>False</v>
      </c>
      <c r="E15" s="2">
        <f t="shared" si="1"/>
        <v>0</v>
      </c>
      <c r="F15">
        <v>1</v>
      </c>
      <c r="G15" t="s">
        <v>33</v>
      </c>
      <c r="I15" t="s">
        <v>52</v>
      </c>
    </row>
    <row r="16" spans="1:12" x14ac:dyDescent="0.25">
      <c r="A16" s="1" t="s">
        <v>17</v>
      </c>
      <c r="B16" s="1">
        <v>0</v>
      </c>
      <c r="C16" t="str">
        <f>$C$1&amp;"_other-ren"</f>
        <v>SWE_other-ren</v>
      </c>
      <c r="D16" t="str">
        <f t="shared" si="0"/>
        <v>False</v>
      </c>
      <c r="E16" s="2">
        <f t="shared" si="1"/>
        <v>0</v>
      </c>
      <c r="F16">
        <v>1</v>
      </c>
      <c r="G16" t="s">
        <v>33</v>
      </c>
      <c r="I16" t="s">
        <v>52</v>
      </c>
    </row>
    <row r="17" spans="1:9" x14ac:dyDescent="0.25">
      <c r="A17" s="1" t="s">
        <v>18</v>
      </c>
      <c r="B17" s="1">
        <v>411</v>
      </c>
      <c r="C17" t="str">
        <f>$C$1&amp;"_solar"</f>
        <v>SWE_solar</v>
      </c>
      <c r="D17" t="str">
        <f t="shared" si="0"/>
        <v>True</v>
      </c>
      <c r="E17" s="2">
        <f t="shared" si="1"/>
        <v>411</v>
      </c>
      <c r="F17">
        <v>1</v>
      </c>
      <c r="G17" t="s">
        <v>33</v>
      </c>
      <c r="I17" t="s">
        <v>52</v>
      </c>
    </row>
    <row r="18" spans="1:9" x14ac:dyDescent="0.25">
      <c r="A18" s="1" t="s">
        <v>19</v>
      </c>
      <c r="B18" s="1">
        <v>0</v>
      </c>
      <c r="C18" t="str">
        <f>$C$1&amp;"_waste"</f>
        <v>SWE_waste</v>
      </c>
      <c r="D18" t="str">
        <f t="shared" si="0"/>
        <v>False</v>
      </c>
      <c r="E18" s="2">
        <f t="shared" si="1"/>
        <v>0</v>
      </c>
      <c r="F18">
        <v>1</v>
      </c>
      <c r="G18" t="s">
        <v>33</v>
      </c>
      <c r="I18" t="s">
        <v>52</v>
      </c>
    </row>
    <row r="19" spans="1:9" x14ac:dyDescent="0.25">
      <c r="A19" s="1" t="s">
        <v>20</v>
      </c>
      <c r="B19" s="1">
        <v>0</v>
      </c>
      <c r="C19" t="str">
        <f>$C$1&amp;"_wind-off"</f>
        <v>SWE_wind-off</v>
      </c>
      <c r="D19" t="str">
        <f t="shared" si="0"/>
        <v>False</v>
      </c>
      <c r="E19" s="2">
        <f t="shared" si="1"/>
        <v>0</v>
      </c>
      <c r="F19">
        <v>1</v>
      </c>
      <c r="G19" t="s">
        <v>33</v>
      </c>
      <c r="I19" t="s">
        <v>52</v>
      </c>
    </row>
    <row r="20" spans="1:9" x14ac:dyDescent="0.25">
      <c r="A20" s="1" t="s">
        <v>21</v>
      </c>
      <c r="B20" s="1">
        <v>7300</v>
      </c>
      <c r="C20" t="str">
        <f>$C$1&amp;"_wind-on"</f>
        <v>SWE_wind-on</v>
      </c>
      <c r="D20" t="str">
        <f t="shared" si="0"/>
        <v>True</v>
      </c>
      <c r="E20" s="2">
        <f t="shared" si="1"/>
        <v>7300</v>
      </c>
      <c r="F20">
        <v>1</v>
      </c>
      <c r="G20" t="s">
        <v>33</v>
      </c>
      <c r="I20" t="s">
        <v>52</v>
      </c>
    </row>
    <row r="21" spans="1:9" x14ac:dyDescent="0.25">
      <c r="A21" s="1" t="s">
        <v>13</v>
      </c>
      <c r="B21">
        <v>16431</v>
      </c>
      <c r="C21" t="str">
        <f>$C$1&amp;"_hydro-reservoir"</f>
        <v>SWE_hydro-reservoir</v>
      </c>
      <c r="D21" t="str">
        <f>IF(B21&gt;0,"True","False")</f>
        <v>True</v>
      </c>
      <c r="E21" s="2">
        <f>B21/F21</f>
        <v>469.45714285714286</v>
      </c>
      <c r="F21">
        <v>35</v>
      </c>
      <c r="G21" t="s">
        <v>33</v>
      </c>
      <c r="H21" t="s">
        <v>35</v>
      </c>
      <c r="I21" t="s">
        <v>52</v>
      </c>
    </row>
    <row r="22" spans="1:9" x14ac:dyDescent="0.25">
      <c r="A22" s="1"/>
      <c r="B22" s="1"/>
      <c r="C22" s="1"/>
      <c r="D22" s="1"/>
      <c r="E22" s="1"/>
    </row>
    <row r="23" spans="1:9" x14ac:dyDescent="0.25">
      <c r="A23" s="1" t="s">
        <v>22</v>
      </c>
      <c r="B23" s="1">
        <f>SUM(B2:B21)</f>
        <v>41206</v>
      </c>
      <c r="C23" s="1"/>
      <c r="D23" s="1"/>
      <c r="E23" s="1"/>
    </row>
    <row r="24" spans="1:9" x14ac:dyDescent="0.25">
      <c r="A2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2D84-1F53-430A-8772-9025C443B1F5}">
  <dimension ref="A1:L24"/>
  <sheetViews>
    <sheetView workbookViewId="0">
      <selection activeCell="J31" sqref="J31"/>
    </sheetView>
  </sheetViews>
  <sheetFormatPr defaultColWidth="11.42578125" defaultRowHeight="15" x14ac:dyDescent="0.25"/>
  <cols>
    <col min="1" max="1" width="31" bestFit="1" customWidth="1"/>
    <col min="2" max="2" width="10.42578125" bestFit="1" customWidth="1"/>
    <col min="3" max="3" width="25.28515625" bestFit="1" customWidth="1"/>
    <col min="4" max="4" width="31" bestFit="1" customWidth="1"/>
    <col min="5" max="5" width="10.42578125" bestFit="1" customWidth="1"/>
  </cols>
  <sheetData>
    <row r="1" spans="1:12" x14ac:dyDescent="0.25">
      <c r="A1" s="1" t="s">
        <v>0</v>
      </c>
      <c r="B1" s="1" t="s">
        <v>29</v>
      </c>
      <c r="C1" s="1" t="s">
        <v>24</v>
      </c>
      <c r="D1" s="1" t="s">
        <v>28</v>
      </c>
      <c r="E1" s="1" t="s">
        <v>30</v>
      </c>
      <c r="F1" s="1" t="s">
        <v>31</v>
      </c>
      <c r="G1" s="1" t="s">
        <v>32</v>
      </c>
      <c r="H1" s="1" t="s">
        <v>34</v>
      </c>
      <c r="I1" s="1" t="s">
        <v>32</v>
      </c>
      <c r="J1" s="1"/>
      <c r="K1" s="1"/>
      <c r="L1" s="1"/>
    </row>
    <row r="2" spans="1:12" x14ac:dyDescent="0.25">
      <c r="A2" s="1" t="s">
        <v>2</v>
      </c>
      <c r="B2" s="1">
        <v>1872</v>
      </c>
      <c r="C2" t="str">
        <f>$C$1&amp;"_biomass"</f>
        <v>DEN_biomass</v>
      </c>
      <c r="D2" t="str">
        <f>IF(B2&gt;0,"True","False")</f>
        <v>True</v>
      </c>
      <c r="E2" s="2">
        <f>B2/F2</f>
        <v>468</v>
      </c>
      <c r="F2">
        <v>4</v>
      </c>
      <c r="G2" t="s">
        <v>33</v>
      </c>
      <c r="H2" t="s">
        <v>35</v>
      </c>
      <c r="I2" t="s">
        <v>52</v>
      </c>
      <c r="J2" s="1"/>
      <c r="K2" s="1"/>
      <c r="L2" s="1"/>
    </row>
    <row r="3" spans="1:12" x14ac:dyDescent="0.25">
      <c r="A3" s="1" t="s">
        <v>3</v>
      </c>
      <c r="B3" s="1">
        <v>0</v>
      </c>
      <c r="C3" t="str">
        <f>$C$1&amp;"_brown-coal_lignite"</f>
        <v>DEN_brown-coal_lignite</v>
      </c>
      <c r="D3" t="str">
        <f t="shared" ref="D3:D20" si="0">IF(B3&gt;0,"True","False")</f>
        <v>False</v>
      </c>
      <c r="E3" s="2">
        <f t="shared" ref="E3:E20" si="1">B3/F3</f>
        <v>0</v>
      </c>
      <c r="F3">
        <v>1</v>
      </c>
      <c r="G3" t="s">
        <v>33</v>
      </c>
      <c r="H3" t="s">
        <v>35</v>
      </c>
      <c r="I3" t="s">
        <v>52</v>
      </c>
      <c r="J3" s="1"/>
      <c r="K3" s="1"/>
      <c r="L3" s="1"/>
    </row>
    <row r="4" spans="1:12" x14ac:dyDescent="0.25">
      <c r="A4" s="1" t="s">
        <v>4</v>
      </c>
      <c r="B4" s="1">
        <v>0</v>
      </c>
      <c r="C4" t="str">
        <f>$C$1&amp;"_gas-coal-derived"</f>
        <v>DEN_gas-coal-derived</v>
      </c>
      <c r="D4" t="str">
        <f t="shared" si="0"/>
        <v>False</v>
      </c>
      <c r="E4" s="2">
        <f t="shared" si="1"/>
        <v>0</v>
      </c>
      <c r="F4">
        <v>1</v>
      </c>
      <c r="G4" t="s">
        <v>33</v>
      </c>
      <c r="H4" t="s">
        <v>35</v>
      </c>
      <c r="I4" t="s">
        <v>52</v>
      </c>
      <c r="J4" s="1"/>
      <c r="K4" s="1"/>
      <c r="L4" s="1"/>
    </row>
    <row r="5" spans="1:12" x14ac:dyDescent="0.25">
      <c r="A5" s="1" t="s">
        <v>5</v>
      </c>
      <c r="B5" s="1">
        <v>1739</v>
      </c>
      <c r="C5" t="str">
        <f>$C$1&amp;"_gas"</f>
        <v>DEN_gas</v>
      </c>
      <c r="D5" t="str">
        <f t="shared" si="0"/>
        <v>True</v>
      </c>
      <c r="E5" s="2">
        <f t="shared" si="1"/>
        <v>133.76923076923077</v>
      </c>
      <c r="F5">
        <v>13</v>
      </c>
      <c r="G5" t="s">
        <v>33</v>
      </c>
      <c r="H5" t="s">
        <v>35</v>
      </c>
      <c r="I5" t="s">
        <v>52</v>
      </c>
      <c r="J5" s="1"/>
      <c r="K5" s="1"/>
      <c r="L5" s="1"/>
    </row>
    <row r="6" spans="1:12" x14ac:dyDescent="0.25">
      <c r="A6" s="1" t="s">
        <v>6</v>
      </c>
      <c r="B6" s="1">
        <v>3656</v>
      </c>
      <c r="C6" t="str">
        <f>$C$1&amp;"_hard-coal"</f>
        <v>DEN_hard-coal</v>
      </c>
      <c r="D6" t="str">
        <f t="shared" si="0"/>
        <v>True</v>
      </c>
      <c r="E6" s="2">
        <f t="shared" si="1"/>
        <v>609.33333333333337</v>
      </c>
      <c r="F6">
        <v>6</v>
      </c>
      <c r="G6" t="s">
        <v>33</v>
      </c>
      <c r="H6" t="s">
        <v>35</v>
      </c>
      <c r="I6" t="s">
        <v>52</v>
      </c>
      <c r="J6" s="1"/>
      <c r="K6" s="1"/>
      <c r="L6" s="1"/>
    </row>
    <row r="7" spans="1:12" x14ac:dyDescent="0.25">
      <c r="A7" s="1" t="s">
        <v>7</v>
      </c>
      <c r="B7" s="1">
        <v>1009</v>
      </c>
      <c r="C7" t="str">
        <f>$C$1&amp;"_oil"</f>
        <v>DEN_oil</v>
      </c>
      <c r="D7" t="str">
        <f t="shared" si="0"/>
        <v>True</v>
      </c>
      <c r="E7" s="2">
        <f t="shared" si="1"/>
        <v>336.33333333333331</v>
      </c>
      <c r="F7">
        <v>3</v>
      </c>
      <c r="G7" t="s">
        <v>33</v>
      </c>
      <c r="H7" t="s">
        <v>35</v>
      </c>
      <c r="I7" t="s">
        <v>52</v>
      </c>
      <c r="J7" s="1"/>
      <c r="K7" s="1"/>
      <c r="L7" s="1"/>
    </row>
    <row r="8" spans="1:12" x14ac:dyDescent="0.25">
      <c r="A8" s="1" t="s">
        <v>8</v>
      </c>
      <c r="B8" s="1">
        <v>0</v>
      </c>
      <c r="C8" t="str">
        <f>$C$1&amp;"_oil-shale"</f>
        <v>DEN_oil-shale</v>
      </c>
      <c r="D8" t="str">
        <f t="shared" si="0"/>
        <v>False</v>
      </c>
      <c r="E8" s="2">
        <f t="shared" si="1"/>
        <v>0</v>
      </c>
      <c r="F8">
        <v>1</v>
      </c>
      <c r="G8" t="s">
        <v>33</v>
      </c>
      <c r="H8" t="s">
        <v>35</v>
      </c>
      <c r="I8" t="s">
        <v>52</v>
      </c>
      <c r="J8" s="1"/>
      <c r="K8" s="1"/>
      <c r="L8" s="1"/>
    </row>
    <row r="9" spans="1:12" x14ac:dyDescent="0.25">
      <c r="A9" s="1" t="s">
        <v>9</v>
      </c>
      <c r="B9" s="1">
        <v>0</v>
      </c>
      <c r="C9" t="str">
        <f>$C$1&amp;"_peat"</f>
        <v>DEN_peat</v>
      </c>
      <c r="D9" t="str">
        <f t="shared" si="0"/>
        <v>False</v>
      </c>
      <c r="E9" s="2">
        <f t="shared" si="1"/>
        <v>0</v>
      </c>
      <c r="F9">
        <v>1</v>
      </c>
      <c r="G9" t="s">
        <v>33</v>
      </c>
      <c r="H9" t="s">
        <v>35</v>
      </c>
      <c r="I9" t="s">
        <v>52</v>
      </c>
      <c r="J9" s="1"/>
      <c r="K9" s="1"/>
      <c r="L9" s="1"/>
    </row>
    <row r="10" spans="1:12" x14ac:dyDescent="0.25">
      <c r="A10" s="1" t="s">
        <v>10</v>
      </c>
      <c r="B10" s="1">
        <v>0</v>
      </c>
      <c r="C10" t="str">
        <f>$C$1&amp;"_geothermal"</f>
        <v>DEN_geothermal</v>
      </c>
      <c r="D10" t="str">
        <f t="shared" si="0"/>
        <v>False</v>
      </c>
      <c r="E10" s="2">
        <f t="shared" si="1"/>
        <v>0</v>
      </c>
      <c r="F10">
        <v>1</v>
      </c>
      <c r="G10" t="s">
        <v>33</v>
      </c>
      <c r="H10" t="s">
        <v>35</v>
      </c>
      <c r="I10" t="s">
        <v>52</v>
      </c>
      <c r="J10" s="1"/>
      <c r="K10" s="1"/>
      <c r="L10" s="1"/>
    </row>
    <row r="11" spans="1:12" x14ac:dyDescent="0.25">
      <c r="A11" s="1" t="s">
        <v>11</v>
      </c>
      <c r="B11" s="1">
        <v>0</v>
      </c>
      <c r="C11" t="str">
        <f>$C$1&amp;"_hydro-pumped"</f>
        <v>DEN_hydro-pumped</v>
      </c>
      <c r="D11" t="str">
        <f t="shared" si="0"/>
        <v>False</v>
      </c>
      <c r="E11" s="2">
        <f t="shared" si="1"/>
        <v>0</v>
      </c>
      <c r="F11">
        <v>1</v>
      </c>
      <c r="G11" t="s">
        <v>33</v>
      </c>
      <c r="H11" t="s">
        <v>35</v>
      </c>
      <c r="I11" t="s">
        <v>52</v>
      </c>
      <c r="J11" s="1"/>
      <c r="K11" s="1"/>
      <c r="L11" s="1"/>
    </row>
    <row r="12" spans="1:12" x14ac:dyDescent="0.25">
      <c r="A12" s="1" t="s">
        <v>12</v>
      </c>
      <c r="B12" s="1">
        <v>7</v>
      </c>
      <c r="C12" t="str">
        <f>$C$1&amp;"_hydro-ror"</f>
        <v>DEN_hydro-ror</v>
      </c>
      <c r="D12" t="str">
        <f t="shared" si="0"/>
        <v>True</v>
      </c>
      <c r="E12" s="2">
        <f t="shared" si="1"/>
        <v>3.5</v>
      </c>
      <c r="F12">
        <v>2</v>
      </c>
      <c r="G12" t="s">
        <v>33</v>
      </c>
      <c r="H12" t="s">
        <v>35</v>
      </c>
      <c r="I12" t="s">
        <v>52</v>
      </c>
      <c r="J12" s="1"/>
      <c r="K12" s="1"/>
      <c r="L12" s="1"/>
    </row>
    <row r="13" spans="1:12" x14ac:dyDescent="0.25">
      <c r="A13" s="1" t="s">
        <v>14</v>
      </c>
      <c r="B13" s="1">
        <v>0</v>
      </c>
      <c r="C13" t="str">
        <f>$C$1&amp;"_marine"</f>
        <v>DEN_marine</v>
      </c>
      <c r="D13" t="str">
        <f t="shared" si="0"/>
        <v>False</v>
      </c>
      <c r="E13" s="2">
        <f t="shared" si="1"/>
        <v>0</v>
      </c>
      <c r="F13">
        <v>1</v>
      </c>
      <c r="G13" t="s">
        <v>33</v>
      </c>
      <c r="I13" t="s">
        <v>52</v>
      </c>
      <c r="J13" s="1"/>
      <c r="K13" s="1"/>
      <c r="L13" s="1"/>
    </row>
    <row r="14" spans="1:12" x14ac:dyDescent="0.25">
      <c r="A14" s="1" t="s">
        <v>15</v>
      </c>
      <c r="B14" s="1">
        <v>0</v>
      </c>
      <c r="C14" t="str">
        <f>$C$1&amp;"_nuclear"</f>
        <v>DEN_nuclear</v>
      </c>
      <c r="D14" t="str">
        <f t="shared" si="0"/>
        <v>False</v>
      </c>
      <c r="E14" s="2">
        <f t="shared" si="1"/>
        <v>0</v>
      </c>
      <c r="F14">
        <v>1</v>
      </c>
      <c r="G14" t="s">
        <v>33</v>
      </c>
      <c r="H14" t="s">
        <v>35</v>
      </c>
      <c r="I14" t="s">
        <v>52</v>
      </c>
      <c r="J14" s="1"/>
      <c r="K14" s="1"/>
      <c r="L14" s="1"/>
    </row>
    <row r="15" spans="1:12" x14ac:dyDescent="0.25">
      <c r="A15" s="1" t="s">
        <v>16</v>
      </c>
      <c r="B15" s="1">
        <v>0</v>
      </c>
      <c r="C15" t="str">
        <f>$C$1&amp;"_other"</f>
        <v>DEN_other</v>
      </c>
      <c r="D15" t="str">
        <f t="shared" si="0"/>
        <v>False</v>
      </c>
      <c r="E15" s="2">
        <f t="shared" si="1"/>
        <v>0</v>
      </c>
      <c r="F15">
        <v>1</v>
      </c>
      <c r="G15" t="s">
        <v>33</v>
      </c>
      <c r="I15" t="s">
        <v>52</v>
      </c>
      <c r="J15" s="1"/>
      <c r="K15" s="1"/>
      <c r="L15" s="1"/>
    </row>
    <row r="16" spans="1:12" x14ac:dyDescent="0.25">
      <c r="A16" s="1" t="s">
        <v>17</v>
      </c>
      <c r="B16" s="1">
        <v>137</v>
      </c>
      <c r="C16" t="str">
        <f>$C$1&amp;"_other-ren"</f>
        <v>DEN_other-ren</v>
      </c>
      <c r="D16" t="str">
        <f t="shared" si="0"/>
        <v>True</v>
      </c>
      <c r="E16" s="2">
        <f t="shared" si="1"/>
        <v>137</v>
      </c>
      <c r="F16">
        <v>1</v>
      </c>
      <c r="G16" t="s">
        <v>33</v>
      </c>
      <c r="I16" t="s">
        <v>52</v>
      </c>
      <c r="J16" s="1"/>
      <c r="K16" s="1"/>
      <c r="L16" s="1"/>
    </row>
    <row r="17" spans="1:12" x14ac:dyDescent="0.25">
      <c r="A17" s="1" t="s">
        <v>18</v>
      </c>
      <c r="B17" s="1">
        <v>1013</v>
      </c>
      <c r="C17" t="str">
        <f>$C$1&amp;"_solar"</f>
        <v>DEN_solar</v>
      </c>
      <c r="D17" t="str">
        <f t="shared" si="0"/>
        <v>True</v>
      </c>
      <c r="E17" s="2">
        <f t="shared" si="1"/>
        <v>1013</v>
      </c>
      <c r="F17">
        <v>1</v>
      </c>
      <c r="G17" t="s">
        <v>33</v>
      </c>
      <c r="I17" t="s">
        <v>52</v>
      </c>
      <c r="J17" s="1"/>
      <c r="K17" s="1"/>
      <c r="L17" s="1"/>
    </row>
    <row r="18" spans="1:12" x14ac:dyDescent="0.25">
      <c r="A18" s="1" t="s">
        <v>19</v>
      </c>
      <c r="B18" s="1">
        <v>384</v>
      </c>
      <c r="C18" t="str">
        <f>$C$1&amp;"_waste"</f>
        <v>DEN_waste</v>
      </c>
      <c r="D18" t="str">
        <f t="shared" si="0"/>
        <v>True</v>
      </c>
      <c r="E18" s="2">
        <f t="shared" si="1"/>
        <v>54.857142857142854</v>
      </c>
      <c r="F18">
        <v>7</v>
      </c>
      <c r="G18" t="s">
        <v>33</v>
      </c>
      <c r="I18" t="s">
        <v>52</v>
      </c>
      <c r="J18" s="1"/>
      <c r="K18" s="1"/>
      <c r="L18" s="1"/>
    </row>
    <row r="19" spans="1:12" x14ac:dyDescent="0.25">
      <c r="A19" s="1" t="s">
        <v>20</v>
      </c>
      <c r="B19" s="1">
        <v>1700</v>
      </c>
      <c r="C19" t="str">
        <f>$C$1&amp;"_wind-off"</f>
        <v>DEN_wind-off</v>
      </c>
      <c r="D19" t="str">
        <f t="shared" si="0"/>
        <v>True</v>
      </c>
      <c r="E19" s="2">
        <f t="shared" si="1"/>
        <v>1700</v>
      </c>
      <c r="F19">
        <v>1</v>
      </c>
      <c r="G19" t="s">
        <v>33</v>
      </c>
      <c r="I19" t="s">
        <v>52</v>
      </c>
      <c r="J19" s="1"/>
      <c r="K19" s="1"/>
      <c r="L19" s="1"/>
    </row>
    <row r="20" spans="1:12" x14ac:dyDescent="0.25">
      <c r="A20" s="1" t="s">
        <v>21</v>
      </c>
      <c r="B20" s="1">
        <v>4402</v>
      </c>
      <c r="C20" t="str">
        <f>$C$1&amp;"_wind-on"</f>
        <v>DEN_wind-on</v>
      </c>
      <c r="D20" t="str">
        <f t="shared" si="0"/>
        <v>True</v>
      </c>
      <c r="E20" s="2">
        <f t="shared" si="1"/>
        <v>4402</v>
      </c>
      <c r="F20">
        <v>1</v>
      </c>
      <c r="G20" t="s">
        <v>33</v>
      </c>
      <c r="I20" t="s">
        <v>52</v>
      </c>
      <c r="J20" s="1"/>
      <c r="K20" s="1"/>
      <c r="L20" s="1"/>
    </row>
    <row r="21" spans="1:12" x14ac:dyDescent="0.25">
      <c r="A21" s="1" t="s">
        <v>13</v>
      </c>
      <c r="B21">
        <v>0</v>
      </c>
      <c r="C21" t="str">
        <f>$C$1&amp;"_hydro-reservoir"</f>
        <v>DEN_hydro-reservoir</v>
      </c>
      <c r="D21" t="str">
        <f>IF(B21&gt;0,"True","False")</f>
        <v>False</v>
      </c>
      <c r="E21" s="2">
        <f>B21/F21</f>
        <v>0</v>
      </c>
      <c r="F21">
        <v>1</v>
      </c>
      <c r="G21" t="s">
        <v>33</v>
      </c>
      <c r="H21" t="s">
        <v>35</v>
      </c>
      <c r="I21" t="s">
        <v>52</v>
      </c>
      <c r="J21" s="1"/>
      <c r="K21" s="1"/>
      <c r="L21" s="1"/>
    </row>
    <row r="22" spans="1:12" x14ac:dyDescent="0.25">
      <c r="A22" s="1"/>
      <c r="B22" s="1"/>
      <c r="C22" s="1"/>
      <c r="D22" s="1"/>
      <c r="E22" s="1"/>
    </row>
    <row r="23" spans="1:12" x14ac:dyDescent="0.25">
      <c r="A23" s="1" t="s">
        <v>22</v>
      </c>
      <c r="B23" s="1">
        <f>SUM(B2:B21)</f>
        <v>15919</v>
      </c>
      <c r="C23" s="1"/>
      <c r="D23" s="1"/>
      <c r="E23" s="1"/>
    </row>
    <row r="24" spans="1:12" x14ac:dyDescent="0.25">
      <c r="A24" s="1"/>
      <c r="B24" s="1"/>
      <c r="J24" s="1"/>
      <c r="K24" s="1"/>
      <c r="L24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5FE9-ED8F-4A26-B18C-A5B04A819B81}">
  <dimension ref="A1:I23"/>
  <sheetViews>
    <sheetView workbookViewId="0">
      <selection activeCell="I2" sqref="I2:I21"/>
    </sheetView>
  </sheetViews>
  <sheetFormatPr defaultColWidth="11.42578125" defaultRowHeight="15" x14ac:dyDescent="0.25"/>
  <cols>
    <col min="1" max="1" width="31" bestFit="1" customWidth="1"/>
    <col min="2" max="2" width="29.140625" bestFit="1" customWidth="1"/>
    <col min="3" max="3" width="22.85546875" customWidth="1"/>
    <col min="4" max="4" width="31" bestFit="1" customWidth="1"/>
    <col min="5" max="5" width="10.42578125" bestFit="1" customWidth="1"/>
  </cols>
  <sheetData>
    <row r="1" spans="1:9" x14ac:dyDescent="0.25">
      <c r="A1" t="s">
        <v>0</v>
      </c>
      <c r="B1" s="1" t="s">
        <v>29</v>
      </c>
      <c r="C1" s="1" t="s">
        <v>23</v>
      </c>
      <c r="D1" s="1" t="s">
        <v>28</v>
      </c>
      <c r="E1" s="1" t="s">
        <v>30</v>
      </c>
      <c r="F1" s="1" t="s">
        <v>31</v>
      </c>
      <c r="G1" s="1" t="s">
        <v>32</v>
      </c>
      <c r="H1" s="1" t="s">
        <v>34</v>
      </c>
      <c r="I1" s="1" t="s">
        <v>32</v>
      </c>
    </row>
    <row r="2" spans="1:9" x14ac:dyDescent="0.25">
      <c r="A2" t="s">
        <v>2</v>
      </c>
      <c r="B2">
        <f>Lithuania!B2+Latvia!B2+Estonia!B2</f>
        <v>400</v>
      </c>
      <c r="C2" t="str">
        <f>$C$1&amp;"_biomass"</f>
        <v>BAL_biomass</v>
      </c>
      <c r="D2" t="str">
        <f>IF(B2&gt;0,"True","False")</f>
        <v>True</v>
      </c>
      <c r="E2" s="2">
        <f>B2/F2</f>
        <v>66.666666666666671</v>
      </c>
      <c r="F2">
        <v>6</v>
      </c>
      <c r="G2" t="s">
        <v>33</v>
      </c>
      <c r="H2" t="s">
        <v>35</v>
      </c>
      <c r="I2" t="s">
        <v>52</v>
      </c>
    </row>
    <row r="3" spans="1:9" x14ac:dyDescent="0.25">
      <c r="A3" t="s">
        <v>3</v>
      </c>
      <c r="B3">
        <f>Lithuania!B3+Latvia!B3+Estonia!B3</f>
        <v>0</v>
      </c>
      <c r="C3" t="str">
        <f>$C$1&amp;"_brown-coal_lignite"</f>
        <v>BAL_brown-coal_lignite</v>
      </c>
      <c r="D3" t="str">
        <f t="shared" ref="D3:D20" si="0">IF(B3&gt;0,"True","False")</f>
        <v>False</v>
      </c>
      <c r="E3" s="2">
        <f t="shared" ref="E3:E20" si="1">B3/F3</f>
        <v>0</v>
      </c>
      <c r="F3">
        <v>1</v>
      </c>
      <c r="G3" t="s">
        <v>33</v>
      </c>
      <c r="H3" t="s">
        <v>35</v>
      </c>
      <c r="I3" t="s">
        <v>52</v>
      </c>
    </row>
    <row r="4" spans="1:9" x14ac:dyDescent="0.25">
      <c r="A4" t="s">
        <v>4</v>
      </c>
      <c r="B4">
        <f>Lithuania!B4+Latvia!B4+Estonia!B4</f>
        <v>79</v>
      </c>
      <c r="C4" t="str">
        <f>$C$1&amp;"_gas-coal-derived"</f>
        <v>BAL_gas-coal-derived</v>
      </c>
      <c r="D4" t="str">
        <f t="shared" si="0"/>
        <v>True</v>
      </c>
      <c r="E4" s="2">
        <f t="shared" si="1"/>
        <v>79</v>
      </c>
      <c r="F4">
        <v>1</v>
      </c>
      <c r="G4" t="s">
        <v>33</v>
      </c>
      <c r="H4" t="s">
        <v>35</v>
      </c>
      <c r="I4" t="s">
        <v>52</v>
      </c>
    </row>
    <row r="5" spans="1:9" x14ac:dyDescent="0.25">
      <c r="A5" t="s">
        <v>5</v>
      </c>
      <c r="B5">
        <f>Lithuania!B5+Latvia!B5+Estonia!B5</f>
        <v>2929</v>
      </c>
      <c r="C5" t="str">
        <f>$C$1&amp;"_gas"</f>
        <v>BAL_gas</v>
      </c>
      <c r="D5" t="str">
        <f t="shared" si="0"/>
        <v>True</v>
      </c>
      <c r="E5" s="2">
        <f t="shared" si="1"/>
        <v>292.89999999999998</v>
      </c>
      <c r="F5">
        <v>10</v>
      </c>
      <c r="G5" t="s">
        <v>33</v>
      </c>
      <c r="H5" t="s">
        <v>35</v>
      </c>
      <c r="I5" t="s">
        <v>52</v>
      </c>
    </row>
    <row r="6" spans="1:9" x14ac:dyDescent="0.25">
      <c r="A6" t="s">
        <v>6</v>
      </c>
      <c r="B6">
        <f>Lithuania!B6+Latvia!B6+Estonia!B6</f>
        <v>0</v>
      </c>
      <c r="C6" t="str">
        <f>$C$1&amp;"_hard-coal"</f>
        <v>BAL_hard-coal</v>
      </c>
      <c r="D6" t="str">
        <f t="shared" si="0"/>
        <v>False</v>
      </c>
      <c r="E6" s="2">
        <f t="shared" si="1"/>
        <v>0</v>
      </c>
      <c r="F6">
        <v>1</v>
      </c>
      <c r="G6" t="s">
        <v>33</v>
      </c>
      <c r="H6" t="s">
        <v>35</v>
      </c>
      <c r="I6" t="s">
        <v>52</v>
      </c>
    </row>
    <row r="7" spans="1:9" x14ac:dyDescent="0.25">
      <c r="A7" t="s">
        <v>7</v>
      </c>
      <c r="B7">
        <f>Lithuania!B7+Latvia!B7+Estonia!B7</f>
        <v>8</v>
      </c>
      <c r="C7" t="str">
        <f>$C$1&amp;"_oil"</f>
        <v>BAL_oil</v>
      </c>
      <c r="D7" t="str">
        <f t="shared" si="0"/>
        <v>True</v>
      </c>
      <c r="E7" s="2">
        <f t="shared" si="1"/>
        <v>8</v>
      </c>
      <c r="F7">
        <v>1</v>
      </c>
      <c r="G7" t="s">
        <v>33</v>
      </c>
      <c r="H7" t="s">
        <v>35</v>
      </c>
      <c r="I7" t="s">
        <v>52</v>
      </c>
    </row>
    <row r="8" spans="1:9" x14ac:dyDescent="0.25">
      <c r="A8" t="s">
        <v>8</v>
      </c>
      <c r="B8">
        <f>Lithuania!B8+Latvia!B8+Estonia!B8</f>
        <v>1970</v>
      </c>
      <c r="C8" t="str">
        <f>$C$1&amp;"_oil-shale"</f>
        <v>BAL_oil-shale</v>
      </c>
      <c r="D8" t="str">
        <f t="shared" si="0"/>
        <v>True</v>
      </c>
      <c r="E8" s="2">
        <f t="shared" si="1"/>
        <v>656.66666666666663</v>
      </c>
      <c r="F8">
        <v>3</v>
      </c>
      <c r="G8" t="s">
        <v>33</v>
      </c>
      <c r="H8" t="s">
        <v>35</v>
      </c>
      <c r="I8" t="s">
        <v>52</v>
      </c>
    </row>
    <row r="9" spans="1:9" x14ac:dyDescent="0.25">
      <c r="A9" t="s">
        <v>9</v>
      </c>
      <c r="B9">
        <f>Lithuania!B9+Latvia!B9+Estonia!B9</f>
        <v>0</v>
      </c>
      <c r="C9" t="str">
        <f>$C$1&amp;"_peat"</f>
        <v>BAL_peat</v>
      </c>
      <c r="D9" t="str">
        <f t="shared" si="0"/>
        <v>False</v>
      </c>
      <c r="E9" s="2">
        <f t="shared" si="1"/>
        <v>0</v>
      </c>
      <c r="F9">
        <v>1</v>
      </c>
      <c r="G9" t="s">
        <v>33</v>
      </c>
      <c r="H9" t="s">
        <v>35</v>
      </c>
      <c r="I9" t="s">
        <v>52</v>
      </c>
    </row>
    <row r="10" spans="1:9" x14ac:dyDescent="0.25">
      <c r="A10" t="s">
        <v>10</v>
      </c>
      <c r="B10">
        <f>Lithuania!B10+Latvia!B10+Estonia!B10</f>
        <v>0</v>
      </c>
      <c r="C10" t="str">
        <f>$C$1&amp;"_geothermal"</f>
        <v>BAL_geothermal</v>
      </c>
      <c r="D10" t="str">
        <f t="shared" si="0"/>
        <v>False</v>
      </c>
      <c r="E10" s="2">
        <f t="shared" si="1"/>
        <v>0</v>
      </c>
      <c r="F10">
        <v>1</v>
      </c>
      <c r="G10" t="s">
        <v>33</v>
      </c>
      <c r="H10" t="s">
        <v>35</v>
      </c>
      <c r="I10" t="s">
        <v>52</v>
      </c>
    </row>
    <row r="11" spans="1:9" x14ac:dyDescent="0.25">
      <c r="A11" t="s">
        <v>11</v>
      </c>
      <c r="B11">
        <f>Lithuania!B11+Latvia!B11+Estonia!B11</f>
        <v>900</v>
      </c>
      <c r="C11" t="str">
        <f>$C$1&amp;"_hydro-pumped"</f>
        <v>BAL_hydro-pumped</v>
      </c>
      <c r="D11" t="str">
        <f t="shared" si="0"/>
        <v>True</v>
      </c>
      <c r="E11" s="2">
        <f t="shared" si="1"/>
        <v>225</v>
      </c>
      <c r="F11">
        <v>4</v>
      </c>
      <c r="G11" t="s">
        <v>33</v>
      </c>
      <c r="H11" t="s">
        <v>35</v>
      </c>
      <c r="I11" t="s">
        <v>52</v>
      </c>
    </row>
    <row r="12" spans="1:9" x14ac:dyDescent="0.25">
      <c r="A12" t="s">
        <v>12</v>
      </c>
      <c r="B12">
        <f>Lithuania!B12+Latvia!B12+Estonia!B12</f>
        <v>1714</v>
      </c>
      <c r="C12" t="str">
        <f>$C$1&amp;"_hydro-ror"</f>
        <v>BAL_hydro-ror</v>
      </c>
      <c r="D12" t="str">
        <f t="shared" si="0"/>
        <v>True</v>
      </c>
      <c r="E12" s="2">
        <f t="shared" si="1"/>
        <v>342.8</v>
      </c>
      <c r="F12">
        <v>5</v>
      </c>
      <c r="G12" t="s">
        <v>33</v>
      </c>
      <c r="H12" t="s">
        <v>35</v>
      </c>
      <c r="I12" t="s">
        <v>52</v>
      </c>
    </row>
    <row r="13" spans="1:9" x14ac:dyDescent="0.25">
      <c r="A13" t="s">
        <v>14</v>
      </c>
      <c r="B13">
        <f>Lithuania!B14+Latvia!B14+Estonia!B14</f>
        <v>0</v>
      </c>
      <c r="C13" t="str">
        <f>$C$1&amp;"_marine"</f>
        <v>BAL_marine</v>
      </c>
      <c r="D13" t="str">
        <f t="shared" si="0"/>
        <v>False</v>
      </c>
      <c r="E13" s="2">
        <f t="shared" si="1"/>
        <v>0</v>
      </c>
      <c r="F13">
        <v>1</v>
      </c>
      <c r="G13" t="s">
        <v>33</v>
      </c>
      <c r="I13" t="s">
        <v>52</v>
      </c>
    </row>
    <row r="14" spans="1:9" x14ac:dyDescent="0.25">
      <c r="A14" t="s">
        <v>15</v>
      </c>
      <c r="B14">
        <f>Lithuania!B15+Latvia!B15+Estonia!B15</f>
        <v>0</v>
      </c>
      <c r="C14" t="str">
        <f>$C$1&amp;"_nuclear"</f>
        <v>BAL_nuclear</v>
      </c>
      <c r="D14" t="str">
        <f t="shared" si="0"/>
        <v>False</v>
      </c>
      <c r="E14" s="2">
        <f t="shared" si="1"/>
        <v>0</v>
      </c>
      <c r="F14">
        <v>1</v>
      </c>
      <c r="G14" t="s">
        <v>33</v>
      </c>
      <c r="H14" t="s">
        <v>35</v>
      </c>
      <c r="I14" t="s">
        <v>52</v>
      </c>
    </row>
    <row r="15" spans="1:9" x14ac:dyDescent="0.25">
      <c r="A15" t="s">
        <v>16</v>
      </c>
      <c r="B15">
        <f>Lithuania!B16+Latvia!B16+Estonia!B16</f>
        <v>144</v>
      </c>
      <c r="C15" t="str">
        <f>$C$1&amp;"_other"</f>
        <v>BAL_other</v>
      </c>
      <c r="D15" t="str">
        <f t="shared" si="0"/>
        <v>True</v>
      </c>
      <c r="E15" s="2">
        <f t="shared" si="1"/>
        <v>72</v>
      </c>
      <c r="F15">
        <v>2</v>
      </c>
      <c r="G15" t="s">
        <v>33</v>
      </c>
      <c r="I15" t="s">
        <v>52</v>
      </c>
    </row>
    <row r="16" spans="1:9" x14ac:dyDescent="0.25">
      <c r="A16" t="s">
        <v>17</v>
      </c>
      <c r="B16">
        <f>Lithuania!B17+Latvia!B17+Estonia!B17</f>
        <v>12</v>
      </c>
      <c r="C16" t="str">
        <f>$C$1&amp;"_other-ren"</f>
        <v>BAL_other-ren</v>
      </c>
      <c r="D16" t="str">
        <f t="shared" si="0"/>
        <v>True</v>
      </c>
      <c r="E16" s="2">
        <f t="shared" si="1"/>
        <v>12</v>
      </c>
      <c r="F16">
        <v>1</v>
      </c>
      <c r="G16" t="s">
        <v>33</v>
      </c>
      <c r="I16" t="s">
        <v>52</v>
      </c>
    </row>
    <row r="17" spans="1:9" x14ac:dyDescent="0.25">
      <c r="A17" t="s">
        <v>18</v>
      </c>
      <c r="B17">
        <f>Lithuania!B18+Latvia!B18+Estonia!B18</f>
        <v>235</v>
      </c>
      <c r="C17" t="str">
        <f>$C$1&amp;"_solar"</f>
        <v>BAL_solar</v>
      </c>
      <c r="D17" t="str">
        <f t="shared" si="0"/>
        <v>True</v>
      </c>
      <c r="E17" s="2">
        <f t="shared" si="1"/>
        <v>235</v>
      </c>
      <c r="F17">
        <v>1</v>
      </c>
      <c r="G17" t="s">
        <v>33</v>
      </c>
      <c r="I17" t="s">
        <v>52</v>
      </c>
    </row>
    <row r="18" spans="1:9" x14ac:dyDescent="0.25">
      <c r="A18" t="s">
        <v>19</v>
      </c>
      <c r="B18">
        <f>Lithuania!B19+Latvia!B19+Estonia!B19</f>
        <v>41</v>
      </c>
      <c r="C18" t="str">
        <f>$C$1&amp;"_waste"</f>
        <v>BAL_waste</v>
      </c>
      <c r="D18" t="str">
        <f t="shared" si="0"/>
        <v>True</v>
      </c>
      <c r="E18" s="2">
        <f t="shared" si="1"/>
        <v>13.666666666666666</v>
      </c>
      <c r="F18">
        <v>3</v>
      </c>
      <c r="G18" t="s">
        <v>33</v>
      </c>
      <c r="I18" t="s">
        <v>52</v>
      </c>
    </row>
    <row r="19" spans="1:9" x14ac:dyDescent="0.25">
      <c r="A19" t="s">
        <v>20</v>
      </c>
      <c r="B19">
        <f>Lithuania!B20+Latvia!B20+Estonia!B20</f>
        <v>0</v>
      </c>
      <c r="C19" t="str">
        <f>$C$1&amp;"_wind-off"</f>
        <v>BAL_wind-off</v>
      </c>
      <c r="D19" t="str">
        <f t="shared" si="0"/>
        <v>False</v>
      </c>
      <c r="E19" s="2">
        <f t="shared" si="1"/>
        <v>0</v>
      </c>
      <c r="F19">
        <v>1</v>
      </c>
      <c r="G19" t="s">
        <v>33</v>
      </c>
      <c r="I19" t="s">
        <v>52</v>
      </c>
    </row>
    <row r="20" spans="1:9" x14ac:dyDescent="0.25">
      <c r="A20" t="s">
        <v>21</v>
      </c>
      <c r="B20">
        <f>Lithuania!B21+Latvia!B21+Estonia!B21</f>
        <v>937</v>
      </c>
      <c r="C20" t="str">
        <f>$C$1&amp;"_wind-on"</f>
        <v>BAL_wind-on</v>
      </c>
      <c r="D20" t="str">
        <f t="shared" si="0"/>
        <v>True</v>
      </c>
      <c r="E20" s="2">
        <f t="shared" si="1"/>
        <v>937</v>
      </c>
      <c r="F20">
        <v>1</v>
      </c>
      <c r="G20" t="s">
        <v>33</v>
      </c>
      <c r="I20" t="s">
        <v>52</v>
      </c>
    </row>
    <row r="21" spans="1:9" x14ac:dyDescent="0.25">
      <c r="A21" s="1" t="s">
        <v>13</v>
      </c>
      <c r="B21">
        <v>0</v>
      </c>
      <c r="C21" t="str">
        <f>$C$1&amp;"_hydro-reservoir"</f>
        <v>BAL_hydro-reservoir</v>
      </c>
      <c r="D21" t="str">
        <f>IF(B21&gt;0,"True","False")</f>
        <v>False</v>
      </c>
      <c r="E21" s="2">
        <f>B21/F21</f>
        <v>0</v>
      </c>
      <c r="F21">
        <v>1</v>
      </c>
      <c r="G21" t="s">
        <v>33</v>
      </c>
      <c r="H21" t="s">
        <v>35</v>
      </c>
      <c r="I21" t="s">
        <v>52</v>
      </c>
    </row>
    <row r="22" spans="1:9" x14ac:dyDescent="0.25">
      <c r="A22" s="1"/>
      <c r="B22" s="1"/>
      <c r="C22" s="1"/>
      <c r="D22" s="1"/>
      <c r="E22" s="1"/>
    </row>
    <row r="23" spans="1:9" x14ac:dyDescent="0.25">
      <c r="A23" s="1" t="s">
        <v>22</v>
      </c>
      <c r="B23" s="1">
        <f>SUM(B2:B21)</f>
        <v>9369</v>
      </c>
      <c r="C23" s="1"/>
      <c r="D23" s="1"/>
      <c r="E2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268B-6DFC-4F17-9AE0-C851937FFD8B}">
  <dimension ref="A1:B22"/>
  <sheetViews>
    <sheetView workbookViewId="0">
      <selection activeCell="D29" sqref="D29"/>
    </sheetView>
  </sheetViews>
  <sheetFormatPr defaultColWidth="11.42578125" defaultRowHeight="15" x14ac:dyDescent="0.25"/>
  <cols>
    <col min="1" max="1" width="31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98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1770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900</v>
      </c>
    </row>
    <row r="12" spans="1:2" x14ac:dyDescent="0.25">
      <c r="A12" s="1" t="s">
        <v>12</v>
      </c>
      <c r="B12" s="1">
        <v>128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144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103</v>
      </c>
    </row>
    <row r="19" spans="1:2" x14ac:dyDescent="0.25">
      <c r="A19" s="1" t="s">
        <v>19</v>
      </c>
      <c r="B19" s="1">
        <v>22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534</v>
      </c>
    </row>
    <row r="22" spans="1:2" x14ac:dyDescent="0.25">
      <c r="A22" s="1" t="s">
        <v>22</v>
      </c>
      <c r="B22" s="1">
        <v>3699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9B22-5D15-4ED2-94D2-20573C41FE08}">
  <dimension ref="A1:B22"/>
  <sheetViews>
    <sheetView workbookViewId="0">
      <selection activeCell="B23" sqref="B23"/>
    </sheetView>
  </sheetViews>
  <sheetFormatPr defaultColWidth="11.42578125" defaultRowHeight="15" x14ac:dyDescent="0.25"/>
  <cols>
    <col min="1" max="1" width="31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145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1026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1578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9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74</v>
      </c>
    </row>
    <row r="22" spans="1:2" x14ac:dyDescent="0.25">
      <c r="A22" s="1" t="s">
        <v>22</v>
      </c>
      <c r="B22" s="1">
        <v>2832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FBF3-239A-4F4C-98A0-5721C5D290B6}">
  <dimension ref="A1:B22"/>
  <sheetViews>
    <sheetView workbookViewId="0">
      <selection activeCell="D35" sqref="D35"/>
    </sheetView>
  </sheetViews>
  <sheetFormatPr defaultColWidth="11.42578125" defaultRowHeight="15" x14ac:dyDescent="0.25"/>
  <cols>
    <col min="1" max="1" width="31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157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79</v>
      </c>
    </row>
    <row r="5" spans="1:2" x14ac:dyDescent="0.25">
      <c r="A5" s="1" t="s">
        <v>5</v>
      </c>
      <c r="B5">
        <v>133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8</v>
      </c>
    </row>
    <row r="8" spans="1:2" x14ac:dyDescent="0.25">
      <c r="A8" s="1" t="s">
        <v>8</v>
      </c>
      <c r="B8">
        <v>1970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8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12</v>
      </c>
    </row>
    <row r="18" spans="1:2" x14ac:dyDescent="0.25">
      <c r="A18" s="1" t="s">
        <v>18</v>
      </c>
      <c r="B18">
        <v>123</v>
      </c>
    </row>
    <row r="19" spans="1:2" x14ac:dyDescent="0.25">
      <c r="A19" s="1" t="s">
        <v>19</v>
      </c>
      <c r="B19">
        <v>19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329</v>
      </c>
    </row>
    <row r="22" spans="1:2" x14ac:dyDescent="0.25">
      <c r="A22" s="1" t="s">
        <v>22</v>
      </c>
      <c r="B22">
        <v>2838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FF12-FD18-40EC-9AFC-58211611AEEE}">
  <dimension ref="A1:V26"/>
  <sheetViews>
    <sheetView tabSelected="1" workbookViewId="0">
      <selection activeCell="G24" sqref="G24"/>
    </sheetView>
  </sheetViews>
  <sheetFormatPr defaultRowHeight="15" x14ac:dyDescent="0.25"/>
  <cols>
    <col min="2" max="2" width="31.5703125" bestFit="1" customWidth="1"/>
    <col min="3" max="3" width="27.42578125" bestFit="1" customWidth="1"/>
    <col min="4" max="4" width="10.7109375" bestFit="1" customWidth="1"/>
    <col min="5" max="5" width="9.42578125" bestFit="1" customWidth="1"/>
    <col min="6" max="6" width="22.5703125" bestFit="1" customWidth="1"/>
    <col min="7" max="7" width="17.42578125" bestFit="1" customWidth="1"/>
    <col min="8" max="8" width="22.5703125" customWidth="1"/>
    <col min="9" max="9" width="8.7109375" bestFit="1" customWidth="1"/>
    <col min="10" max="10" width="24.5703125" bestFit="1" customWidth="1"/>
    <col min="11" max="12" width="24.5703125" customWidth="1"/>
    <col min="13" max="13" width="16.85546875" bestFit="1" customWidth="1"/>
    <col min="14" max="14" width="16.85546875" customWidth="1"/>
    <col min="15" max="15" width="25.28515625" bestFit="1" customWidth="1"/>
    <col min="16" max="16" width="9.42578125" bestFit="1" customWidth="1"/>
    <col min="17" max="17" width="38.5703125" bestFit="1" customWidth="1"/>
  </cols>
  <sheetData>
    <row r="1" spans="1:22" x14ac:dyDescent="0.25">
      <c r="A1" t="s">
        <v>36</v>
      </c>
      <c r="B1" t="s">
        <v>37</v>
      </c>
      <c r="C1" t="s">
        <v>36</v>
      </c>
      <c r="D1" t="s">
        <v>32</v>
      </c>
      <c r="E1" t="s">
        <v>38</v>
      </c>
      <c r="F1" t="s">
        <v>50</v>
      </c>
      <c r="G1" t="s">
        <v>73</v>
      </c>
      <c r="H1" t="s">
        <v>31</v>
      </c>
      <c r="I1" t="s">
        <v>28</v>
      </c>
      <c r="J1" t="s">
        <v>42</v>
      </c>
      <c r="K1" t="s">
        <v>44</v>
      </c>
      <c r="L1" t="s">
        <v>41</v>
      </c>
      <c r="M1" t="s">
        <v>43</v>
      </c>
      <c r="N1" t="s">
        <v>45</v>
      </c>
      <c r="O1" t="s">
        <v>41</v>
      </c>
      <c r="P1" t="s">
        <v>51</v>
      </c>
      <c r="Q1" t="s">
        <v>49</v>
      </c>
      <c r="S1" t="s">
        <v>46</v>
      </c>
    </row>
    <row r="2" spans="1:22" x14ac:dyDescent="0.25">
      <c r="A2" t="s">
        <v>23</v>
      </c>
      <c r="B2" t="str">
        <f>BAL!C11</f>
        <v>BAL_hydro-pumped</v>
      </c>
      <c r="C2" t="str">
        <f>B2&amp;"_storage"</f>
        <v>BAL_hydro-pumped_storage</v>
      </c>
      <c r="D2" t="s">
        <v>40</v>
      </c>
      <c r="E2" t="s">
        <v>39</v>
      </c>
      <c r="F2" s="2">
        <f>ROUNDUP(J2*12/K2/10^3,0)*10^3</f>
        <v>15000</v>
      </c>
      <c r="G2">
        <f>F2/3</f>
        <v>5000</v>
      </c>
      <c r="H2">
        <v>1</v>
      </c>
      <c r="I2" t="s">
        <v>39</v>
      </c>
      <c r="J2">
        <f>BAL!B11</f>
        <v>900</v>
      </c>
      <c r="K2">
        <v>0.74</v>
      </c>
      <c r="M2">
        <f>880</f>
        <v>880</v>
      </c>
      <c r="N2">
        <v>1</v>
      </c>
      <c r="S2" s="8" t="s">
        <v>47</v>
      </c>
      <c r="T2" s="8" t="s">
        <v>48</v>
      </c>
      <c r="U2" s="8" t="s">
        <v>56</v>
      </c>
      <c r="V2" s="8" t="s">
        <v>57</v>
      </c>
    </row>
    <row r="3" spans="1:22" x14ac:dyDescent="0.25">
      <c r="A3" t="str">
        <f>A2</f>
        <v>BAL</v>
      </c>
      <c r="B3" t="str">
        <f>B2</f>
        <v>BAL_hydro-pumped</v>
      </c>
      <c r="C3" t="str">
        <f>B3&amp;"_storage"</f>
        <v>BAL_hydro-pumped_storage</v>
      </c>
      <c r="D3" t="s">
        <v>33</v>
      </c>
      <c r="H3">
        <f>BAL!F11</f>
        <v>4</v>
      </c>
      <c r="J3">
        <f>J2/H3</f>
        <v>225</v>
      </c>
      <c r="L3" s="3">
        <f>160/J3</f>
        <v>0.71111111111111114</v>
      </c>
      <c r="M3">
        <f>M2/H3</f>
        <v>220</v>
      </c>
      <c r="O3" s="3">
        <v>1</v>
      </c>
      <c r="S3" s="8"/>
      <c r="T3" s="8"/>
      <c r="U3" s="8"/>
      <c r="V3" s="8"/>
    </row>
    <row r="4" spans="1:22" x14ac:dyDescent="0.25">
      <c r="A4" t="s">
        <v>23</v>
      </c>
      <c r="B4" t="s">
        <v>58</v>
      </c>
      <c r="C4" t="s">
        <v>55</v>
      </c>
      <c r="D4" t="s">
        <v>53</v>
      </c>
      <c r="F4" s="2">
        <f>F2+8.2*10^3/K4</f>
        <v>25512.820512820512</v>
      </c>
      <c r="G4" s="2">
        <f>F4/3</f>
        <v>8504.2735042735039</v>
      </c>
      <c r="H4">
        <v>1</v>
      </c>
      <c r="I4" s="7" t="s">
        <v>39</v>
      </c>
      <c r="J4">
        <v>225</v>
      </c>
      <c r="K4">
        <v>0.78</v>
      </c>
      <c r="L4" s="3">
        <f>44/J4</f>
        <v>0.19555555555555557</v>
      </c>
      <c r="M4">
        <v>225</v>
      </c>
      <c r="N4">
        <v>1</v>
      </c>
      <c r="O4" s="3">
        <f>110/M4</f>
        <v>0.48888888888888887</v>
      </c>
      <c r="S4" s="8"/>
      <c r="T4" s="8"/>
      <c r="U4" s="8"/>
      <c r="V4" s="8"/>
    </row>
    <row r="5" spans="1:22" x14ac:dyDescent="0.25">
      <c r="A5" t="s">
        <v>23</v>
      </c>
      <c r="B5" t="s">
        <v>58</v>
      </c>
      <c r="C5" t="s">
        <v>55</v>
      </c>
      <c r="D5" t="s">
        <v>40</v>
      </c>
      <c r="F5" s="2"/>
      <c r="I5" s="7" t="s">
        <v>59</v>
      </c>
      <c r="L5" s="3"/>
      <c r="O5" s="3"/>
      <c r="S5" s="8"/>
      <c r="T5" s="8"/>
      <c r="U5" s="8"/>
      <c r="V5" s="8"/>
    </row>
    <row r="6" spans="1:22" x14ac:dyDescent="0.25">
      <c r="A6" t="s">
        <v>26</v>
      </c>
      <c r="B6" t="s">
        <v>72</v>
      </c>
      <c r="C6" t="s">
        <v>60</v>
      </c>
      <c r="D6" t="s">
        <v>40</v>
      </c>
      <c r="E6" t="s">
        <v>39</v>
      </c>
      <c r="F6">
        <f>SUM(F8:F17)</f>
        <v>5023000</v>
      </c>
      <c r="G6" s="2">
        <f>F6/3</f>
        <v>1674333.3333333333</v>
      </c>
      <c r="H6">
        <v>1</v>
      </c>
      <c r="I6" t="s">
        <v>39</v>
      </c>
      <c r="J6" s="6">
        <f>SUM(J8:J17)</f>
        <v>1369.5</v>
      </c>
      <c r="K6" s="4">
        <v>0.7</v>
      </c>
      <c r="M6">
        <f>SUM(M8:M17)</f>
        <v>970</v>
      </c>
      <c r="N6">
        <v>1</v>
      </c>
      <c r="Q6" s="3"/>
      <c r="S6" s="8" t="s">
        <v>54</v>
      </c>
      <c r="T6" s="8" t="s">
        <v>71</v>
      </c>
    </row>
    <row r="7" spans="1:22" x14ac:dyDescent="0.25">
      <c r="A7" t="s">
        <v>26</v>
      </c>
      <c r="B7" t="s">
        <v>72</v>
      </c>
      <c r="C7" t="s">
        <v>60</v>
      </c>
      <c r="D7" t="s">
        <v>33</v>
      </c>
      <c r="I7" s="7" t="s">
        <v>59</v>
      </c>
      <c r="J7" s="6"/>
      <c r="K7" s="4"/>
      <c r="Q7" s="3"/>
      <c r="S7" s="8"/>
      <c r="T7" s="8"/>
    </row>
    <row r="8" spans="1:22" x14ac:dyDescent="0.25">
      <c r="A8" t="s">
        <v>26</v>
      </c>
      <c r="B8" t="s">
        <v>70</v>
      </c>
      <c r="C8" t="s">
        <v>60</v>
      </c>
      <c r="D8" t="s">
        <v>33</v>
      </c>
      <c r="F8">
        <v>440000</v>
      </c>
      <c r="G8" s="2">
        <f>F8/3</f>
        <v>146666.66666666666</v>
      </c>
      <c r="H8">
        <v>2</v>
      </c>
      <c r="J8" s="6">
        <v>270</v>
      </c>
      <c r="K8" s="4">
        <v>0.7</v>
      </c>
      <c r="M8">
        <v>258</v>
      </c>
      <c r="N8">
        <v>1</v>
      </c>
      <c r="Q8" s="3"/>
      <c r="S8" s="8"/>
      <c r="T8" s="8"/>
    </row>
    <row r="9" spans="1:22" x14ac:dyDescent="0.25">
      <c r="A9" t="s">
        <v>26</v>
      </c>
      <c r="B9" t="s">
        <v>69</v>
      </c>
      <c r="C9" t="s">
        <v>60</v>
      </c>
      <c r="D9" t="s">
        <v>33</v>
      </c>
      <c r="F9">
        <v>31000</v>
      </c>
      <c r="G9" s="2">
        <f t="shared" ref="G9:G17" si="0">F9/3</f>
        <v>10333.333333333334</v>
      </c>
      <c r="H9">
        <v>1</v>
      </c>
      <c r="J9" s="6">
        <v>11</v>
      </c>
      <c r="K9" s="4">
        <v>0.7</v>
      </c>
      <c r="M9">
        <v>11</v>
      </c>
      <c r="N9">
        <v>1</v>
      </c>
      <c r="Q9" s="3"/>
      <c r="S9" s="8"/>
      <c r="T9" s="8"/>
    </row>
    <row r="10" spans="1:22" x14ac:dyDescent="0.25">
      <c r="A10" t="s">
        <v>26</v>
      </c>
      <c r="B10" t="s">
        <v>68</v>
      </c>
      <c r="C10" t="s">
        <v>60</v>
      </c>
      <c r="D10" t="s">
        <v>33</v>
      </c>
      <c r="F10">
        <v>755000</v>
      </c>
      <c r="G10" s="2">
        <f t="shared" si="0"/>
        <v>251666.66666666666</v>
      </c>
      <c r="H10">
        <v>2</v>
      </c>
      <c r="J10" s="6">
        <v>200</v>
      </c>
      <c r="K10" s="4">
        <v>0.7</v>
      </c>
      <c r="M10">
        <v>170</v>
      </c>
      <c r="N10">
        <v>1</v>
      </c>
      <c r="Q10" s="3"/>
      <c r="S10" s="8"/>
      <c r="T10" s="8"/>
    </row>
    <row r="11" spans="1:22" x14ac:dyDescent="0.25">
      <c r="A11" t="s">
        <v>26</v>
      </c>
      <c r="B11" t="s">
        <v>67</v>
      </c>
      <c r="C11" t="s">
        <v>60</v>
      </c>
      <c r="D11" t="s">
        <v>33</v>
      </c>
      <c r="F11">
        <v>69000</v>
      </c>
      <c r="G11" s="2">
        <f t="shared" si="0"/>
        <v>23000</v>
      </c>
      <c r="H11">
        <v>1</v>
      </c>
      <c r="J11" s="6">
        <v>35</v>
      </c>
      <c r="K11" s="4">
        <v>0.7</v>
      </c>
      <c r="M11">
        <v>31</v>
      </c>
      <c r="N11">
        <v>1</v>
      </c>
      <c r="Q11" s="3"/>
      <c r="S11" s="8"/>
      <c r="T11" s="8"/>
    </row>
    <row r="12" spans="1:22" x14ac:dyDescent="0.25">
      <c r="A12" t="s">
        <v>26</v>
      </c>
      <c r="B12" t="s">
        <v>66</v>
      </c>
      <c r="C12" t="s">
        <v>60</v>
      </c>
      <c r="D12" t="s">
        <v>33</v>
      </c>
      <c r="F12">
        <v>116000</v>
      </c>
      <c r="G12" s="2">
        <f t="shared" si="0"/>
        <v>38666.666666666664</v>
      </c>
      <c r="H12">
        <v>1</v>
      </c>
      <c r="J12" s="6">
        <v>40</v>
      </c>
      <c r="K12" s="4">
        <v>0.7</v>
      </c>
      <c r="M12">
        <v>41</v>
      </c>
      <c r="N12">
        <v>1</v>
      </c>
      <c r="Q12" s="3"/>
      <c r="S12" s="8"/>
      <c r="T12" s="8"/>
    </row>
    <row r="13" spans="1:22" x14ac:dyDescent="0.25">
      <c r="A13" t="s">
        <v>26</v>
      </c>
      <c r="B13" t="s">
        <v>65</v>
      </c>
      <c r="C13" t="s">
        <v>60</v>
      </c>
      <c r="D13" t="s">
        <v>33</v>
      </c>
      <c r="F13">
        <v>114000</v>
      </c>
      <c r="G13" s="2">
        <f t="shared" si="0"/>
        <v>38000</v>
      </c>
      <c r="H13">
        <v>1</v>
      </c>
      <c r="J13" s="6">
        <v>57.5</v>
      </c>
      <c r="K13" s="4">
        <v>0.7</v>
      </c>
      <c r="M13">
        <v>52</v>
      </c>
      <c r="N13">
        <v>1</v>
      </c>
      <c r="Q13" s="3"/>
      <c r="S13" s="8"/>
      <c r="T13" s="8"/>
    </row>
    <row r="14" spans="1:22" x14ac:dyDescent="0.25">
      <c r="A14" t="s">
        <v>26</v>
      </c>
      <c r="B14" t="s">
        <v>64</v>
      </c>
      <c r="C14" t="s">
        <v>60</v>
      </c>
      <c r="D14" t="s">
        <v>33</v>
      </c>
      <c r="F14">
        <v>3331000</v>
      </c>
      <c r="G14" s="2">
        <f t="shared" si="0"/>
        <v>1110333.3333333333</v>
      </c>
      <c r="H14">
        <v>4</v>
      </c>
      <c r="J14" s="6">
        <v>640</v>
      </c>
      <c r="K14" s="4">
        <v>0.7</v>
      </c>
      <c r="M14">
        <v>320</v>
      </c>
      <c r="N14">
        <v>1</v>
      </c>
      <c r="Q14" s="3"/>
      <c r="S14" s="8"/>
      <c r="T14" s="8"/>
    </row>
    <row r="15" spans="1:22" x14ac:dyDescent="0.25">
      <c r="A15" t="s">
        <v>26</v>
      </c>
      <c r="B15" t="s">
        <v>63</v>
      </c>
      <c r="C15" t="s">
        <v>60</v>
      </c>
      <c r="D15" t="s">
        <v>33</v>
      </c>
      <c r="F15">
        <v>1000</v>
      </c>
      <c r="G15" s="2">
        <f t="shared" si="0"/>
        <v>333.33333333333331</v>
      </c>
      <c r="H15">
        <v>1</v>
      </c>
      <c r="J15" s="6">
        <v>17</v>
      </c>
      <c r="K15" s="4">
        <v>0.7</v>
      </c>
      <c r="M15">
        <v>6</v>
      </c>
      <c r="N15">
        <v>1</v>
      </c>
      <c r="Q15" s="3"/>
      <c r="S15" s="8"/>
      <c r="T15" s="8"/>
    </row>
    <row r="16" spans="1:22" x14ac:dyDescent="0.25">
      <c r="A16" t="s">
        <v>26</v>
      </c>
      <c r="B16" t="s">
        <v>62</v>
      </c>
      <c r="C16" t="s">
        <v>60</v>
      </c>
      <c r="D16" t="s">
        <v>33</v>
      </c>
      <c r="F16">
        <v>82000</v>
      </c>
      <c r="G16" s="2">
        <f t="shared" si="0"/>
        <v>27333.333333333332</v>
      </c>
      <c r="H16">
        <v>2</v>
      </c>
      <c r="J16" s="6">
        <v>50</v>
      </c>
      <c r="K16" s="4">
        <v>0.7</v>
      </c>
      <c r="M16">
        <v>42</v>
      </c>
      <c r="N16">
        <v>1</v>
      </c>
      <c r="Q16" s="3"/>
      <c r="S16" s="8"/>
      <c r="T16" s="8"/>
    </row>
    <row r="17" spans="1:20" x14ac:dyDescent="0.25">
      <c r="A17" t="s">
        <v>26</v>
      </c>
      <c r="B17" t="s">
        <v>61</v>
      </c>
      <c r="C17" t="s">
        <v>60</v>
      </c>
      <c r="D17" t="s">
        <v>33</v>
      </c>
      <c r="F17">
        <v>84000</v>
      </c>
      <c r="G17" s="2">
        <f t="shared" si="0"/>
        <v>28000</v>
      </c>
      <c r="H17">
        <v>1</v>
      </c>
      <c r="J17" s="6">
        <v>49</v>
      </c>
      <c r="K17" s="4">
        <v>0.7</v>
      </c>
      <c r="M17">
        <v>39</v>
      </c>
      <c r="N17">
        <v>1</v>
      </c>
      <c r="Q17" s="3"/>
      <c r="S17" s="8"/>
      <c r="T17" s="8"/>
    </row>
    <row r="25" spans="1:20" x14ac:dyDescent="0.25">
      <c r="S25" s="5"/>
    </row>
    <row r="26" spans="1:20" x14ac:dyDescent="0.25">
      <c r="S26" s="5"/>
    </row>
  </sheetData>
  <mergeCells count="6">
    <mergeCell ref="V2:V5"/>
    <mergeCell ref="T6:T17"/>
    <mergeCell ref="S6:S17"/>
    <mergeCell ref="S2:S5"/>
    <mergeCell ref="T2:T5"/>
    <mergeCell ref="U2:U5"/>
  </mergeCells>
  <hyperlinks>
    <hyperlink ref="S2" r:id="rId1" xr:uid="{8F1C29EF-9F54-46BF-97BC-D5A1739828A7}"/>
    <hyperlink ref="T2:T4" r:id="rId2" display="source 2" xr:uid="{149F99E7-8475-4B80-85A4-1D29B490FD75}"/>
    <hyperlink ref="U2:U4" r:id="rId3" display="source 3" xr:uid="{B9CBB1A7-2B02-48C7-BE48-7CB9152EB97D}"/>
    <hyperlink ref="V2:V4" r:id="rId4" display="source 4" xr:uid="{E56390C1-404F-4955-AAD6-80BA68187F71}"/>
    <hyperlink ref="S6" r:id="rId5" display="https://mdpi-res.com/d_attachment/energies/energies-13-04918/article_deploy/energies-13-04918-v2.pdf?version=1601001709" xr:uid="{482CEDF0-F18B-4B5F-A2E0-69030562BD3F}"/>
    <hyperlink ref="T6" r:id="rId6" display="https://www.mdpi.com/2071-1050/14/11/6939" xr:uid="{B0D9F830-F553-4294-A522-01576ECDDF43}"/>
    <hyperlink ref="T6:T17" r:id="rId7" display="Source 2" xr:uid="{FCAA4EE5-2B95-413A-BFE3-F38B0A646A60}"/>
  </hyperlinks>
  <pageMargins left="0.7" right="0.7" top="0.75" bottom="0.75" header="0.3" footer="0.3"/>
  <legacy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7F25D-B3EA-462C-AE5A-F87ECC6F4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</vt:lpstr>
      <vt:lpstr>NOR</vt:lpstr>
      <vt:lpstr>SWE</vt:lpstr>
      <vt:lpstr>DEN</vt:lpstr>
      <vt:lpstr>BAL</vt:lpstr>
      <vt:lpstr>Lithuania</vt:lpstr>
      <vt:lpstr>Latvia</vt:lpstr>
      <vt:lpstr>Estonia</vt:lpstr>
      <vt:lpstr>hydro_pumped_storage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Huang  Jiangyi</cp:lastModifiedBy>
  <dcterms:created xsi:type="dcterms:W3CDTF">2022-05-31T11:13:25Z</dcterms:created>
  <dcterms:modified xsi:type="dcterms:W3CDTF">2023-02-23T14:26:44Z</dcterms:modified>
</cp:coreProperties>
</file>