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ineOptNordic\MESSO\model-data\"/>
    </mc:Choice>
  </mc:AlternateContent>
  <xr:revisionPtr revIDLastSave="0" documentId="13_ncr:1_{B3CABA16-3E59-4BD6-B846-95824583853C}" xr6:coauthVersionLast="47" xr6:coauthVersionMax="47" xr10:uidLastSave="{00000000-0000-0000-0000-000000000000}"/>
  <bookViews>
    <workbookView xWindow="-120" yWindow="-120" windowWidth="38640" windowHeight="21120" xr2:uid="{ADDE16D4-F9FE-4B25-9901-D320469C21A8}"/>
  </bookViews>
  <sheets>
    <sheet name="gen_technology" sheetId="12" r:id="rId1"/>
    <sheet name="capital_cost" sheetId="13" r:id="rId2"/>
    <sheet name="OM_cost" sheetId="14" r:id="rId3"/>
    <sheet name="efficiency" sheetId="15" r:id="rId4"/>
    <sheet name="gen_technology BAL" sheetId="10" r:id="rId5"/>
    <sheet name="gen_technology DEN" sheetId="9" r:id="rId6"/>
    <sheet name="gen_technology FIN" sheetId="8" r:id="rId7"/>
    <sheet name="gen_technology NOR" sheetId="7" r:id="rId8"/>
    <sheet name="gen_technology SWE" sheetId="6" r:id="rId9"/>
    <sheet name="hydro_reservoir" sheetId="16" r:id="rId10"/>
    <sheet name="carbon_tax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2" l="1"/>
  <c r="I2" i="12"/>
  <c r="I15" i="12"/>
  <c r="I18" i="12"/>
  <c r="I9" i="12"/>
  <c r="I8" i="12"/>
  <c r="I7" i="12"/>
  <c r="I6" i="12"/>
  <c r="I5" i="12"/>
  <c r="I4" i="12"/>
  <c r="E3" i="16"/>
  <c r="E2" i="16"/>
  <c r="F4" i="12"/>
  <c r="I21" i="10"/>
  <c r="C30" i="12" l="1"/>
  <c r="C31" i="12"/>
  <c r="C32" i="12"/>
  <c r="C33" i="12"/>
  <c r="C34" i="12"/>
  <c r="C35" i="12"/>
  <c r="C41" i="12"/>
  <c r="C42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28" i="12"/>
  <c r="A28" i="12" a="1"/>
  <c r="A28" i="12" s="1"/>
  <c r="G3" i="16"/>
  <c r="G2" i="16"/>
  <c r="J1" i="10" a="1"/>
  <c r="I12" i="10" a="1"/>
  <c r="I12" i="10" s="1"/>
  <c r="I1" i="10" a="1"/>
  <c r="I1" i="10" s="1"/>
  <c r="F21" i="12"/>
  <c r="C47" i="12" s="1"/>
  <c r="H21" i="12"/>
  <c r="J1" i="10" l="1"/>
  <c r="L21" i="10"/>
  <c r="M21" i="10"/>
  <c r="N21" i="10"/>
  <c r="O21" i="10"/>
  <c r="P21" i="10"/>
  <c r="Q21" i="10"/>
  <c r="J21" i="10"/>
  <c r="R21" i="10"/>
  <c r="K21" i="10"/>
  <c r="S21" i="10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" i="12"/>
  <c r="N18" i="12"/>
  <c r="H2" i="12"/>
  <c r="H18" i="12" s="1"/>
  <c r="M1" i="16" a="1"/>
  <c r="M1" i="16" s="1"/>
  <c r="I1" i="16" a="1"/>
  <c r="I1" i="16" s="1"/>
  <c r="B3" i="17"/>
  <c r="B4" i="17"/>
  <c r="B5" i="17"/>
  <c r="B6" i="17"/>
  <c r="B2" i="17"/>
  <c r="C2" i="16" l="1"/>
  <c r="C3" i="16"/>
  <c r="B2" i="16"/>
  <c r="B3" i="16"/>
  <c r="M3" i="12" l="1"/>
  <c r="M4" i="12"/>
  <c r="M5" i="12"/>
  <c r="M6" i="12"/>
  <c r="M7" i="12"/>
  <c r="M8" i="12"/>
  <c r="M9" i="12"/>
  <c r="M10" i="12"/>
  <c r="M11" i="12"/>
  <c r="M12" i="12"/>
  <c r="M21" i="12"/>
  <c r="M13" i="12"/>
  <c r="M14" i="12"/>
  <c r="M15" i="12"/>
  <c r="M16" i="12"/>
  <c r="M17" i="12"/>
  <c r="M18" i="12"/>
  <c r="M19" i="12"/>
  <c r="M20" i="12"/>
  <c r="M2" i="12"/>
  <c r="E9" i="12"/>
  <c r="E14" i="12"/>
  <c r="A12" i="6"/>
  <c r="A12" i="7"/>
  <c r="A12" i="8"/>
  <c r="A12" i="9"/>
  <c r="A12" i="10"/>
  <c r="A11" i="10"/>
  <c r="A20" i="6"/>
  <c r="A19" i="6"/>
  <c r="A18" i="6"/>
  <c r="A17" i="6"/>
  <c r="A16" i="6"/>
  <c r="A15" i="6"/>
  <c r="A14" i="6"/>
  <c r="A13" i="6"/>
  <c r="A11" i="6"/>
  <c r="A10" i="6"/>
  <c r="A9" i="6"/>
  <c r="A8" i="6"/>
  <c r="A7" i="6"/>
  <c r="A6" i="6"/>
  <c r="A5" i="6"/>
  <c r="A4" i="6"/>
  <c r="A3" i="6"/>
  <c r="A2" i="6"/>
  <c r="A20" i="7"/>
  <c r="A19" i="7"/>
  <c r="A18" i="7"/>
  <c r="A17" i="7"/>
  <c r="A16" i="7"/>
  <c r="A15" i="7"/>
  <c r="A14" i="7"/>
  <c r="A13" i="7"/>
  <c r="A11" i="7"/>
  <c r="A10" i="7"/>
  <c r="A9" i="7"/>
  <c r="A8" i="7"/>
  <c r="A7" i="7"/>
  <c r="A6" i="7"/>
  <c r="A5" i="7"/>
  <c r="A4" i="7"/>
  <c r="A3" i="7"/>
  <c r="A2" i="7"/>
  <c r="A20" i="8"/>
  <c r="A19" i="8"/>
  <c r="A18" i="8"/>
  <c r="A17" i="8"/>
  <c r="A16" i="8"/>
  <c r="A15" i="8"/>
  <c r="A14" i="8"/>
  <c r="A13" i="8"/>
  <c r="A11" i="8"/>
  <c r="A10" i="8"/>
  <c r="A9" i="8"/>
  <c r="A8" i="8"/>
  <c r="A7" i="8"/>
  <c r="A6" i="8"/>
  <c r="A5" i="8"/>
  <c r="A4" i="8"/>
  <c r="A3" i="8"/>
  <c r="A2" i="8"/>
  <c r="A20" i="9"/>
  <c r="A19" i="9"/>
  <c r="A18" i="9"/>
  <c r="A17" i="9"/>
  <c r="A16" i="9"/>
  <c r="A15" i="9"/>
  <c r="A14" i="9"/>
  <c r="A13" i="9"/>
  <c r="A11" i="9"/>
  <c r="A10" i="9"/>
  <c r="A9" i="9"/>
  <c r="A8" i="9"/>
  <c r="A7" i="9"/>
  <c r="A6" i="9"/>
  <c r="A5" i="9"/>
  <c r="A4" i="9"/>
  <c r="A3" i="9"/>
  <c r="A2" i="9"/>
  <c r="A2" i="10"/>
  <c r="A3" i="10"/>
  <c r="A4" i="10"/>
  <c r="A5" i="10"/>
  <c r="A6" i="10"/>
  <c r="A7" i="10"/>
  <c r="A8" i="10"/>
  <c r="A9" i="10"/>
  <c r="A10" i="10"/>
  <c r="A13" i="10"/>
  <c r="A14" i="10"/>
  <c r="A15" i="10"/>
  <c r="A16" i="10"/>
  <c r="A17" i="10"/>
  <c r="A18" i="10"/>
  <c r="A19" i="10"/>
  <c r="A20" i="10"/>
  <c r="M3" i="16" l="1" a="1"/>
  <c r="M3" i="16" s="1"/>
  <c r="M2" i="16" a="1"/>
  <c r="M2" i="16" s="1"/>
  <c r="B8" i="12"/>
  <c r="B7" i="12"/>
  <c r="C7" i="12" s="1"/>
  <c r="G4" i="12"/>
  <c r="H3" i="12"/>
  <c r="H10" i="12"/>
  <c r="H11" i="12"/>
  <c r="H12" i="12"/>
  <c r="H13" i="12"/>
  <c r="H14" i="12"/>
  <c r="H17" i="12"/>
  <c r="H19" i="12"/>
  <c r="H20" i="12"/>
  <c r="F20" i="12"/>
  <c r="C46" i="12" s="1"/>
  <c r="F19" i="12"/>
  <c r="C45" i="12" s="1"/>
  <c r="F17" i="12"/>
  <c r="C43" i="12" s="1"/>
  <c r="F14" i="12"/>
  <c r="C40" i="12" s="1"/>
  <c r="F13" i="12"/>
  <c r="C39" i="12" s="1"/>
  <c r="F12" i="12"/>
  <c r="C38" i="12" s="1"/>
  <c r="F11" i="12"/>
  <c r="C37" i="12" s="1"/>
  <c r="F10" i="12"/>
  <c r="C36" i="12" s="1"/>
  <c r="F3" i="12"/>
  <c r="C29" i="12" s="1"/>
  <c r="F2" i="12"/>
  <c r="C28" i="12" s="1"/>
  <c r="D20" i="12"/>
  <c r="E20" i="12" s="1"/>
  <c r="D19" i="12"/>
  <c r="E19" i="12" s="1"/>
  <c r="D17" i="12"/>
  <c r="E17" i="12" s="1"/>
  <c r="D13" i="12"/>
  <c r="E13" i="12" s="1"/>
  <c r="D21" i="12"/>
  <c r="E21" i="12" s="1"/>
  <c r="D12" i="12"/>
  <c r="D11" i="12"/>
  <c r="E11" i="12" s="1"/>
  <c r="D10" i="12"/>
  <c r="E10" i="12" s="1"/>
  <c r="E6" i="12"/>
  <c r="D3" i="12"/>
  <c r="E3" i="12" s="1"/>
  <c r="D2" i="12"/>
  <c r="E2" i="12" s="1"/>
  <c r="C9" i="12"/>
  <c r="D4" i="12" l="1"/>
  <c r="E4" i="12" s="1"/>
  <c r="E5" i="12"/>
  <c r="E8" i="12"/>
  <c r="E7" i="12"/>
  <c r="E12" i="12"/>
  <c r="F18" i="12"/>
  <c r="C44" i="12" s="1"/>
  <c r="E15" i="12"/>
  <c r="D18" i="12"/>
  <c r="E18" i="12" s="1"/>
  <c r="B17" i="12"/>
  <c r="C17" i="12" s="1"/>
  <c r="B20" i="12"/>
  <c r="C20" i="12" s="1"/>
  <c r="B19" i="12"/>
  <c r="C19" i="12" s="1"/>
  <c r="B14" i="12"/>
  <c r="C14" i="12" s="1"/>
  <c r="B13" i="12"/>
  <c r="C13" i="12" s="1"/>
  <c r="B21" i="12"/>
  <c r="B12" i="12"/>
  <c r="B11" i="12"/>
  <c r="C11" i="12" s="1"/>
  <c r="B10" i="12"/>
  <c r="C10" i="12" s="1"/>
  <c r="C6" i="12"/>
  <c r="C5" i="12"/>
  <c r="B3" i="12"/>
  <c r="C3" i="12" s="1"/>
  <c r="B2" i="12"/>
  <c r="C21" i="12" l="1"/>
  <c r="I3" i="16" s="1" a="1"/>
  <c r="I3" i="16" s="1"/>
  <c r="B4" i="12"/>
  <c r="C12" i="12"/>
  <c r="B18" i="12"/>
  <c r="C18" i="12" s="1"/>
  <c r="C2" i="12"/>
  <c r="B1" i="10" s="1" a="1"/>
  <c r="C8" i="12"/>
  <c r="C23" i="14"/>
  <c r="C21" i="14"/>
  <c r="C19" i="14"/>
  <c r="C17" i="14"/>
  <c r="C15" i="14"/>
  <c r="C13" i="14"/>
  <c r="G21" i="10" l="1"/>
  <c r="B1" i="10"/>
  <c r="F21" i="10"/>
  <c r="H21" i="10"/>
  <c r="E21" i="10"/>
  <c r="C21" i="10"/>
  <c r="D21" i="10"/>
  <c r="B21" i="10"/>
  <c r="C4" i="12"/>
  <c r="I2" i="16" a="1"/>
  <c r="I2" i="16" s="1"/>
  <c r="C15" i="12"/>
  <c r="C16" i="12"/>
  <c r="E16" i="12"/>
  <c r="B1" i="6" l="1" a="1"/>
  <c r="B1" i="6" s="1"/>
  <c r="B1" i="7" a="1"/>
  <c r="B1" i="8" a="1"/>
  <c r="B1" i="8" s="1"/>
  <c r="B1" i="9" a="1"/>
  <c r="B1" i="9" s="1"/>
  <c r="B1" i="7" l="1"/>
  <c r="J21" i="7"/>
  <c r="J22" i="7" s="1"/>
  <c r="J23" i="7" s="1"/>
  <c r="J24" i="7" s="1"/>
  <c r="J25" i="7" s="1"/>
  <c r="J26" i="7" s="1"/>
  <c r="J27" i="7" s="1"/>
  <c r="J28" i="7" s="1"/>
  <c r="J29" i="7" s="1"/>
  <c r="J30" i="7" s="1"/>
  <c r="R21" i="7"/>
  <c r="R22" i="7" s="1"/>
  <c r="R23" i="7" s="1"/>
  <c r="R24" i="7" s="1"/>
  <c r="R25" i="7" s="1"/>
  <c r="R26" i="7" s="1"/>
  <c r="R27" i="7" s="1"/>
  <c r="R28" i="7" s="1"/>
  <c r="R29" i="7" s="1"/>
  <c r="R30" i="7" s="1"/>
  <c r="C21" i="7"/>
  <c r="C22" i="7" s="1"/>
  <c r="C23" i="7" s="1"/>
  <c r="C24" i="7" s="1"/>
  <c r="C25" i="7" s="1"/>
  <c r="C26" i="7" s="1"/>
  <c r="C27" i="7" s="1"/>
  <c r="C28" i="7" s="1"/>
  <c r="C29" i="7" s="1"/>
  <c r="C30" i="7" s="1"/>
  <c r="K21" i="7"/>
  <c r="K22" i="7" s="1"/>
  <c r="K23" i="7" s="1"/>
  <c r="K24" i="7" s="1"/>
  <c r="K25" i="7" s="1"/>
  <c r="K26" i="7" s="1"/>
  <c r="K27" i="7" s="1"/>
  <c r="K28" i="7" s="1"/>
  <c r="K29" i="7" s="1"/>
  <c r="K30" i="7" s="1"/>
  <c r="S21" i="7"/>
  <c r="S22" i="7" s="1"/>
  <c r="S23" i="7" s="1"/>
  <c r="S24" i="7" s="1"/>
  <c r="S25" i="7" s="1"/>
  <c r="S26" i="7" s="1"/>
  <c r="S27" i="7" s="1"/>
  <c r="S28" i="7" s="1"/>
  <c r="S29" i="7" s="1"/>
  <c r="S30" i="7" s="1"/>
  <c r="D21" i="7"/>
  <c r="D22" i="7" s="1"/>
  <c r="D23" i="7" s="1"/>
  <c r="D24" i="7" s="1"/>
  <c r="D25" i="7" s="1"/>
  <c r="D26" i="7" s="1"/>
  <c r="D27" i="7" s="1"/>
  <c r="D28" i="7" s="1"/>
  <c r="D29" i="7" s="1"/>
  <c r="D30" i="7" s="1"/>
  <c r="L21" i="7"/>
  <c r="L22" i="7" s="1"/>
  <c r="L23" i="7" s="1"/>
  <c r="L24" i="7" s="1"/>
  <c r="L25" i="7" s="1"/>
  <c r="L26" i="7" s="1"/>
  <c r="L27" i="7" s="1"/>
  <c r="L28" i="7" s="1"/>
  <c r="L29" i="7" s="1"/>
  <c r="L30" i="7" s="1"/>
  <c r="E21" i="7"/>
  <c r="E22" i="7" s="1"/>
  <c r="E23" i="7" s="1"/>
  <c r="E24" i="7" s="1"/>
  <c r="E25" i="7" s="1"/>
  <c r="E26" i="7" s="1"/>
  <c r="E27" i="7" s="1"/>
  <c r="E28" i="7" s="1"/>
  <c r="E29" i="7" s="1"/>
  <c r="E30" i="7" s="1"/>
  <c r="M21" i="7"/>
  <c r="M22" i="7" s="1"/>
  <c r="M23" i="7" s="1"/>
  <c r="M24" i="7" s="1"/>
  <c r="M25" i="7" s="1"/>
  <c r="M26" i="7" s="1"/>
  <c r="M27" i="7" s="1"/>
  <c r="M28" i="7" s="1"/>
  <c r="M29" i="7" s="1"/>
  <c r="M30" i="7" s="1"/>
  <c r="F21" i="7"/>
  <c r="F22" i="7" s="1"/>
  <c r="F23" i="7" s="1"/>
  <c r="F24" i="7" s="1"/>
  <c r="F25" i="7" s="1"/>
  <c r="F26" i="7" s="1"/>
  <c r="F27" i="7" s="1"/>
  <c r="F28" i="7" s="1"/>
  <c r="F29" i="7" s="1"/>
  <c r="F30" i="7" s="1"/>
  <c r="N21" i="7"/>
  <c r="N22" i="7" s="1"/>
  <c r="N23" i="7" s="1"/>
  <c r="N24" i="7" s="1"/>
  <c r="N25" i="7" s="1"/>
  <c r="N26" i="7" s="1"/>
  <c r="N27" i="7" s="1"/>
  <c r="N28" i="7" s="1"/>
  <c r="N29" i="7" s="1"/>
  <c r="N30" i="7" s="1"/>
  <c r="G21" i="7"/>
  <c r="G22" i="7" s="1"/>
  <c r="G23" i="7" s="1"/>
  <c r="G24" i="7" s="1"/>
  <c r="G25" i="7" s="1"/>
  <c r="G26" i="7" s="1"/>
  <c r="G27" i="7" s="1"/>
  <c r="G28" i="7" s="1"/>
  <c r="G29" i="7" s="1"/>
  <c r="G30" i="7" s="1"/>
  <c r="O21" i="7"/>
  <c r="O22" i="7" s="1"/>
  <c r="O23" i="7" s="1"/>
  <c r="O24" i="7" s="1"/>
  <c r="O25" i="7" s="1"/>
  <c r="O26" i="7" s="1"/>
  <c r="O27" i="7" s="1"/>
  <c r="O28" i="7" s="1"/>
  <c r="O29" i="7" s="1"/>
  <c r="O30" i="7" s="1"/>
  <c r="H21" i="7"/>
  <c r="H22" i="7" s="1"/>
  <c r="H23" i="7" s="1"/>
  <c r="H24" i="7" s="1"/>
  <c r="H25" i="7" s="1"/>
  <c r="H26" i="7" s="1"/>
  <c r="H27" i="7" s="1"/>
  <c r="H28" i="7" s="1"/>
  <c r="H29" i="7" s="1"/>
  <c r="H30" i="7" s="1"/>
  <c r="P21" i="7"/>
  <c r="P22" i="7" s="1"/>
  <c r="P23" i="7" s="1"/>
  <c r="P24" i="7" s="1"/>
  <c r="P25" i="7" s="1"/>
  <c r="P26" i="7" s="1"/>
  <c r="P27" i="7" s="1"/>
  <c r="P28" i="7" s="1"/>
  <c r="P29" i="7" s="1"/>
  <c r="P30" i="7" s="1"/>
  <c r="B21" i="7"/>
  <c r="B22" i="7" s="1"/>
  <c r="B23" i="7" s="1"/>
  <c r="B24" i="7" s="1"/>
  <c r="B25" i="7" s="1"/>
  <c r="B26" i="7" s="1"/>
  <c r="B27" i="7" s="1"/>
  <c r="B28" i="7" s="1"/>
  <c r="B29" i="7" s="1"/>
  <c r="B30" i="7" s="1"/>
  <c r="I21" i="7"/>
  <c r="I22" i="7" s="1"/>
  <c r="I23" i="7" s="1"/>
  <c r="I24" i="7" s="1"/>
  <c r="I25" i="7" s="1"/>
  <c r="I26" i="7" s="1"/>
  <c r="I27" i="7" s="1"/>
  <c r="I28" i="7" s="1"/>
  <c r="I29" i="7" s="1"/>
  <c r="I30" i="7" s="1"/>
  <c r="Q21" i="7"/>
  <c r="Q22" i="7" s="1"/>
  <c r="Q23" i="7" s="1"/>
  <c r="Q24" i="7" s="1"/>
  <c r="Q25" i="7" s="1"/>
  <c r="Q26" i="7" s="1"/>
  <c r="Q27" i="7" s="1"/>
  <c r="Q28" i="7" s="1"/>
  <c r="Q29" i="7" s="1"/>
  <c r="Q30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  Jiangyi</author>
  </authors>
  <commentList>
    <comment ref="A1" authorId="0" shapeId="0" xr:uid="{38B80BDE-7E9C-46C8-B1FA-0B739515F794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This table serves the default value for technologies. Country specific values may be different. Check out the country tables that are really used.</t>
        </r>
      </text>
    </comment>
    <comment ref="B27" authorId="0" shapeId="0" xr:uid="{348A8C64-DBDD-42B0-928B-74704D6D78BD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Reason: these are lifecycle emissions, irrevelant for operation and investment modelling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  Jiangyi</author>
  </authors>
  <commentList>
    <comment ref="I11" authorId="0" shapeId="0" xr:uid="{29B63773-E93B-43CB-A667-EE8F2972E494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source: https://ignitisgamyba.lt/en/our-activities/electricity-generation/kruonis-pumped-storage-hydroelectric-plant-the-kpshp/4188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  Jiangyi</author>
  </authors>
  <commentList>
    <comment ref="E1" authorId="0" shapeId="0" xr:uid="{E79FFB2C-FA2A-4634-A4F0-539E05907245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A simple assumption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9734F-EE3E-4FC4-9C5F-7EC294AEAADE}" keepAlive="1" name="Abfrage - gen_technology" description="Verbindung mit der Abfrage 'gen_technology' in der Arbeitsmappe." type="5" refreshedVersion="8" background="1" saveData="1">
    <dbPr connection="Provider=Microsoft.Mashup.OleDb.1;Data Source=$Workbook$;Location=gen_technology;Extended Properties=&quot;&quot;" command="SELECT * FROM [gen_technology]"/>
  </connection>
  <connection id="2" xr16:uid="{0D546267-6D8F-4BDD-8883-2745E86B3ED9}" keepAlive="1" name="Abfrage - gen_technology (2)" description="Verbindung mit der Abfrage 'gen_technology (2)' in der Arbeitsmappe." type="5" refreshedVersion="0" background="1" saveData="1">
    <dbPr connection="Provider=Microsoft.Mashup.OleDb.1;Data Source=$Workbook$;Location=&quot;gen_technology (2)&quot;;Extended Properties=&quot;&quot;" command="SELECT * FROM [gen_technology (2)]"/>
  </connection>
  <connection id="3" xr16:uid="{7D3D8C62-EF00-4025-9149-FEED4067128C}" keepAlive="1" name="Abfrage - Lithuania (2)" description="Verbindung mit der Abfrage 'Lithuania (2)' in der Arbeitsmappe." type="5" refreshedVersion="8" background="1" saveData="1">
    <dbPr connection="Provider=Microsoft.Mashup.OleDb.1;Data Source=$Workbook$;Location=&quot;Lithuania (2)&quot;;Extended Properties=&quot;&quot;" command="SELECT * FROM [Lithuania (2)]"/>
  </connection>
  <connection id="4" xr16:uid="{40C51F06-F1BD-49A5-92F2-94EF9AFE898F}" keepAlive="1" name="Abfrage - Screenshot_2022-06-13_135321_b0d7479fc0f1427e9fbc84c9b47de32a" description="Verbindung mit der Abfrage 'Screenshot_2022-06-13_135321_b0d7479fc0f1427e9fbc84c9b47de32a' in der Arbeitsmappe." type="5" refreshedVersion="0" background="1" saveData="1">
    <dbPr connection="Provider=Microsoft.Mashup.OleDb.1;Data Source=$Workbook$;Location=Screenshot_2022-06-13_135321_b0d7479fc0f1427e9fbc84c9b47de32a;Extended Properties=&quot;&quot;" command="SELECT * FROM [Screenshot_2022-06-13_135321_b0d7479fc0f1427e9fbc84c9b47de32a]"/>
  </connection>
  <connection id="5" xr16:uid="{CA7BE52E-A6F1-4210-B4A8-86D8460EAAF5}" keepAlive="1" name="Abfrage - transmission" description="Verbindung mit der Abfrage 'transmission' in der Arbeitsmappe." type="5" refreshedVersion="8" background="1" saveData="1">
    <dbPr connection="Provider=Microsoft.Mashup.OleDb.1;Data Source=$Workbook$;Location=transmission;Extended Properties=&quot;&quot;" command="SELECT * FROM [transmission]"/>
  </connection>
  <connection id="6" xr16:uid="{1E73884C-CB72-4C7B-86D6-262AADE6E219}" keepAlive="1" name="Abfrage - transmission (2)" description="Verbindung mit der Abfrage 'transmission (2)' in der Arbeitsmappe." type="5" refreshedVersion="8" background="1" saveData="1">
    <dbPr connection="Provider=Microsoft.Mashup.OleDb.1;Data Source=$Workbook$;Location=&quot;transmission (2)&quot;;Extended Properties=&quot;&quot;" command="SELECT * FROM [transmission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<sst xmlns="http://schemas.openxmlformats.org/spreadsheetml/2006/main" count="288" uniqueCount="139">
  <si>
    <t>fuel_cost [€/MWh fuel]</t>
  </si>
  <si>
    <t>FIN</t>
  </si>
  <si>
    <t>NOR</t>
  </si>
  <si>
    <t>SWE</t>
  </si>
  <si>
    <t>DEN</t>
  </si>
  <si>
    <t>BAL</t>
  </si>
  <si>
    <t>lifetime [hours]</t>
  </si>
  <si>
    <t>lifetime [years]</t>
  </si>
  <si>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</si>
  <si>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</si>
  <si>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</si>
  <si>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</si>
  <si>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</si>
  <si>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</si>
  <si>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</si>
  <si>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</si>
  <si>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</si>
  <si>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</si>
  <si>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</si>
  <si>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</si>
  <si>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</si>
  <si>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</si>
  <si>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</si>
  <si>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</si>
  <si>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</si>
  <si>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</si>
  <si>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</si>
  <si>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</si>
  <si>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Capital cost in 2010 EUR/kW</t>
  </si>
  <si>
    <t>Onshore</t>
  </si>
  <si>
    <t>WIND</t>
  </si>
  <si>
    <t>Offshore</t>
  </si>
  <si>
    <t>PV</t>
  </si>
  <si>
    <t>SOLAR</t>
  </si>
  <si>
    <t>CSP</t>
  </si>
  <si>
    <t>BIO</t>
  </si>
  <si>
    <t>GEO</t>
  </si>
  <si>
    <t>Pump storage or reservoir</t>
  </si>
  <si>
    <t>HYDRO</t>
  </si>
  <si>
    <t>Run-of-river</t>
  </si>
  <si>
    <t>MARINE</t>
  </si>
  <si>
    <t>Wave and Tidal</t>
  </si>
  <si>
    <t>NUCLEAR</t>
  </si>
  <si>
    <t>Nuclear - Generation 3 19</t>
  </si>
  <si>
    <t>Coal - IGCC w/o CCTS</t>
  </si>
  <si>
    <t>Coal - IGCC W CCTS 20</t>
  </si>
  <si>
    <t>Coal - PC w/o CCTS (Advanced/SuperC)</t>
  </si>
  <si>
    <t>Coal - PC W CCTS (Advanced/SuperC)</t>
  </si>
  <si>
    <t>COAL</t>
  </si>
  <si>
    <t>Coal - PC w/o CCTS (Subcritical)</t>
  </si>
  <si>
    <t>Coal - PC W CCTS (Subcritical)</t>
  </si>
  <si>
    <t>Lignite - Advanced (BoA) w/o CCTS</t>
  </si>
  <si>
    <t>Lignite - Advanced (BoA) W CCTS</t>
  </si>
  <si>
    <t>Gas CC w/o CCTS</t>
  </si>
  <si>
    <t>Gas CC W CCTS</t>
  </si>
  <si>
    <t>GAS</t>
  </si>
  <si>
    <t>Gas Combustion Turbine w/o CCTS</t>
  </si>
  <si>
    <t>Gas Combustions Turbine W CCTS</t>
  </si>
  <si>
    <t>Gas Steam Turbine w/o CCTS</t>
  </si>
  <si>
    <t>Oil Combustion Turbine w/o CCTS</t>
  </si>
  <si>
    <t>OIL</t>
  </si>
  <si>
    <t>Oil Steam Turbine w/o CCTS</t>
  </si>
  <si>
    <t>Fixed O&amp;M cost in 2010 EUR/kW/year</t>
  </si>
  <si>
    <t>Nuclear - Generation 3</t>
  </si>
  <si>
    <t>Coal - IGCC W CCTS</t>
  </si>
  <si>
    <t>Econstor</t>
  </si>
  <si>
    <t>Efficiency in %</t>
  </si>
  <si>
    <t>Pump storage (round-trip efficiency)</t>
  </si>
  <si>
    <t>Run-of-river or reservoir</t>
  </si>
  <si>
    <t>Coal - IGCC w CCTS</t>
  </si>
  <si>
    <t>Coal - PC w CCTS (Advanced/SuperC)</t>
  </si>
  <si>
    <t>Coal - PC w CCTS (Subcritical)</t>
  </si>
  <si>
    <t>Lignite - Advanced (BoA) w CCTS</t>
  </si>
  <si>
    <t>Gas CC w CCTS</t>
  </si>
  <si>
    <t>Gas Combustions Turbine w CCTS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</si>
  <si>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</si>
  <si>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</si>
  <si>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</si>
  <si>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</si>
  <si>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</si>
  <si>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</si>
  <si>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</si>
  <si>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</si>
  <si>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</si>
  <si>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capital_cost 2020 [€/kW]</t>
  </si>
  <si>
    <t>capital_cost 2020 [€/MW]</t>
  </si>
  <si>
    <t>fixedOM 2010 [€/kW/year]</t>
  </si>
  <si>
    <t>varOM 2010 [€/MWh]</t>
  </si>
  <si>
    <t>efficiency 2020</t>
  </si>
  <si>
    <t>fixedOM 2010 [€/MW/hour]</t>
  </si>
  <si>
    <t>node</t>
  </si>
  <si>
    <t>unit</t>
  </si>
  <si>
    <t>has_state</t>
  </si>
  <si>
    <t>True</t>
  </si>
  <si>
    <t>Storage Capacity [MWh]</t>
  </si>
  <si>
    <t>Reservoir - Power plant efficiency</t>
  </si>
  <si>
    <t>is_active</t>
  </si>
  <si>
    <t>tax_in_unit_flow [EUR/MWh]</t>
  </si>
  <si>
    <t>Technology</t>
  </si>
  <si>
    <t>investment_optimization</t>
  </si>
  <si>
    <t>number_of_units</t>
  </si>
  <si>
    <t>candidate_units</t>
  </si>
  <si>
    <t>unit_investment_variable_type</t>
  </si>
  <si>
    <t>unit_investment_cost 2020 [EUR/kW]</t>
  </si>
  <si>
    <t>unit_investment_cost 2020 [EUR/MW/year]</t>
  </si>
  <si>
    <t>unit_investment_variable_type_integer</t>
  </si>
  <si>
    <t>alternative</t>
  </si>
  <si>
    <t>Base</t>
  </si>
  <si>
    <t>fuel</t>
  </si>
  <si>
    <t>biomass</t>
  </si>
  <si>
    <t>other</t>
  </si>
  <si>
    <t>coal</t>
  </si>
  <si>
    <t>gas</t>
  </si>
  <si>
    <t>oil</t>
  </si>
  <si>
    <t>peat</t>
  </si>
  <si>
    <t>uranium</t>
  </si>
  <si>
    <t>emissions [CO2 tons / MWh of electricity]</t>
  </si>
  <si>
    <t>waste</t>
  </si>
  <si>
    <t>emission factor [CO2 tons / MWh of fuel]</t>
  </si>
  <si>
    <t>deprecated</t>
  </si>
  <si>
    <t>fuel_cost [€/MWh elec]</t>
  </si>
  <si>
    <t>total vom</t>
  </si>
  <si>
    <t>BAL_hydro-pumped_ext</t>
  </si>
  <si>
    <t>NOR_hydro-pumped_Aurland_III</t>
  </si>
  <si>
    <t>NOR_hydro-pumped_Brattingfoss</t>
  </si>
  <si>
    <t>NOR_hydro-pumped_Duge</t>
  </si>
  <si>
    <t>NOR_hydro-pumped_Herva</t>
  </si>
  <si>
    <t>NOR_hydro-pumped_Jukla</t>
  </si>
  <si>
    <t>NOR_hydro-pumped_Nygard</t>
  </si>
  <si>
    <t>NOR_hydro-pumped_Saurdal</t>
  </si>
  <si>
    <t>NOR_hydro-pumped_Stølsdal</t>
  </si>
  <si>
    <t>NOR_hydro-pumped_Tevla</t>
  </si>
  <si>
    <t>NOR_hydro-pumped_Øljusjøen</t>
  </si>
  <si>
    <t>Variable O&amp;M cost in 2010 EUR/MWh</t>
  </si>
  <si>
    <t>JRC</t>
  </si>
  <si>
    <t>Danish Energy Agency</t>
  </si>
  <si>
    <t>initial_node_state</t>
  </si>
  <si>
    <t>source</t>
  </si>
  <si>
    <t>IPCC 2006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</si>
</sst>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/>
    <xf numFmtId="0" fontId="2" fillId="3" borderId="0" xfId="2"/>
    <xf numFmtId="0" fontId="1" fillId="2" borderId="0" xfId="1"/>
    <xf numFmtId="2" fontId="0" fillId="0" borderId="0" xfId="0" applyNumberFormat="1"/>
    <xf numFmtId="0" fontId="3" fillId="4" borderId="0" xfId="3"/>
    <xf numFmtId="0" fontId="3" fillId="5" borderId="0" xfId="4"/>
    <xf numFmtId="0" fontId="6" fillId="0" borderId="0" xfId="5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</cellXfs>
  <cellStyles count="6">
    <cellStyle name="20% - Accent1" xfId="3" builtinId="30"/>
    <cellStyle name="40% - Accent1" xfId="4" builtinId="31"/>
    <cellStyle name="Bad" xfId="2" builtinId="27"/>
    <cellStyle name="Good" xfId="1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pcc-nggip.iges.or.jp/EFDB/find_ef.php?reset=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s.dk/en/our-services/projections-and-models/technology-data" TargetMode="External"/><Relationship Id="rId2" Type="http://schemas.openxmlformats.org/officeDocument/2006/relationships/hyperlink" Target="https://publications.jrc.ec.europa.eu/repository/handle/JRC92496" TargetMode="External"/><Relationship Id="rId1" Type="http://schemas.openxmlformats.org/officeDocument/2006/relationships/hyperlink" Target="https://www.econstor.eu/handle/10419/8034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s.dk/en/our-services/projections-and-models/technology-data" TargetMode="External"/><Relationship Id="rId2" Type="http://schemas.openxmlformats.org/officeDocument/2006/relationships/hyperlink" Target="https://publications.jrc.ec.europa.eu/repository/handle/JRC92496" TargetMode="External"/><Relationship Id="rId1" Type="http://schemas.openxmlformats.org/officeDocument/2006/relationships/hyperlink" Target="https://www.econstor.eu/handle/10419/8034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s.dk/en/our-services/projections-and-models/technology-data" TargetMode="External"/><Relationship Id="rId2" Type="http://schemas.openxmlformats.org/officeDocument/2006/relationships/hyperlink" Target="https://publications.jrc.ec.europa.eu/repository/handle/JRC92496" TargetMode="External"/><Relationship Id="rId1" Type="http://schemas.openxmlformats.org/officeDocument/2006/relationships/hyperlink" Target="https://www.econstor.eu/handle/10419/8034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knowledge.worldbank.org/handle/10986/29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5AD4-B9F7-457E-A2EB-81E88EC6E11A}">
  <dimension ref="A1:R47"/>
  <sheetViews>
    <sheetView tabSelected="1" zoomScaleNormal="100" workbookViewId="0">
      <pane xSplit="1" topLeftCell="B1" activePane="topRight" state="frozen"/>
      <selection pane="topRight" activeCell="I4" sqref="I4"/>
    </sheetView>
  </sheetViews>
  <sheetFormatPr defaultColWidth="11.42578125" defaultRowHeight="15" x14ac:dyDescent="0.25"/>
  <cols>
    <col min="1" max="1" width="31" bestFit="1" customWidth="1"/>
    <col min="2" max="2" width="22.7109375" bestFit="1" customWidth="1"/>
    <col min="3" max="3" width="23.42578125" bestFit="1" customWidth="1"/>
    <col min="4" max="4" width="24.7109375" bestFit="1" customWidth="1"/>
    <col min="5" max="5" width="25.42578125" bestFit="1" customWidth="1"/>
    <col min="6" max="6" width="19.85546875" bestFit="1" customWidth="1"/>
    <col min="7" max="7" width="21.85546875" bestFit="1" customWidth="1"/>
    <col min="8" max="8" width="14.140625" bestFit="1" customWidth="1"/>
    <col min="9" max="9" width="38" bestFit="1" customWidth="1"/>
    <col min="10" max="10" width="32.85546875" style="3" customWidth="1"/>
    <col min="11" max="11" width="23.7109375" bestFit="1" customWidth="1"/>
    <col min="12" max="12" width="14.7109375" bestFit="1" customWidth="1"/>
    <col min="13" max="13" width="15" bestFit="1" customWidth="1"/>
    <col min="14" max="14" width="34.28515625" bestFit="1" customWidth="1"/>
    <col min="15" max="15" width="39.85546875" style="3" bestFit="1" customWidth="1"/>
    <col min="16" max="16" width="16.42578125" bestFit="1" customWidth="1"/>
    <col min="17" max="17" width="15.140625" bestFit="1" customWidth="1"/>
    <col min="18" max="18" width="40.42578125" bestFit="1" customWidth="1"/>
  </cols>
  <sheetData>
    <row r="1" spans="1:18" s="3" customFormat="1" x14ac:dyDescent="0.25">
      <c r="A1" s="3" t="s">
        <v>98</v>
      </c>
      <c r="B1" s="3" t="s">
        <v>84</v>
      </c>
      <c r="C1" s="3" t="s">
        <v>85</v>
      </c>
      <c r="D1" s="3" t="s">
        <v>86</v>
      </c>
      <c r="E1" s="3" t="s">
        <v>89</v>
      </c>
      <c r="F1" s="3" t="s">
        <v>87</v>
      </c>
      <c r="G1" s="3" t="s">
        <v>0</v>
      </c>
      <c r="H1" s="3" t="s">
        <v>88</v>
      </c>
      <c r="I1" s="3" t="s">
        <v>118</v>
      </c>
      <c r="J1" s="3" t="s">
        <v>108</v>
      </c>
      <c r="K1" s="8" t="s">
        <v>99</v>
      </c>
      <c r="L1" s="3" t="s">
        <v>7</v>
      </c>
      <c r="M1" s="3" t="s">
        <v>6</v>
      </c>
      <c r="N1" s="3" t="s">
        <v>103</v>
      </c>
      <c r="O1" s="3" t="s">
        <v>104</v>
      </c>
      <c r="P1" s="3" t="s">
        <v>100</v>
      </c>
      <c r="Q1" s="3" t="s">
        <v>101</v>
      </c>
      <c r="R1" s="3" t="s">
        <v>102</v>
      </c>
    </row>
    <row r="2" spans="1:18" s="3" customFormat="1" x14ac:dyDescent="0.25">
      <c r="A2" s="5" t="s">
        <v>8</v>
      </c>
      <c r="B2" s="3">
        <f>capital_cost!E6</f>
        <v>2350</v>
      </c>
      <c r="C2" s="3">
        <f>B2*1000</f>
        <v>2350000</v>
      </c>
      <c r="D2" s="3">
        <f>OM_cost!D6</f>
        <v>100</v>
      </c>
      <c r="E2" s="6">
        <f>D2*1000/8760</f>
        <v>11.415525114155251</v>
      </c>
      <c r="F2" s="3">
        <f>OM_cost!C6</f>
        <v>0</v>
      </c>
      <c r="G2" s="3">
        <v>31</v>
      </c>
      <c r="H2" s="3">
        <f>efficiency!E6/100</f>
        <v>0.45899999999999996</v>
      </c>
      <c r="I2" s="6">
        <f>112*0.0036</f>
        <v>0.4032</v>
      </c>
      <c r="J2" s="3" t="s">
        <v>109</v>
      </c>
      <c r="K2" s="7"/>
      <c r="L2" s="3">
        <v>25</v>
      </c>
      <c r="M2" s="3" t="str">
        <f>ROUND(L2*8760,0)&amp;"h"</f>
        <v>219000h</v>
      </c>
      <c r="N2">
        <v>2350</v>
      </c>
      <c r="O2" s="2">
        <f t="shared" ref="O2:O21" si="0">N2*1000/L2</f>
        <v>94000</v>
      </c>
      <c r="P2" s="3">
        <v>0</v>
      </c>
      <c r="Q2" s="3">
        <v>1</v>
      </c>
      <c r="R2" s="3" t="s">
        <v>105</v>
      </c>
    </row>
    <row r="3" spans="1:18" s="3" customFormat="1" x14ac:dyDescent="0.25">
      <c r="A3" s="5" t="s">
        <v>9</v>
      </c>
      <c r="B3" s="3">
        <f>capital_cost!E18</f>
        <v>1500</v>
      </c>
      <c r="C3" s="3">
        <f t="shared" ref="C3:C20" si="1">B3*1000</f>
        <v>1500000</v>
      </c>
      <c r="D3" s="3">
        <f>OM_cost!D18</f>
        <v>30</v>
      </c>
      <c r="E3" s="6">
        <f t="shared" ref="E3:E20" si="2">D3*1000/8760</f>
        <v>3.4246575342465753</v>
      </c>
      <c r="F3" s="3">
        <f>OM_cost!C18</f>
        <v>7</v>
      </c>
      <c r="G3" s="3">
        <v>8</v>
      </c>
      <c r="H3" s="3">
        <f>efficiency!E18/100</f>
        <v>0.439</v>
      </c>
      <c r="I3" s="6">
        <f>101*0.0036</f>
        <v>0.36359999999999998</v>
      </c>
      <c r="J3" s="3" t="s">
        <v>111</v>
      </c>
      <c r="K3" s="7"/>
      <c r="L3" s="3">
        <v>40</v>
      </c>
      <c r="M3" s="3" t="str">
        <f t="shared" ref="M3:M20" si="3">ROUND(L3*8760,0)&amp;"h"</f>
        <v>350400h</v>
      </c>
      <c r="N3">
        <v>1500</v>
      </c>
      <c r="O3" s="2">
        <f t="shared" si="0"/>
        <v>37500</v>
      </c>
      <c r="P3" s="3">
        <v>0</v>
      </c>
      <c r="Q3" s="3">
        <v>1</v>
      </c>
      <c r="R3" s="3" t="s">
        <v>105</v>
      </c>
    </row>
    <row r="4" spans="1:18" s="3" customFormat="1" x14ac:dyDescent="0.25">
      <c r="A4" s="4" t="s">
        <v>10</v>
      </c>
      <c r="B4" s="3">
        <f>B5</f>
        <v>800</v>
      </c>
      <c r="C4" s="3">
        <f t="shared" si="1"/>
        <v>800000</v>
      </c>
      <c r="D4" s="3">
        <f>D5</f>
        <v>10</v>
      </c>
      <c r="E4" s="6">
        <f t="shared" si="2"/>
        <v>1.1415525114155252</v>
      </c>
      <c r="F4" s="3">
        <f>F5</f>
        <v>10</v>
      </c>
      <c r="G4" s="3">
        <f>G5</f>
        <v>23.2</v>
      </c>
      <c r="H4" s="3">
        <v>0.4</v>
      </c>
      <c r="I4" s="6">
        <f>56.1*0.0036</f>
        <v>0.20196</v>
      </c>
      <c r="J4" s="3" t="s">
        <v>112</v>
      </c>
      <c r="K4" s="7"/>
      <c r="L4" s="3">
        <v>25</v>
      </c>
      <c r="M4" s="3" t="str">
        <f t="shared" si="3"/>
        <v>219000h</v>
      </c>
      <c r="N4" s="3">
        <v>800</v>
      </c>
      <c r="O4" s="2">
        <f t="shared" si="0"/>
        <v>32000</v>
      </c>
      <c r="P4" s="3">
        <v>0</v>
      </c>
      <c r="Q4" s="3">
        <v>1</v>
      </c>
      <c r="R4" s="3" t="s">
        <v>105</v>
      </c>
    </row>
    <row r="5" spans="1:18" s="3" customFormat="1" x14ac:dyDescent="0.25">
      <c r="A5" s="5" t="s">
        <v>11</v>
      </c>
      <c r="B5" s="3">
        <v>800</v>
      </c>
      <c r="C5" s="3">
        <f t="shared" si="1"/>
        <v>800000</v>
      </c>
      <c r="D5" s="3">
        <v>10</v>
      </c>
      <c r="E5" s="6">
        <f t="shared" si="2"/>
        <v>1.1415525114155252</v>
      </c>
      <c r="F5" s="3">
        <v>10</v>
      </c>
      <c r="G5" s="3">
        <v>23.2</v>
      </c>
      <c r="H5" s="3">
        <v>0.4</v>
      </c>
      <c r="I5" s="6">
        <f>I4</f>
        <v>0.20196</v>
      </c>
      <c r="J5" s="3" t="s">
        <v>112</v>
      </c>
      <c r="K5" s="7"/>
      <c r="L5" s="3">
        <v>25</v>
      </c>
      <c r="M5" s="3" t="str">
        <f t="shared" si="3"/>
        <v>219000h</v>
      </c>
      <c r="N5">
        <v>800</v>
      </c>
      <c r="O5" s="2">
        <f t="shared" si="0"/>
        <v>32000</v>
      </c>
      <c r="P5" s="3">
        <v>0</v>
      </c>
      <c r="Q5" s="3">
        <v>1</v>
      </c>
      <c r="R5" s="3" t="s">
        <v>105</v>
      </c>
    </row>
    <row r="6" spans="1:18" s="3" customFormat="1" x14ac:dyDescent="0.25">
      <c r="A6" s="5" t="s">
        <v>12</v>
      </c>
      <c r="B6" s="3">
        <v>2000</v>
      </c>
      <c r="C6" s="3">
        <f t="shared" si="1"/>
        <v>2000000</v>
      </c>
      <c r="D6" s="3">
        <v>20</v>
      </c>
      <c r="E6" s="6">
        <f t="shared" si="2"/>
        <v>2.2831050228310503</v>
      </c>
      <c r="F6" s="3">
        <v>7</v>
      </c>
      <c r="G6" s="3">
        <v>11</v>
      </c>
      <c r="H6" s="3">
        <v>0.4</v>
      </c>
      <c r="I6" s="6">
        <f>I3</f>
        <v>0.36359999999999998</v>
      </c>
      <c r="J6" s="3" t="s">
        <v>111</v>
      </c>
      <c r="K6" s="7"/>
      <c r="L6" s="3">
        <v>40</v>
      </c>
      <c r="M6" s="3" t="str">
        <f t="shared" si="3"/>
        <v>350400h</v>
      </c>
      <c r="N6">
        <v>1800</v>
      </c>
      <c r="O6" s="2">
        <f t="shared" si="0"/>
        <v>45000</v>
      </c>
      <c r="P6" s="3">
        <v>0</v>
      </c>
      <c r="Q6" s="3">
        <v>1</v>
      </c>
      <c r="R6" s="3" t="s">
        <v>105</v>
      </c>
    </row>
    <row r="7" spans="1:18" s="3" customFormat="1" x14ac:dyDescent="0.25">
      <c r="A7" s="5" t="s">
        <v>13</v>
      </c>
      <c r="B7" s="3">
        <f>1000</f>
        <v>1000</v>
      </c>
      <c r="C7" s="3">
        <f t="shared" si="1"/>
        <v>1000000</v>
      </c>
      <c r="D7" s="3">
        <v>6</v>
      </c>
      <c r="E7" s="6">
        <f t="shared" si="2"/>
        <v>0.68493150684931503</v>
      </c>
      <c r="F7" s="3">
        <v>3</v>
      </c>
      <c r="G7" s="3">
        <v>30</v>
      </c>
      <c r="H7" s="3">
        <v>0.4</v>
      </c>
      <c r="I7" s="6">
        <f>74*0.0036</f>
        <v>0.26639999999999997</v>
      </c>
      <c r="J7" s="3" t="s">
        <v>113</v>
      </c>
      <c r="K7" s="7"/>
      <c r="L7" s="3">
        <v>40</v>
      </c>
      <c r="M7" s="3" t="str">
        <f t="shared" si="3"/>
        <v>350400h</v>
      </c>
      <c r="N7">
        <v>400</v>
      </c>
      <c r="O7" s="2">
        <f t="shared" si="0"/>
        <v>10000</v>
      </c>
      <c r="P7" s="3">
        <v>0</v>
      </c>
      <c r="Q7" s="3">
        <v>1</v>
      </c>
      <c r="R7" s="3" t="s">
        <v>105</v>
      </c>
    </row>
    <row r="8" spans="1:18" s="3" customFormat="1" x14ac:dyDescent="0.25">
      <c r="A8" s="5" t="s">
        <v>14</v>
      </c>
      <c r="B8" s="3">
        <f>1000</f>
        <v>1000</v>
      </c>
      <c r="C8" s="3">
        <f t="shared" si="1"/>
        <v>1000000</v>
      </c>
      <c r="D8" s="3">
        <v>6</v>
      </c>
      <c r="E8" s="6">
        <f t="shared" si="2"/>
        <v>0.68493150684931503</v>
      </c>
      <c r="F8" s="3">
        <v>3</v>
      </c>
      <c r="G8" s="3">
        <v>26.5</v>
      </c>
      <c r="H8" s="3">
        <v>0.33</v>
      </c>
      <c r="I8" s="6">
        <f>I7</f>
        <v>0.26639999999999997</v>
      </c>
      <c r="J8" s="3" t="s">
        <v>113</v>
      </c>
      <c r="K8" s="7"/>
      <c r="L8" s="3">
        <v>40</v>
      </c>
      <c r="M8" s="3" t="str">
        <f t="shared" si="3"/>
        <v>350400h</v>
      </c>
      <c r="N8" s="3">
        <v>1870</v>
      </c>
      <c r="O8" s="2">
        <f t="shared" si="0"/>
        <v>46750</v>
      </c>
      <c r="P8" s="3">
        <v>0</v>
      </c>
      <c r="Q8" s="3">
        <v>1</v>
      </c>
      <c r="R8" s="3" t="s">
        <v>105</v>
      </c>
    </row>
    <row r="9" spans="1:18" s="3" customFormat="1" x14ac:dyDescent="0.25">
      <c r="A9" s="5" t="s">
        <v>15</v>
      </c>
      <c r="B9" s="3">
        <v>1500</v>
      </c>
      <c r="C9" s="3">
        <f t="shared" si="1"/>
        <v>1500000</v>
      </c>
      <c r="D9" s="3">
        <v>15</v>
      </c>
      <c r="E9" s="6">
        <f t="shared" si="2"/>
        <v>1.7123287671232876</v>
      </c>
      <c r="F9" s="3">
        <v>10</v>
      </c>
      <c r="G9" s="3">
        <v>8.9</v>
      </c>
      <c r="H9" s="3">
        <v>0.4</v>
      </c>
      <c r="I9" s="6">
        <f>106*0.0036</f>
        <v>0.38159999999999999</v>
      </c>
      <c r="J9" s="3" t="s">
        <v>114</v>
      </c>
      <c r="K9" s="7"/>
      <c r="L9" s="3">
        <v>25</v>
      </c>
      <c r="M9" s="3" t="str">
        <f t="shared" si="3"/>
        <v>219000h</v>
      </c>
      <c r="N9" s="3">
        <v>1500</v>
      </c>
      <c r="O9" s="2">
        <f t="shared" si="0"/>
        <v>60000</v>
      </c>
      <c r="P9" s="3">
        <v>0</v>
      </c>
      <c r="Q9" s="3">
        <v>1</v>
      </c>
      <c r="R9" s="3" t="s">
        <v>105</v>
      </c>
    </row>
    <row r="10" spans="1:18" s="3" customFormat="1" x14ac:dyDescent="0.25">
      <c r="A10" s="5" t="s">
        <v>16</v>
      </c>
      <c r="B10" s="3">
        <f>capital_cost!E7</f>
        <v>3775</v>
      </c>
      <c r="C10" s="3">
        <f t="shared" si="1"/>
        <v>3775000</v>
      </c>
      <c r="D10" s="3">
        <f>OM_cost!D7</f>
        <v>80</v>
      </c>
      <c r="E10" s="6">
        <f t="shared" si="2"/>
        <v>9.1324200913242013</v>
      </c>
      <c r="F10" s="3">
        <f>OM_cost!C7</f>
        <v>0</v>
      </c>
      <c r="H10" s="3">
        <f>efficiency!E7/100</f>
        <v>0.23499999999999999</v>
      </c>
      <c r="K10" s="7"/>
      <c r="L10" s="3">
        <v>30</v>
      </c>
      <c r="M10" s="3" t="str">
        <f t="shared" si="3"/>
        <v>262800h</v>
      </c>
      <c r="N10">
        <v>3775</v>
      </c>
      <c r="O10" s="2">
        <f t="shared" si="0"/>
        <v>125833.33333333333</v>
      </c>
      <c r="P10" s="3">
        <v>0</v>
      </c>
      <c r="Q10" s="3">
        <v>1</v>
      </c>
      <c r="R10" s="3" t="s">
        <v>105</v>
      </c>
    </row>
    <row r="11" spans="1:18" s="3" customFormat="1" x14ac:dyDescent="0.25">
      <c r="A11" s="5" t="s">
        <v>17</v>
      </c>
      <c r="B11" s="3">
        <f>capital_cost!E8</f>
        <v>2000</v>
      </c>
      <c r="C11" s="3">
        <f t="shared" si="1"/>
        <v>2000000</v>
      </c>
      <c r="D11" s="3">
        <f>OM_cost!D8</f>
        <v>20</v>
      </c>
      <c r="E11" s="6">
        <f t="shared" si="2"/>
        <v>2.2831050228310503</v>
      </c>
      <c r="F11" s="3">
        <f>OM_cost!C8</f>
        <v>0</v>
      </c>
      <c r="H11" s="3">
        <f>efficiency!E8/100</f>
        <v>0.75</v>
      </c>
      <c r="K11" s="7"/>
      <c r="L11" s="3">
        <v>80</v>
      </c>
      <c r="M11" s="3" t="str">
        <f t="shared" si="3"/>
        <v>700800h</v>
      </c>
      <c r="N11">
        <v>2000</v>
      </c>
      <c r="O11" s="2">
        <f t="shared" si="0"/>
        <v>25000</v>
      </c>
      <c r="P11" s="3">
        <v>0</v>
      </c>
      <c r="Q11" s="3">
        <v>1</v>
      </c>
      <c r="R11" s="3" t="s">
        <v>105</v>
      </c>
    </row>
    <row r="12" spans="1:18" s="3" customFormat="1" x14ac:dyDescent="0.25">
      <c r="A12" s="5" t="s">
        <v>18</v>
      </c>
      <c r="B12" s="3">
        <f>capital_cost!E9</f>
        <v>3000</v>
      </c>
      <c r="C12" s="3">
        <f t="shared" si="1"/>
        <v>3000000</v>
      </c>
      <c r="D12" s="3">
        <f>OM_cost!D9</f>
        <v>60</v>
      </c>
      <c r="E12" s="6">
        <f t="shared" si="2"/>
        <v>6.8493150684931505</v>
      </c>
      <c r="F12" s="3">
        <f>OM_cost!C9</f>
        <v>0</v>
      </c>
      <c r="H12" s="3">
        <f>efficiency!E9/100</f>
        <v>0.9</v>
      </c>
      <c r="K12" s="7"/>
      <c r="L12" s="3">
        <v>80</v>
      </c>
      <c r="M12" s="3" t="str">
        <f t="shared" si="3"/>
        <v>700800h</v>
      </c>
      <c r="N12">
        <v>3000</v>
      </c>
      <c r="O12" s="2">
        <f t="shared" si="0"/>
        <v>37500</v>
      </c>
      <c r="P12" s="3">
        <v>0</v>
      </c>
      <c r="Q12" s="3">
        <v>1</v>
      </c>
      <c r="R12" s="3" t="s">
        <v>105</v>
      </c>
    </row>
    <row r="13" spans="1:18" s="3" customFormat="1" x14ac:dyDescent="0.25">
      <c r="A13" s="5" t="s">
        <v>20</v>
      </c>
      <c r="B13" s="3">
        <f>capital_cost!E10</f>
        <v>4246</v>
      </c>
      <c r="C13" s="3">
        <f t="shared" si="1"/>
        <v>4246000</v>
      </c>
      <c r="D13" s="3">
        <f>OM_cost!D10</f>
        <v>150</v>
      </c>
      <c r="E13" s="6">
        <f t="shared" si="2"/>
        <v>17.123287671232877</v>
      </c>
      <c r="F13" s="3">
        <f>OM_cost!C10</f>
        <v>0</v>
      </c>
      <c r="H13" s="3">
        <f>efficiency!E10/100</f>
        <v>1</v>
      </c>
      <c r="K13" s="7"/>
      <c r="L13" s="3">
        <v>30</v>
      </c>
      <c r="M13" s="3" t="str">
        <f t="shared" si="3"/>
        <v>262800h</v>
      </c>
      <c r="N13">
        <v>4246</v>
      </c>
      <c r="O13" s="2">
        <f t="shared" si="0"/>
        <v>141533.33333333334</v>
      </c>
      <c r="P13" s="3">
        <v>0</v>
      </c>
      <c r="Q13" s="3">
        <v>1</v>
      </c>
      <c r="R13" s="3" t="s">
        <v>105</v>
      </c>
    </row>
    <row r="14" spans="1:18" s="3" customFormat="1" x14ac:dyDescent="0.25">
      <c r="A14" s="5" t="s">
        <v>21</v>
      </c>
      <c r="B14" s="3">
        <f>capital_cost!E11</f>
        <v>6000</v>
      </c>
      <c r="C14" s="3">
        <f t="shared" si="1"/>
        <v>6000000</v>
      </c>
      <c r="D14" s="3">
        <v>120</v>
      </c>
      <c r="E14" s="6">
        <f t="shared" si="2"/>
        <v>13.698630136986301</v>
      </c>
      <c r="F14" s="3">
        <f>OM_cost!C11</f>
        <v>10</v>
      </c>
      <c r="G14" s="3">
        <v>10</v>
      </c>
      <c r="H14" s="3">
        <f>efficiency!E11/100</f>
        <v>0.33299999999999996</v>
      </c>
      <c r="I14" s="3">
        <v>0</v>
      </c>
      <c r="J14" s="3" t="s">
        <v>115</v>
      </c>
      <c r="K14" s="7"/>
      <c r="L14" s="3">
        <v>60</v>
      </c>
      <c r="M14" s="3" t="str">
        <f t="shared" si="3"/>
        <v>525600h</v>
      </c>
      <c r="N14">
        <v>6000</v>
      </c>
      <c r="O14" s="2">
        <f t="shared" si="0"/>
        <v>100000</v>
      </c>
      <c r="P14" s="3">
        <v>0</v>
      </c>
      <c r="Q14" s="3">
        <v>1</v>
      </c>
      <c r="R14" s="3" t="s">
        <v>105</v>
      </c>
    </row>
    <row r="15" spans="1:18" s="3" customFormat="1" x14ac:dyDescent="0.25">
      <c r="A15" s="4" t="s">
        <v>22</v>
      </c>
      <c r="B15" s="3">
        <v>2000</v>
      </c>
      <c r="C15" s="3">
        <f t="shared" si="1"/>
        <v>2000000</v>
      </c>
      <c r="D15" s="3">
        <v>40</v>
      </c>
      <c r="E15" s="6">
        <f t="shared" si="2"/>
        <v>4.5662100456621006</v>
      </c>
      <c r="F15" s="3">
        <v>10</v>
      </c>
      <c r="G15" s="3">
        <v>10</v>
      </c>
      <c r="H15" s="3">
        <v>0.5</v>
      </c>
      <c r="I15" s="6">
        <f>90*0.0036</f>
        <v>0.32400000000000001</v>
      </c>
      <c r="J15" s="3" t="s">
        <v>110</v>
      </c>
      <c r="K15" s="7"/>
      <c r="L15" s="3">
        <v>25</v>
      </c>
      <c r="M15" s="3" t="str">
        <f t="shared" si="3"/>
        <v>219000h</v>
      </c>
      <c r="N15" s="3">
        <v>3000</v>
      </c>
      <c r="O15" s="2">
        <f t="shared" si="0"/>
        <v>120000</v>
      </c>
      <c r="P15" s="3">
        <v>0</v>
      </c>
      <c r="Q15" s="3">
        <v>1</v>
      </c>
      <c r="R15" s="3" t="s">
        <v>105</v>
      </c>
    </row>
    <row r="16" spans="1:18" s="3" customFormat="1" x14ac:dyDescent="0.25">
      <c r="A16" s="4" t="s">
        <v>23</v>
      </c>
      <c r="B16" s="3">
        <v>1500</v>
      </c>
      <c r="C16" s="3">
        <f t="shared" si="1"/>
        <v>1500000</v>
      </c>
      <c r="D16" s="3">
        <v>40</v>
      </c>
      <c r="E16" s="6">
        <f t="shared" si="2"/>
        <v>4.5662100456621006</v>
      </c>
      <c r="F16" s="3">
        <v>0</v>
      </c>
      <c r="H16" s="3">
        <v>1</v>
      </c>
      <c r="K16" s="7"/>
      <c r="L16" s="3">
        <v>25</v>
      </c>
      <c r="M16" s="3" t="str">
        <f t="shared" si="3"/>
        <v>219000h</v>
      </c>
      <c r="N16" s="3">
        <v>2000</v>
      </c>
      <c r="O16" s="2">
        <f t="shared" si="0"/>
        <v>80000</v>
      </c>
      <c r="P16" s="3">
        <v>0</v>
      </c>
      <c r="Q16" s="3">
        <v>1</v>
      </c>
      <c r="R16" s="3" t="s">
        <v>105</v>
      </c>
    </row>
    <row r="17" spans="1:18" s="3" customFormat="1" x14ac:dyDescent="0.25">
      <c r="A17" s="5" t="s">
        <v>24</v>
      </c>
      <c r="B17" s="3">
        <f>capital_cost!E4</f>
        <v>750</v>
      </c>
      <c r="C17" s="3">
        <f t="shared" si="1"/>
        <v>750000</v>
      </c>
      <c r="D17" s="3">
        <f>OM_cost!D4</f>
        <v>25</v>
      </c>
      <c r="E17" s="6">
        <f t="shared" si="2"/>
        <v>2.8538812785388128</v>
      </c>
      <c r="F17" s="3">
        <f>OM_cost!C4</f>
        <v>0</v>
      </c>
      <c r="H17" s="3">
        <f>efficiency!E4/100</f>
        <v>1</v>
      </c>
      <c r="K17" s="7"/>
      <c r="L17" s="3">
        <v>25</v>
      </c>
      <c r="M17" s="3" t="str">
        <f t="shared" si="3"/>
        <v>219000h</v>
      </c>
      <c r="N17">
        <v>750</v>
      </c>
      <c r="O17" s="2">
        <f t="shared" si="0"/>
        <v>30000</v>
      </c>
      <c r="P17" s="3">
        <v>0</v>
      </c>
      <c r="Q17" s="3">
        <v>1</v>
      </c>
      <c r="R17" s="3" t="s">
        <v>105</v>
      </c>
    </row>
    <row r="18" spans="1:18" s="3" customFormat="1" x14ac:dyDescent="0.25">
      <c r="A18" s="4" t="s">
        <v>25</v>
      </c>
      <c r="B18" s="3">
        <f>B2</f>
        <v>2350</v>
      </c>
      <c r="C18" s="3">
        <f t="shared" si="1"/>
        <v>2350000</v>
      </c>
      <c r="D18" s="3">
        <f>D2</f>
        <v>100</v>
      </c>
      <c r="E18" s="6">
        <f t="shared" si="2"/>
        <v>11.415525114155251</v>
      </c>
      <c r="F18" s="3">
        <f>F2</f>
        <v>0</v>
      </c>
      <c r="G18" s="3">
        <v>0</v>
      </c>
      <c r="H18" s="3">
        <f>H2</f>
        <v>0.45899999999999996</v>
      </c>
      <c r="I18" s="6">
        <f>96*0.0036</f>
        <v>0.34560000000000002</v>
      </c>
      <c r="J18" s="3" t="s">
        <v>117</v>
      </c>
      <c r="K18" s="7"/>
      <c r="L18" s="3">
        <v>25</v>
      </c>
      <c r="M18" s="3" t="str">
        <f t="shared" si="3"/>
        <v>219000h</v>
      </c>
      <c r="N18" s="3">
        <f>N2</f>
        <v>2350</v>
      </c>
      <c r="O18" s="2">
        <f t="shared" si="0"/>
        <v>94000</v>
      </c>
      <c r="P18" s="3">
        <v>0</v>
      </c>
      <c r="Q18" s="3">
        <v>1</v>
      </c>
      <c r="R18" s="3" t="s">
        <v>105</v>
      </c>
    </row>
    <row r="19" spans="1:18" s="3" customFormat="1" x14ac:dyDescent="0.25">
      <c r="A19" s="5" t="s">
        <v>26</v>
      </c>
      <c r="B19" s="3">
        <f>capital_cost!E3</f>
        <v>2742</v>
      </c>
      <c r="C19" s="3">
        <f t="shared" si="1"/>
        <v>2742000</v>
      </c>
      <c r="D19" s="3">
        <f>OM_cost!D3</f>
        <v>80</v>
      </c>
      <c r="E19" s="6">
        <f t="shared" si="2"/>
        <v>9.1324200913242013</v>
      </c>
      <c r="F19" s="3">
        <f>OM_cost!C3</f>
        <v>0</v>
      </c>
      <c r="H19" s="3">
        <f>efficiency!E3/100</f>
        <v>1</v>
      </c>
      <c r="K19" s="7"/>
      <c r="L19" s="3">
        <v>25</v>
      </c>
      <c r="M19" s="3" t="str">
        <f t="shared" si="3"/>
        <v>219000h</v>
      </c>
      <c r="N19" s="3">
        <v>2742</v>
      </c>
      <c r="O19" s="2">
        <f t="shared" si="0"/>
        <v>109680</v>
      </c>
      <c r="P19" s="3">
        <v>0</v>
      </c>
      <c r="Q19" s="3">
        <v>1</v>
      </c>
      <c r="R19" s="3" t="s">
        <v>105</v>
      </c>
    </row>
    <row r="20" spans="1:18" s="3" customFormat="1" x14ac:dyDescent="0.25">
      <c r="A20" s="5" t="s">
        <v>27</v>
      </c>
      <c r="B20" s="3">
        <f>capital_cost!E2</f>
        <v>1240</v>
      </c>
      <c r="C20" s="3">
        <f t="shared" si="1"/>
        <v>1240000</v>
      </c>
      <c r="D20" s="3">
        <f>OM_cost!D2</f>
        <v>35</v>
      </c>
      <c r="E20" s="6">
        <f t="shared" si="2"/>
        <v>3.9954337899543377</v>
      </c>
      <c r="F20" s="3">
        <f>OM_cost!C2</f>
        <v>0</v>
      </c>
      <c r="H20" s="3">
        <f>efficiency!E2/100</f>
        <v>1</v>
      </c>
      <c r="K20" s="7"/>
      <c r="L20" s="3">
        <v>25</v>
      </c>
      <c r="M20" s="3" t="str">
        <f t="shared" si="3"/>
        <v>219000h</v>
      </c>
      <c r="N20" s="3">
        <v>1240</v>
      </c>
      <c r="O20" s="2">
        <f t="shared" si="0"/>
        <v>49600</v>
      </c>
      <c r="P20" s="3">
        <v>0</v>
      </c>
      <c r="Q20" s="3">
        <v>1</v>
      </c>
      <c r="R20" s="3" t="s">
        <v>105</v>
      </c>
    </row>
    <row r="21" spans="1:18" s="3" customFormat="1" x14ac:dyDescent="0.25">
      <c r="A21" s="5" t="s">
        <v>19</v>
      </c>
      <c r="B21" s="3">
        <f>capital_cost!E8</f>
        <v>2000</v>
      </c>
      <c r="C21" s="3">
        <f>B21*1000</f>
        <v>2000000</v>
      </c>
      <c r="D21" s="3">
        <f>OM_cost!D8</f>
        <v>20</v>
      </c>
      <c r="E21" s="6">
        <f>D21*1000/8760</f>
        <v>2.2831050228310503</v>
      </c>
      <c r="F21" s="3">
        <f>OM_cost!C8</f>
        <v>0</v>
      </c>
      <c r="H21" s="3">
        <f>efficiency!E9/100</f>
        <v>0.9</v>
      </c>
      <c r="K21" s="7"/>
      <c r="L21" s="3">
        <v>80</v>
      </c>
      <c r="M21" s="3" t="str">
        <f>ROUND(L21*8760,0)&amp;"h"</f>
        <v>700800h</v>
      </c>
      <c r="N21">
        <v>2000</v>
      </c>
      <c r="O21" s="2">
        <f t="shared" si="0"/>
        <v>25000</v>
      </c>
      <c r="P21" s="3">
        <v>0</v>
      </c>
      <c r="Q21" s="3">
        <v>1</v>
      </c>
      <c r="R21" s="3" t="s">
        <v>105</v>
      </c>
    </row>
    <row r="22" spans="1:18" x14ac:dyDescent="0.25">
      <c r="I22" s="9" t="s">
        <v>138</v>
      </c>
    </row>
    <row r="27" spans="1:18" x14ac:dyDescent="0.25">
      <c r="A27" t="s">
        <v>119</v>
      </c>
      <c r="B27" s="3" t="s">
        <v>116</v>
      </c>
      <c r="C27" t="s">
        <v>121</v>
      </c>
      <c r="D27" s="3" t="s">
        <v>120</v>
      </c>
    </row>
    <row r="28" spans="1:18" x14ac:dyDescent="0.25">
      <c r="A28" t="str" cm="1">
        <f t="array" ref="A28:A47">A2:A21</f>
        <v>Biomass</v>
      </c>
      <c r="B28" s="3">
        <v>0.23</v>
      </c>
      <c r="C28">
        <f t="shared" ref="C28:C47" si="4">F2+D28</f>
        <v>67.53812636165577</v>
      </c>
      <c r="D28">
        <f t="shared" ref="D28:D47" si="5">1/H2*G2</f>
        <v>67.53812636165577</v>
      </c>
      <c r="E28" s="6"/>
      <c r="F28" s="3"/>
    </row>
    <row r="29" spans="1:18" x14ac:dyDescent="0.25">
      <c r="A29" t="str">
        <v>Fossil Brown coal/Lignite</v>
      </c>
      <c r="B29" s="3">
        <v>0.98</v>
      </c>
      <c r="C29" s="3">
        <f t="shared" si="4"/>
        <v>25.223234624145785</v>
      </c>
      <c r="D29" s="3">
        <f t="shared" si="5"/>
        <v>18.223234624145785</v>
      </c>
      <c r="E29" s="6"/>
      <c r="F29" s="3"/>
    </row>
    <row r="30" spans="1:18" x14ac:dyDescent="0.25">
      <c r="A30" t="str">
        <v>Fossil Coal-derived gas</v>
      </c>
      <c r="B30" s="3">
        <v>0.6</v>
      </c>
      <c r="C30" s="3">
        <f t="shared" si="4"/>
        <v>68</v>
      </c>
      <c r="D30" s="3">
        <f t="shared" si="5"/>
        <v>58</v>
      </c>
      <c r="E30" s="6"/>
      <c r="F30" s="3"/>
    </row>
    <row r="31" spans="1:18" x14ac:dyDescent="0.25">
      <c r="A31" t="str">
        <v>Fossil Gas</v>
      </c>
      <c r="B31" s="3">
        <v>0.49</v>
      </c>
      <c r="C31" s="3">
        <f t="shared" si="4"/>
        <v>68</v>
      </c>
      <c r="D31" s="3">
        <f t="shared" si="5"/>
        <v>58</v>
      </c>
      <c r="E31" s="6"/>
      <c r="F31" s="3"/>
    </row>
    <row r="32" spans="1:18" x14ac:dyDescent="0.25">
      <c r="A32" t="str">
        <v>Fossil Hard coal</v>
      </c>
      <c r="B32" s="3">
        <v>0.82</v>
      </c>
      <c r="C32" s="3">
        <f t="shared" si="4"/>
        <v>34.5</v>
      </c>
      <c r="D32" s="3">
        <f t="shared" si="5"/>
        <v>27.5</v>
      </c>
      <c r="E32" s="6"/>
      <c r="F32" s="3"/>
    </row>
    <row r="33" spans="1:6" x14ac:dyDescent="0.25">
      <c r="A33" t="str">
        <v>Fossil Oil</v>
      </c>
      <c r="B33" s="3">
        <v>0.78</v>
      </c>
      <c r="C33" s="3">
        <f t="shared" si="4"/>
        <v>78</v>
      </c>
      <c r="D33" s="3">
        <f t="shared" si="5"/>
        <v>75</v>
      </c>
      <c r="E33" s="10"/>
      <c r="F33" s="3"/>
    </row>
    <row r="34" spans="1:6" x14ac:dyDescent="0.25">
      <c r="A34" t="str">
        <v>Fossil Oil shale</v>
      </c>
      <c r="B34" s="3">
        <v>1.02</v>
      </c>
      <c r="C34" s="3">
        <f t="shared" si="4"/>
        <v>83.303030303030297</v>
      </c>
      <c r="D34" s="3">
        <f t="shared" si="5"/>
        <v>80.303030303030297</v>
      </c>
      <c r="E34" s="10"/>
      <c r="F34" s="3"/>
    </row>
    <row r="35" spans="1:6" x14ac:dyDescent="0.25">
      <c r="A35" t="str">
        <v>Fossil Peat</v>
      </c>
      <c r="B35" s="3">
        <v>1.1000000000000001</v>
      </c>
      <c r="C35" s="3">
        <f t="shared" si="4"/>
        <v>32.25</v>
      </c>
      <c r="D35" s="3">
        <f t="shared" si="5"/>
        <v>22.25</v>
      </c>
      <c r="E35" s="10"/>
      <c r="F35" s="3"/>
    </row>
    <row r="36" spans="1:6" x14ac:dyDescent="0.25">
      <c r="A36" t="str">
        <v>Geothermal</v>
      </c>
      <c r="B36" s="3">
        <v>0.04</v>
      </c>
      <c r="C36" s="3">
        <f t="shared" si="4"/>
        <v>0</v>
      </c>
      <c r="D36" s="3">
        <f t="shared" si="5"/>
        <v>0</v>
      </c>
      <c r="E36" s="6"/>
      <c r="F36" s="3"/>
    </row>
    <row r="37" spans="1:6" x14ac:dyDescent="0.25">
      <c r="A37" t="str">
        <v>Hydro Pumped Storage</v>
      </c>
      <c r="B37" s="3">
        <v>0.02</v>
      </c>
      <c r="C37" s="3">
        <f t="shared" si="4"/>
        <v>0</v>
      </c>
      <c r="D37" s="3">
        <f t="shared" si="5"/>
        <v>0</v>
      </c>
      <c r="E37" s="6"/>
      <c r="F37" s="3"/>
    </row>
    <row r="38" spans="1:6" x14ac:dyDescent="0.25">
      <c r="A38" t="str">
        <v>Hydro Run-of-river and poundage</v>
      </c>
      <c r="B38" s="3">
        <v>0.02</v>
      </c>
      <c r="C38" s="3">
        <f t="shared" si="4"/>
        <v>0</v>
      </c>
      <c r="D38" s="3">
        <f t="shared" si="5"/>
        <v>0</v>
      </c>
      <c r="E38" s="6"/>
      <c r="F38" s="3"/>
    </row>
    <row r="39" spans="1:6" x14ac:dyDescent="0.25">
      <c r="A39" t="str">
        <v>Marine</v>
      </c>
      <c r="B39" s="3">
        <v>0.02</v>
      </c>
      <c r="C39" s="3">
        <f t="shared" si="4"/>
        <v>0</v>
      </c>
      <c r="D39" s="3">
        <f t="shared" si="5"/>
        <v>0</v>
      </c>
      <c r="E39" s="6"/>
      <c r="F39" s="3"/>
    </row>
    <row r="40" spans="1:6" x14ac:dyDescent="0.25">
      <c r="A40" t="str">
        <v>Nuclear</v>
      </c>
      <c r="B40" s="3">
        <v>0.01</v>
      </c>
      <c r="C40" s="3">
        <f t="shared" si="4"/>
        <v>40.030030030030034</v>
      </c>
      <c r="D40" s="3">
        <f t="shared" si="5"/>
        <v>30.030030030030034</v>
      </c>
      <c r="E40" s="11"/>
      <c r="F40" s="3"/>
    </row>
    <row r="41" spans="1:6" x14ac:dyDescent="0.25">
      <c r="A41" t="str">
        <v>Other</v>
      </c>
      <c r="B41" s="3">
        <v>0.3</v>
      </c>
      <c r="C41" s="3">
        <f t="shared" si="4"/>
        <v>30</v>
      </c>
      <c r="D41" s="3">
        <f t="shared" si="5"/>
        <v>20</v>
      </c>
      <c r="E41" s="10"/>
      <c r="F41" s="3"/>
    </row>
    <row r="42" spans="1:6" x14ac:dyDescent="0.25">
      <c r="A42" t="str">
        <v>Other renewable</v>
      </c>
      <c r="B42" s="3">
        <v>0.02</v>
      </c>
      <c r="C42" s="3">
        <f t="shared" si="4"/>
        <v>0</v>
      </c>
      <c r="D42" s="3">
        <f t="shared" si="5"/>
        <v>0</v>
      </c>
      <c r="E42" s="10"/>
      <c r="F42" s="3"/>
    </row>
    <row r="43" spans="1:6" x14ac:dyDescent="0.25">
      <c r="A43" t="str">
        <v>Solar</v>
      </c>
      <c r="B43" s="3">
        <v>0.04</v>
      </c>
      <c r="C43" s="3">
        <f t="shared" si="4"/>
        <v>0</v>
      </c>
      <c r="D43" s="3">
        <f t="shared" si="5"/>
        <v>0</v>
      </c>
      <c r="E43" s="6"/>
      <c r="F43" s="3"/>
    </row>
    <row r="44" spans="1:6" x14ac:dyDescent="0.25">
      <c r="A44" t="str">
        <v>Waste</v>
      </c>
      <c r="B44" s="3">
        <v>0.5</v>
      </c>
      <c r="C44" s="3">
        <f t="shared" si="4"/>
        <v>0</v>
      </c>
      <c r="D44" s="3">
        <f t="shared" si="5"/>
        <v>0</v>
      </c>
      <c r="E44" s="6"/>
      <c r="F44" s="3"/>
    </row>
    <row r="45" spans="1:6" x14ac:dyDescent="0.25">
      <c r="A45" t="str">
        <v>Wind Offshore</v>
      </c>
      <c r="B45" s="3">
        <v>0.01</v>
      </c>
      <c r="C45" s="3">
        <f t="shared" si="4"/>
        <v>0</v>
      </c>
      <c r="D45" s="3">
        <f t="shared" si="5"/>
        <v>0</v>
      </c>
      <c r="E45" s="6"/>
      <c r="F45" s="3"/>
    </row>
    <row r="46" spans="1:6" x14ac:dyDescent="0.25">
      <c r="A46" t="str">
        <v>Wind Onshore</v>
      </c>
      <c r="B46" s="3">
        <v>0.01</v>
      </c>
      <c r="C46" s="3">
        <f t="shared" si="4"/>
        <v>0</v>
      </c>
      <c r="D46" s="3">
        <f t="shared" si="5"/>
        <v>0</v>
      </c>
      <c r="E46" s="6"/>
      <c r="F46" s="3"/>
    </row>
    <row r="47" spans="1:6" x14ac:dyDescent="0.25">
      <c r="A47" t="str">
        <v>Hydro Water Reservoir</v>
      </c>
      <c r="B47" s="3">
        <v>0.02</v>
      </c>
      <c r="C47" s="3">
        <f t="shared" si="4"/>
        <v>0</v>
      </c>
      <c r="D47" s="3">
        <f t="shared" si="5"/>
        <v>0</v>
      </c>
      <c r="E47" s="6"/>
      <c r="F47" s="3"/>
    </row>
  </sheetData>
  <hyperlinks>
    <hyperlink ref="I22" r:id="rId1" xr:uid="{6DE4B67D-0EC8-4210-8D59-727D8C45D4E3}"/>
  </hyperlinks>
  <pageMargins left="0.7" right="0.7" top="0.78740157499999996" bottom="0.78740157499999996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26AE-F1E0-4928-B4AA-E101BB5C7824}">
  <dimension ref="A1:O26"/>
  <sheetViews>
    <sheetView workbookViewId="0">
      <selection activeCell="P13" sqref="P13"/>
    </sheetView>
  </sheetViews>
  <sheetFormatPr defaultColWidth="11.42578125" defaultRowHeight="15" x14ac:dyDescent="0.25"/>
  <cols>
    <col min="1" max="1" width="9.140625" bestFit="1" customWidth="1"/>
    <col min="2" max="2" width="35.7109375" bestFit="1" customWidth="1"/>
  </cols>
  <sheetData>
    <row r="1" spans="1:15" x14ac:dyDescent="0.25">
      <c r="A1" s="9" t="s">
        <v>65</v>
      </c>
      <c r="B1" t="s">
        <v>28</v>
      </c>
      <c r="C1">
        <v>2010</v>
      </c>
      <c r="D1">
        <v>2015</v>
      </c>
      <c r="E1" s="5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M1" s="9" t="s">
        <v>134</v>
      </c>
      <c r="O1" s="9" t="s">
        <v>135</v>
      </c>
    </row>
    <row r="2" spans="1:15" x14ac:dyDescent="0.25">
      <c r="A2" t="s">
        <v>30</v>
      </c>
      <c r="B2" t="s">
        <v>29</v>
      </c>
      <c r="C2">
        <v>1300</v>
      </c>
      <c r="D2">
        <v>1269</v>
      </c>
      <c r="E2" s="5">
        <v>1240</v>
      </c>
      <c r="F2">
        <v>1210</v>
      </c>
      <c r="G2">
        <v>1182</v>
      </c>
      <c r="H2">
        <v>1154</v>
      </c>
      <c r="I2">
        <v>1127</v>
      </c>
      <c r="J2">
        <v>1101</v>
      </c>
      <c r="K2">
        <v>1075</v>
      </c>
    </row>
    <row r="3" spans="1:15" x14ac:dyDescent="0.25">
      <c r="A3" t="s">
        <v>30</v>
      </c>
      <c r="B3" t="s">
        <v>31</v>
      </c>
      <c r="C3">
        <v>3000</v>
      </c>
      <c r="D3">
        <v>2868</v>
      </c>
      <c r="E3" s="5">
        <v>2742</v>
      </c>
      <c r="F3">
        <v>2621</v>
      </c>
      <c r="G3">
        <v>2506</v>
      </c>
      <c r="H3">
        <v>2396</v>
      </c>
      <c r="I3">
        <v>2290</v>
      </c>
      <c r="J3">
        <v>2189</v>
      </c>
      <c r="K3">
        <v>2093</v>
      </c>
    </row>
    <row r="4" spans="1:15" x14ac:dyDescent="0.25">
      <c r="A4" t="s">
        <v>33</v>
      </c>
      <c r="B4" t="s">
        <v>32</v>
      </c>
      <c r="C4">
        <v>1560</v>
      </c>
      <c r="D4">
        <v>950</v>
      </c>
      <c r="E4" s="5">
        <v>750</v>
      </c>
      <c r="F4">
        <v>675</v>
      </c>
      <c r="G4">
        <v>600</v>
      </c>
      <c r="H4">
        <v>555</v>
      </c>
      <c r="I4">
        <v>472</v>
      </c>
      <c r="J4">
        <v>448</v>
      </c>
      <c r="K4">
        <v>425</v>
      </c>
    </row>
    <row r="5" spans="1:15" x14ac:dyDescent="0.25">
      <c r="A5" t="s">
        <v>33</v>
      </c>
      <c r="B5" t="s">
        <v>34</v>
      </c>
      <c r="C5">
        <v>3500</v>
      </c>
      <c r="D5">
        <v>3154</v>
      </c>
      <c r="E5" s="5">
        <v>2841</v>
      </c>
      <c r="F5">
        <v>2560</v>
      </c>
      <c r="G5">
        <v>2307</v>
      </c>
      <c r="H5">
        <v>2078</v>
      </c>
      <c r="I5">
        <v>1872</v>
      </c>
      <c r="J5">
        <v>1687</v>
      </c>
      <c r="K5">
        <v>1520</v>
      </c>
    </row>
    <row r="6" spans="1:15" x14ac:dyDescent="0.25">
      <c r="A6" t="s">
        <v>35</v>
      </c>
      <c r="B6" t="s">
        <v>8</v>
      </c>
      <c r="C6">
        <v>2500</v>
      </c>
      <c r="D6">
        <v>2424</v>
      </c>
      <c r="E6" s="5">
        <v>2350</v>
      </c>
      <c r="F6">
        <v>2278</v>
      </c>
      <c r="G6">
        <v>2209</v>
      </c>
      <c r="H6">
        <v>2141</v>
      </c>
      <c r="I6">
        <v>2076</v>
      </c>
      <c r="J6">
        <v>2013</v>
      </c>
      <c r="K6">
        <v>1951</v>
      </c>
    </row>
    <row r="7" spans="1:15" x14ac:dyDescent="0.25">
      <c r="A7" t="s">
        <v>36</v>
      </c>
      <c r="B7" t="s">
        <v>16</v>
      </c>
      <c r="C7">
        <v>4200</v>
      </c>
      <c r="D7">
        <v>3982</v>
      </c>
      <c r="E7" s="5">
        <v>3775</v>
      </c>
      <c r="F7">
        <v>3578</v>
      </c>
      <c r="G7">
        <v>3392</v>
      </c>
      <c r="H7">
        <v>3216</v>
      </c>
      <c r="I7">
        <v>3049</v>
      </c>
      <c r="J7">
        <v>2890</v>
      </c>
      <c r="K7">
        <v>2740</v>
      </c>
    </row>
    <row r="8" spans="1:15" x14ac:dyDescent="0.25">
      <c r="A8" t="s">
        <v>38</v>
      </c>
      <c r="B8" t="s">
        <v>37</v>
      </c>
      <c r="C8">
        <v>2000</v>
      </c>
      <c r="D8">
        <v>2000</v>
      </c>
      <c r="E8" s="5">
        <v>2000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</row>
    <row r="9" spans="1:15" x14ac:dyDescent="0.25">
      <c r="A9" t="s">
        <v>38</v>
      </c>
      <c r="B9" t="s">
        <v>39</v>
      </c>
      <c r="C9">
        <v>3000</v>
      </c>
      <c r="D9">
        <v>3000</v>
      </c>
      <c r="E9" s="5">
        <v>3000</v>
      </c>
      <c r="F9">
        <v>3000</v>
      </c>
      <c r="G9">
        <v>3000</v>
      </c>
      <c r="H9">
        <v>3000</v>
      </c>
      <c r="I9">
        <v>3000</v>
      </c>
      <c r="J9">
        <v>3000</v>
      </c>
      <c r="K9">
        <v>3000</v>
      </c>
    </row>
    <row r="10" spans="1:15" x14ac:dyDescent="0.25">
      <c r="A10" t="s">
        <v>40</v>
      </c>
      <c r="B10" t="s">
        <v>41</v>
      </c>
      <c r="C10">
        <v>5000</v>
      </c>
      <c r="D10">
        <v>4608</v>
      </c>
      <c r="E10" s="5">
        <v>4246</v>
      </c>
      <c r="F10">
        <v>3913</v>
      </c>
      <c r="G10">
        <v>3605</v>
      </c>
      <c r="H10">
        <v>3322</v>
      </c>
      <c r="I10">
        <v>3062</v>
      </c>
      <c r="J10">
        <v>2821</v>
      </c>
      <c r="K10">
        <v>2600</v>
      </c>
    </row>
    <row r="11" spans="1:15" x14ac:dyDescent="0.25">
      <c r="A11" t="s">
        <v>42</v>
      </c>
      <c r="B11" t="s">
        <v>43</v>
      </c>
      <c r="C11">
        <v>6000</v>
      </c>
      <c r="D11">
        <v>6000</v>
      </c>
      <c r="E11" s="5">
        <v>6000</v>
      </c>
      <c r="F11">
        <v>6000</v>
      </c>
      <c r="G11">
        <v>6000</v>
      </c>
      <c r="H11">
        <v>6000</v>
      </c>
      <c r="I11">
        <v>6000</v>
      </c>
      <c r="J11">
        <v>6000</v>
      </c>
      <c r="K11">
        <v>6000</v>
      </c>
    </row>
    <row r="12" spans="1:15" x14ac:dyDescent="0.25">
      <c r="A12" t="s">
        <v>48</v>
      </c>
      <c r="B12" t="s">
        <v>44</v>
      </c>
      <c r="C12">
        <v>1800</v>
      </c>
      <c r="D12">
        <v>1800</v>
      </c>
      <c r="E12" s="5">
        <v>1800</v>
      </c>
      <c r="F12">
        <v>1800</v>
      </c>
      <c r="G12">
        <v>1800</v>
      </c>
      <c r="H12">
        <v>1800</v>
      </c>
      <c r="I12">
        <v>1800</v>
      </c>
      <c r="J12">
        <v>1800</v>
      </c>
      <c r="K12">
        <v>1800</v>
      </c>
    </row>
    <row r="13" spans="1:15" x14ac:dyDescent="0.25">
      <c r="A13" t="s">
        <v>48</v>
      </c>
      <c r="B13" t="s">
        <v>45</v>
      </c>
      <c r="C13">
        <v>3200</v>
      </c>
      <c r="D13">
        <v>3162</v>
      </c>
      <c r="E13" s="5">
        <v>3124</v>
      </c>
      <c r="F13">
        <v>3088</v>
      </c>
      <c r="G13">
        <v>3052</v>
      </c>
      <c r="H13">
        <v>3018</v>
      </c>
      <c r="I13">
        <v>2984</v>
      </c>
      <c r="J13">
        <v>2952</v>
      </c>
      <c r="K13">
        <v>2920</v>
      </c>
    </row>
    <row r="14" spans="1:15" x14ac:dyDescent="0.25">
      <c r="A14" t="s">
        <v>48</v>
      </c>
      <c r="B14" t="s">
        <v>46</v>
      </c>
      <c r="C14">
        <v>1300</v>
      </c>
      <c r="D14">
        <v>1300</v>
      </c>
      <c r="E14" s="5">
        <v>1300</v>
      </c>
      <c r="F14">
        <v>1300</v>
      </c>
      <c r="G14">
        <v>1300</v>
      </c>
      <c r="H14">
        <v>1300</v>
      </c>
      <c r="I14">
        <v>1300</v>
      </c>
      <c r="J14">
        <v>1300</v>
      </c>
      <c r="K14">
        <v>1300</v>
      </c>
    </row>
    <row r="15" spans="1:15" x14ac:dyDescent="0.25">
      <c r="A15" t="s">
        <v>48</v>
      </c>
      <c r="B15" t="s">
        <v>47</v>
      </c>
      <c r="C15">
        <v>2700</v>
      </c>
      <c r="D15">
        <v>2662</v>
      </c>
      <c r="E15" s="5">
        <v>2624</v>
      </c>
      <c r="F15">
        <v>2588</v>
      </c>
      <c r="G15">
        <v>2552</v>
      </c>
      <c r="H15">
        <v>2518</v>
      </c>
      <c r="I15">
        <v>2484</v>
      </c>
      <c r="J15">
        <v>2452</v>
      </c>
      <c r="K15">
        <v>2420</v>
      </c>
    </row>
    <row r="16" spans="1:15" x14ac:dyDescent="0.25">
      <c r="A16" t="s">
        <v>48</v>
      </c>
      <c r="B16" t="s">
        <v>49</v>
      </c>
      <c r="C16">
        <v>1200</v>
      </c>
      <c r="D16">
        <v>1200</v>
      </c>
      <c r="E16" s="5">
        <v>1200</v>
      </c>
      <c r="F16">
        <v>1200</v>
      </c>
      <c r="G16">
        <v>1200</v>
      </c>
      <c r="H16">
        <v>1200</v>
      </c>
      <c r="I16">
        <v>1200</v>
      </c>
      <c r="J16">
        <v>1200</v>
      </c>
      <c r="K16">
        <v>1200</v>
      </c>
    </row>
    <row r="17" spans="1:11" x14ac:dyDescent="0.25">
      <c r="A17" t="s">
        <v>48</v>
      </c>
      <c r="B17" t="s">
        <v>50</v>
      </c>
      <c r="C17">
        <v>2600</v>
      </c>
      <c r="D17">
        <v>2562</v>
      </c>
      <c r="E17" s="5">
        <v>2524</v>
      </c>
      <c r="F17">
        <v>2488</v>
      </c>
      <c r="G17">
        <v>2452</v>
      </c>
      <c r="H17">
        <v>2418</v>
      </c>
      <c r="I17">
        <v>2384</v>
      </c>
      <c r="J17">
        <v>2352</v>
      </c>
      <c r="K17">
        <v>2320</v>
      </c>
    </row>
    <row r="18" spans="1:11" x14ac:dyDescent="0.25">
      <c r="A18" t="s">
        <v>48</v>
      </c>
      <c r="B18" t="s">
        <v>51</v>
      </c>
      <c r="C18">
        <v>1500</v>
      </c>
      <c r="D18">
        <v>1500</v>
      </c>
      <c r="E18" s="5">
        <v>1500</v>
      </c>
      <c r="F18">
        <v>1500</v>
      </c>
      <c r="G18">
        <v>1500</v>
      </c>
      <c r="H18">
        <v>1500</v>
      </c>
      <c r="I18">
        <v>1500</v>
      </c>
      <c r="J18">
        <v>1500</v>
      </c>
      <c r="K18">
        <v>1500</v>
      </c>
    </row>
    <row r="19" spans="1:11" x14ac:dyDescent="0.25">
      <c r="A19" t="s">
        <v>48</v>
      </c>
      <c r="B19" t="s">
        <v>52</v>
      </c>
      <c r="C19">
        <v>2900</v>
      </c>
      <c r="D19">
        <v>2862</v>
      </c>
      <c r="E19" s="5">
        <v>2824</v>
      </c>
      <c r="F19">
        <v>2788</v>
      </c>
      <c r="G19">
        <v>2752</v>
      </c>
      <c r="H19">
        <v>2718</v>
      </c>
      <c r="I19">
        <v>2684</v>
      </c>
      <c r="J19">
        <v>2652</v>
      </c>
      <c r="K19">
        <v>2620</v>
      </c>
    </row>
    <row r="20" spans="1:11" x14ac:dyDescent="0.25">
      <c r="A20" t="s">
        <v>55</v>
      </c>
      <c r="B20" t="s">
        <v>53</v>
      </c>
      <c r="C20">
        <v>800</v>
      </c>
      <c r="D20">
        <v>800</v>
      </c>
      <c r="E20" s="5">
        <v>800</v>
      </c>
      <c r="F20">
        <v>800</v>
      </c>
      <c r="G20">
        <v>800</v>
      </c>
      <c r="H20">
        <v>800</v>
      </c>
      <c r="I20">
        <v>800</v>
      </c>
      <c r="J20">
        <v>800</v>
      </c>
      <c r="K20">
        <v>800</v>
      </c>
    </row>
    <row r="21" spans="1:11" x14ac:dyDescent="0.25">
      <c r="A21" t="s">
        <v>55</v>
      </c>
      <c r="B21" t="s">
        <v>54</v>
      </c>
      <c r="C21">
        <v>1400</v>
      </c>
      <c r="D21">
        <v>1384</v>
      </c>
      <c r="E21" s="5">
        <v>1367</v>
      </c>
      <c r="F21">
        <v>1352</v>
      </c>
      <c r="G21">
        <v>1337</v>
      </c>
      <c r="H21">
        <v>1322</v>
      </c>
      <c r="I21">
        <v>1308</v>
      </c>
      <c r="J21">
        <v>1294</v>
      </c>
      <c r="K21">
        <v>1280</v>
      </c>
    </row>
    <row r="22" spans="1:11" x14ac:dyDescent="0.25">
      <c r="A22" t="s">
        <v>55</v>
      </c>
      <c r="B22" t="s">
        <v>56</v>
      </c>
      <c r="C22">
        <v>400</v>
      </c>
      <c r="D22">
        <v>400</v>
      </c>
      <c r="E22" s="5">
        <v>400</v>
      </c>
      <c r="F22">
        <v>400</v>
      </c>
      <c r="G22">
        <v>400</v>
      </c>
      <c r="H22">
        <v>400</v>
      </c>
      <c r="I22">
        <v>400</v>
      </c>
      <c r="J22">
        <v>400</v>
      </c>
      <c r="K22">
        <v>400</v>
      </c>
    </row>
    <row r="23" spans="1:11" x14ac:dyDescent="0.25">
      <c r="A23" t="s">
        <v>55</v>
      </c>
      <c r="B23" t="s">
        <v>57</v>
      </c>
      <c r="C23">
        <v>1000</v>
      </c>
      <c r="D23">
        <v>984</v>
      </c>
      <c r="E23" s="5">
        <v>967</v>
      </c>
      <c r="F23">
        <v>952</v>
      </c>
      <c r="G23">
        <v>937</v>
      </c>
      <c r="H23">
        <v>922</v>
      </c>
      <c r="I23">
        <v>908</v>
      </c>
      <c r="J23">
        <v>894</v>
      </c>
      <c r="K23">
        <v>880</v>
      </c>
    </row>
    <row r="24" spans="1:11" x14ac:dyDescent="0.25">
      <c r="A24" t="s">
        <v>55</v>
      </c>
      <c r="B24" t="s">
        <v>58</v>
      </c>
      <c r="C24">
        <v>400</v>
      </c>
      <c r="D24">
        <v>400</v>
      </c>
      <c r="E24" s="5">
        <v>400</v>
      </c>
      <c r="F24">
        <v>400</v>
      </c>
      <c r="G24">
        <v>400</v>
      </c>
      <c r="H24">
        <v>400</v>
      </c>
      <c r="I24">
        <v>400</v>
      </c>
      <c r="J24">
        <v>400</v>
      </c>
      <c r="K24">
        <v>400</v>
      </c>
    </row>
    <row r="25" spans="1:11" x14ac:dyDescent="0.25">
      <c r="A25" t="s">
        <v>60</v>
      </c>
      <c r="B25" t="s">
        <v>59</v>
      </c>
      <c r="C25">
        <v>400</v>
      </c>
      <c r="D25">
        <v>400</v>
      </c>
      <c r="E25" s="5">
        <v>400</v>
      </c>
      <c r="F25">
        <v>400</v>
      </c>
      <c r="G25">
        <v>400</v>
      </c>
      <c r="H25">
        <v>400</v>
      </c>
      <c r="I25">
        <v>400</v>
      </c>
      <c r="J25">
        <v>400</v>
      </c>
      <c r="K25">
        <v>400</v>
      </c>
    </row>
    <row r="26" spans="1:11" x14ac:dyDescent="0.25">
      <c r="A26" t="s">
        <v>60</v>
      </c>
      <c r="B26" t="s">
        <v>61</v>
      </c>
      <c r="C26">
        <v>400</v>
      </c>
      <c r="D26">
        <v>400</v>
      </c>
      <c r="E26" s="5">
        <v>400</v>
      </c>
      <c r="F26">
        <v>400</v>
      </c>
      <c r="G26">
        <v>400</v>
      </c>
      <c r="H26">
        <v>400</v>
      </c>
      <c r="I26">
        <v>400</v>
      </c>
      <c r="J26">
        <v>400</v>
      </c>
      <c r="K26">
        <v>400</v>
      </c>
    </row>
  </sheetData>
  <hyperlinks>
    <hyperlink ref="A1" r:id="rId1" xr:uid="{DF1A5B8C-F991-4887-9B25-0F5A586662E5}"/>
    <hyperlink ref="M1" r:id="rId2" xr:uid="{DEB7F41F-E871-466D-8A3E-06575E7FF89B}"/>
    <hyperlink ref="O1" r:id="rId3" xr:uid="{27531B80-5C39-402F-B65F-B1411B3611A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1A08-5668-47F2-9931-2581EF34C7E3}">
  <dimension ref="A1:H26"/>
  <sheetViews>
    <sheetView workbookViewId="0">
      <selection activeCell="H1" sqref="H1"/>
    </sheetView>
  </sheetViews>
  <sheetFormatPr defaultColWidth="11.42578125" defaultRowHeight="15" x14ac:dyDescent="0.25"/>
  <cols>
    <col min="1" max="1" width="9.140625" bestFit="1" customWidth="1"/>
    <col min="2" max="2" width="35.7109375" bestFit="1" customWidth="1"/>
    <col min="3" max="3" width="35" bestFit="1" customWidth="1"/>
    <col min="4" max="4" width="34.28515625" bestFit="1" customWidth="1"/>
  </cols>
  <sheetData>
    <row r="1" spans="1:8" x14ac:dyDescent="0.25">
      <c r="A1" s="9" t="s">
        <v>65</v>
      </c>
      <c r="C1" t="s">
        <v>133</v>
      </c>
      <c r="D1" t="s">
        <v>62</v>
      </c>
      <c r="F1" s="9" t="s">
        <v>134</v>
      </c>
      <c r="H1" s="9" t="s">
        <v>135</v>
      </c>
    </row>
    <row r="2" spans="1:8" x14ac:dyDescent="0.25">
      <c r="A2" t="s">
        <v>30</v>
      </c>
      <c r="B2" t="s">
        <v>29</v>
      </c>
      <c r="C2">
        <v>0</v>
      </c>
      <c r="D2">
        <v>35</v>
      </c>
    </row>
    <row r="3" spans="1:8" x14ac:dyDescent="0.25">
      <c r="A3" t="s">
        <v>30</v>
      </c>
      <c r="B3" t="s">
        <v>31</v>
      </c>
      <c r="C3">
        <v>0</v>
      </c>
      <c r="D3">
        <v>80</v>
      </c>
    </row>
    <row r="4" spans="1:8" x14ac:dyDescent="0.25">
      <c r="A4" t="s">
        <v>33</v>
      </c>
      <c r="B4" t="s">
        <v>32</v>
      </c>
      <c r="C4">
        <v>0</v>
      </c>
      <c r="D4">
        <v>25</v>
      </c>
    </row>
    <row r="5" spans="1:8" x14ac:dyDescent="0.25">
      <c r="A5" t="s">
        <v>33</v>
      </c>
      <c r="B5" t="s">
        <v>34</v>
      </c>
      <c r="C5">
        <v>0</v>
      </c>
      <c r="D5">
        <v>30</v>
      </c>
    </row>
    <row r="6" spans="1:8" x14ac:dyDescent="0.25">
      <c r="A6" t="s">
        <v>35</v>
      </c>
      <c r="B6" t="s">
        <v>8</v>
      </c>
      <c r="C6">
        <v>0</v>
      </c>
      <c r="D6">
        <v>100</v>
      </c>
    </row>
    <row r="7" spans="1:8" x14ac:dyDescent="0.25">
      <c r="A7" t="s">
        <v>36</v>
      </c>
      <c r="B7" t="s">
        <v>16</v>
      </c>
      <c r="C7">
        <v>0</v>
      </c>
      <c r="D7">
        <v>80</v>
      </c>
    </row>
    <row r="8" spans="1:8" x14ac:dyDescent="0.25">
      <c r="A8" t="s">
        <v>38</v>
      </c>
      <c r="B8" t="s">
        <v>37</v>
      </c>
      <c r="C8">
        <v>0</v>
      </c>
      <c r="D8">
        <v>20</v>
      </c>
    </row>
    <row r="9" spans="1:8" x14ac:dyDescent="0.25">
      <c r="A9" t="s">
        <v>38</v>
      </c>
      <c r="B9" t="s">
        <v>39</v>
      </c>
      <c r="C9">
        <v>0</v>
      </c>
      <c r="D9">
        <v>60</v>
      </c>
    </row>
    <row r="10" spans="1:8" x14ac:dyDescent="0.25">
      <c r="A10" t="s">
        <v>40</v>
      </c>
      <c r="B10" t="s">
        <v>41</v>
      </c>
      <c r="C10">
        <v>0</v>
      </c>
      <c r="D10">
        <v>150</v>
      </c>
    </row>
    <row r="11" spans="1:8" x14ac:dyDescent="0.25">
      <c r="A11" t="s">
        <v>42</v>
      </c>
      <c r="B11" t="s">
        <v>63</v>
      </c>
      <c r="C11">
        <v>10</v>
      </c>
      <c r="D11">
        <v>0</v>
      </c>
    </row>
    <row r="12" spans="1:8" x14ac:dyDescent="0.25">
      <c r="A12" t="s">
        <v>48</v>
      </c>
      <c r="B12" t="s">
        <v>44</v>
      </c>
      <c r="C12">
        <v>6</v>
      </c>
      <c r="D12">
        <v>60</v>
      </c>
    </row>
    <row r="13" spans="1:8" x14ac:dyDescent="0.25">
      <c r="A13" t="s">
        <v>48</v>
      </c>
      <c r="B13" t="s">
        <v>64</v>
      </c>
      <c r="C13">
        <f>13+10+7</f>
        <v>30</v>
      </c>
      <c r="D13">
        <v>0</v>
      </c>
    </row>
    <row r="14" spans="1:8" x14ac:dyDescent="0.25">
      <c r="A14" t="s">
        <v>48</v>
      </c>
      <c r="B14" t="s">
        <v>46</v>
      </c>
      <c r="C14">
        <v>6</v>
      </c>
      <c r="D14">
        <v>25</v>
      </c>
    </row>
    <row r="15" spans="1:8" x14ac:dyDescent="0.25">
      <c r="A15" t="s">
        <v>48</v>
      </c>
      <c r="B15" t="s">
        <v>47</v>
      </c>
      <c r="C15">
        <f>13+10+7</f>
        <v>30</v>
      </c>
      <c r="D15">
        <v>0</v>
      </c>
    </row>
    <row r="16" spans="1:8" x14ac:dyDescent="0.25">
      <c r="A16" t="s">
        <v>48</v>
      </c>
      <c r="B16" t="s">
        <v>49</v>
      </c>
      <c r="C16">
        <v>6</v>
      </c>
      <c r="D16">
        <v>30</v>
      </c>
    </row>
    <row r="17" spans="1:4" x14ac:dyDescent="0.25">
      <c r="A17" t="s">
        <v>48</v>
      </c>
      <c r="B17" t="s">
        <v>50</v>
      </c>
      <c r="C17">
        <f>13+10+7</f>
        <v>30</v>
      </c>
      <c r="D17">
        <v>0</v>
      </c>
    </row>
    <row r="18" spans="1:4" x14ac:dyDescent="0.25">
      <c r="A18" t="s">
        <v>48</v>
      </c>
      <c r="B18" t="s">
        <v>51</v>
      </c>
      <c r="C18">
        <v>7</v>
      </c>
      <c r="D18">
        <v>30</v>
      </c>
    </row>
    <row r="19" spans="1:4" x14ac:dyDescent="0.25">
      <c r="A19" t="s">
        <v>48</v>
      </c>
      <c r="B19" t="s">
        <v>52</v>
      </c>
      <c r="C19">
        <f>14+12+8</f>
        <v>34</v>
      </c>
      <c r="D19">
        <v>0</v>
      </c>
    </row>
    <row r="20" spans="1:4" x14ac:dyDescent="0.25">
      <c r="A20" t="s">
        <v>55</v>
      </c>
      <c r="B20" t="s">
        <v>53</v>
      </c>
      <c r="C20">
        <v>4</v>
      </c>
      <c r="D20">
        <v>20</v>
      </c>
    </row>
    <row r="21" spans="1:4" x14ac:dyDescent="0.25">
      <c r="A21" t="s">
        <v>55</v>
      </c>
      <c r="B21" t="s">
        <v>54</v>
      </c>
      <c r="C21">
        <f>12+4+3</f>
        <v>19</v>
      </c>
      <c r="D21">
        <v>0</v>
      </c>
    </row>
    <row r="22" spans="1:4" x14ac:dyDescent="0.25">
      <c r="A22" t="s">
        <v>55</v>
      </c>
      <c r="B22" t="s">
        <v>56</v>
      </c>
      <c r="C22">
        <v>3</v>
      </c>
      <c r="D22">
        <v>15</v>
      </c>
    </row>
    <row r="23" spans="1:4" x14ac:dyDescent="0.25">
      <c r="A23" t="s">
        <v>55</v>
      </c>
      <c r="B23" t="s">
        <v>57</v>
      </c>
      <c r="C23">
        <f>12+4+3</f>
        <v>19</v>
      </c>
      <c r="D23">
        <v>0</v>
      </c>
    </row>
    <row r="24" spans="1:4" x14ac:dyDescent="0.25">
      <c r="A24" t="s">
        <v>55</v>
      </c>
      <c r="B24" t="s">
        <v>58</v>
      </c>
      <c r="C24">
        <v>3</v>
      </c>
      <c r="D24">
        <v>15</v>
      </c>
    </row>
    <row r="25" spans="1:4" x14ac:dyDescent="0.25">
      <c r="A25" t="s">
        <v>60</v>
      </c>
      <c r="B25" t="s">
        <v>59</v>
      </c>
      <c r="C25">
        <v>3</v>
      </c>
      <c r="D25">
        <v>6</v>
      </c>
    </row>
    <row r="26" spans="1:4" x14ac:dyDescent="0.25">
      <c r="A26" t="s">
        <v>60</v>
      </c>
      <c r="B26" t="s">
        <v>61</v>
      </c>
      <c r="C26">
        <v>3</v>
      </c>
      <c r="D26">
        <v>6</v>
      </c>
    </row>
  </sheetData>
  <hyperlinks>
    <hyperlink ref="A1" r:id="rId1" xr:uid="{8A305B0C-3DB4-45A4-A5BB-90CD33793571}"/>
    <hyperlink ref="F1" r:id="rId2" xr:uid="{42AAF48A-B6A6-4845-98DE-28B3104C9116}"/>
    <hyperlink ref="H1" r:id="rId3" xr:uid="{83C36461-586E-46A7-AA9D-F270832FC59E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740C-1E12-483F-A889-B6461648BBBC}">
  <dimension ref="A1:O26"/>
  <sheetViews>
    <sheetView workbookViewId="0">
      <selection activeCell="O1" sqref="O1"/>
    </sheetView>
  </sheetViews>
  <sheetFormatPr defaultColWidth="11.42578125" defaultRowHeight="15" x14ac:dyDescent="0.25"/>
  <cols>
    <col min="1" max="1" width="9.140625" bestFit="1" customWidth="1"/>
    <col min="2" max="2" width="35.7109375" bestFit="1" customWidth="1"/>
  </cols>
  <sheetData>
    <row r="1" spans="1:15" x14ac:dyDescent="0.25">
      <c r="A1" s="9" t="s">
        <v>65</v>
      </c>
      <c r="B1" s="3" t="s">
        <v>66</v>
      </c>
      <c r="C1" s="3" t="s">
        <v>75</v>
      </c>
      <c r="D1" s="3" t="s">
        <v>76</v>
      </c>
      <c r="E1" s="5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M1" s="9" t="s">
        <v>134</v>
      </c>
      <c r="O1" s="9" t="s">
        <v>135</v>
      </c>
    </row>
    <row r="2" spans="1:15" x14ac:dyDescent="0.25">
      <c r="A2" s="3" t="s">
        <v>30</v>
      </c>
      <c r="B2" s="3" t="s">
        <v>29</v>
      </c>
      <c r="C2">
        <v>100</v>
      </c>
      <c r="D2" s="3">
        <v>100</v>
      </c>
      <c r="E2" s="5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</row>
    <row r="3" spans="1:15" x14ac:dyDescent="0.25">
      <c r="A3" s="3" t="s">
        <v>30</v>
      </c>
      <c r="B3" s="3" t="s">
        <v>31</v>
      </c>
      <c r="C3" s="3">
        <v>100</v>
      </c>
      <c r="D3" s="3">
        <v>100</v>
      </c>
      <c r="E3" s="5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spans="1:15" x14ac:dyDescent="0.25">
      <c r="A4" s="3" t="s">
        <v>33</v>
      </c>
      <c r="B4" s="3" t="s">
        <v>32</v>
      </c>
      <c r="C4" s="3">
        <v>100</v>
      </c>
      <c r="D4" s="3">
        <v>100</v>
      </c>
      <c r="E4" s="5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</row>
    <row r="5" spans="1:15" x14ac:dyDescent="0.25">
      <c r="A5" s="3" t="s">
        <v>33</v>
      </c>
      <c r="B5" s="3" t="s">
        <v>34</v>
      </c>
      <c r="C5" s="3">
        <v>100</v>
      </c>
      <c r="D5" s="3">
        <v>100</v>
      </c>
      <c r="E5" s="5">
        <v>100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</row>
    <row r="6" spans="1:15" x14ac:dyDescent="0.25">
      <c r="A6" s="3" t="s">
        <v>35</v>
      </c>
      <c r="B6" s="3" t="s">
        <v>8</v>
      </c>
      <c r="C6" s="1">
        <v>45</v>
      </c>
      <c r="D6" s="3">
        <v>45.5</v>
      </c>
      <c r="E6" s="5">
        <v>45.9</v>
      </c>
      <c r="F6" s="3">
        <v>46.4</v>
      </c>
      <c r="G6" s="3">
        <v>46.8</v>
      </c>
      <c r="H6" s="3">
        <v>47.3</v>
      </c>
      <c r="I6" s="3">
        <v>47.8</v>
      </c>
      <c r="J6" s="3">
        <v>48.2</v>
      </c>
      <c r="K6" s="3">
        <v>48.7</v>
      </c>
      <c r="L6" s="3"/>
      <c r="M6" s="3"/>
    </row>
    <row r="7" spans="1:15" x14ac:dyDescent="0.25">
      <c r="A7" s="3" t="s">
        <v>36</v>
      </c>
      <c r="B7" s="3" t="s">
        <v>16</v>
      </c>
      <c r="C7" s="3">
        <v>23</v>
      </c>
      <c r="D7" s="3">
        <v>23.2</v>
      </c>
      <c r="E7" s="5">
        <v>23.5</v>
      </c>
      <c r="F7" s="3">
        <v>23.7</v>
      </c>
      <c r="G7" s="3">
        <v>23.9</v>
      </c>
      <c r="H7" s="3">
        <v>24.2</v>
      </c>
      <c r="I7" s="3">
        <v>24.4</v>
      </c>
      <c r="J7" s="3">
        <v>24.7</v>
      </c>
      <c r="K7" s="3">
        <v>24.9</v>
      </c>
      <c r="L7" s="3"/>
      <c r="M7" s="3"/>
    </row>
    <row r="8" spans="1:15" x14ac:dyDescent="0.25">
      <c r="A8" s="3" t="s">
        <v>38</v>
      </c>
      <c r="B8" s="3" t="s">
        <v>67</v>
      </c>
      <c r="C8" s="3">
        <v>75</v>
      </c>
      <c r="D8" s="3">
        <v>75</v>
      </c>
      <c r="E8" s="5">
        <v>75</v>
      </c>
      <c r="F8" s="3">
        <v>75</v>
      </c>
      <c r="G8" s="3">
        <v>75</v>
      </c>
      <c r="H8" s="3">
        <v>75</v>
      </c>
      <c r="I8" s="3">
        <v>75</v>
      </c>
      <c r="J8" s="3">
        <v>75</v>
      </c>
      <c r="K8" s="3">
        <v>75</v>
      </c>
      <c r="L8" s="3"/>
      <c r="M8" s="3"/>
    </row>
    <row r="9" spans="1:15" x14ac:dyDescent="0.25">
      <c r="A9" s="3" t="s">
        <v>38</v>
      </c>
      <c r="B9" s="3" t="s">
        <v>68</v>
      </c>
      <c r="C9" s="3">
        <v>90</v>
      </c>
      <c r="D9" s="3">
        <v>90</v>
      </c>
      <c r="E9" s="5">
        <v>90</v>
      </c>
      <c r="F9" s="3">
        <v>90</v>
      </c>
      <c r="G9" s="3">
        <v>90</v>
      </c>
      <c r="H9" s="3">
        <v>90</v>
      </c>
      <c r="I9" s="3">
        <v>90</v>
      </c>
      <c r="J9" s="3">
        <v>90</v>
      </c>
      <c r="K9" s="3">
        <v>90</v>
      </c>
      <c r="L9" s="3"/>
      <c r="M9" s="3"/>
    </row>
    <row r="10" spans="1:15" x14ac:dyDescent="0.25">
      <c r="A10" s="3" t="s">
        <v>40</v>
      </c>
      <c r="B10" s="3" t="s">
        <v>41</v>
      </c>
      <c r="C10">
        <v>100</v>
      </c>
      <c r="D10" s="3">
        <v>100</v>
      </c>
      <c r="E10" s="5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spans="1:15" x14ac:dyDescent="0.25">
      <c r="A11" s="3" t="s">
        <v>42</v>
      </c>
      <c r="B11" s="3" t="s">
        <v>63</v>
      </c>
      <c r="C11" s="3">
        <v>33</v>
      </c>
      <c r="D11" s="3">
        <v>33.200000000000003</v>
      </c>
      <c r="E11" s="5">
        <v>33.299999999999997</v>
      </c>
      <c r="F11" s="3">
        <v>33.5</v>
      </c>
      <c r="G11" s="3">
        <v>33.700000000000003</v>
      </c>
      <c r="H11" s="3">
        <v>33.799999999999997</v>
      </c>
      <c r="I11" s="3">
        <v>34</v>
      </c>
      <c r="J11" s="3">
        <v>34.200000000000003</v>
      </c>
      <c r="K11" s="3">
        <v>34.299999999999997</v>
      </c>
      <c r="L11" s="3"/>
      <c r="M11" s="3"/>
    </row>
    <row r="12" spans="1:15" x14ac:dyDescent="0.25">
      <c r="A12" s="3" t="s">
        <v>48</v>
      </c>
      <c r="B12" s="3" t="s">
        <v>44</v>
      </c>
      <c r="C12" s="3">
        <v>48</v>
      </c>
      <c r="D12" s="3">
        <v>48.5</v>
      </c>
      <c r="E12" s="5">
        <v>49</v>
      </c>
      <c r="F12" s="3">
        <v>49.5</v>
      </c>
      <c r="G12" s="3">
        <v>49.9</v>
      </c>
      <c r="H12" s="3">
        <v>50.4</v>
      </c>
      <c r="I12" s="3">
        <v>51</v>
      </c>
      <c r="J12" s="3">
        <v>51.5</v>
      </c>
      <c r="K12" s="3">
        <v>52</v>
      </c>
      <c r="L12" s="3"/>
      <c r="M12" s="3"/>
    </row>
    <row r="13" spans="1:15" x14ac:dyDescent="0.25">
      <c r="A13" s="3" t="s">
        <v>48</v>
      </c>
      <c r="B13" s="3" t="s">
        <v>69</v>
      </c>
      <c r="C13" s="3">
        <v>38</v>
      </c>
      <c r="D13" s="3">
        <v>38.4</v>
      </c>
      <c r="E13" s="5">
        <v>38.799999999999997</v>
      </c>
      <c r="F13" s="3">
        <v>39.200000000000003</v>
      </c>
      <c r="G13" s="3">
        <v>39.5</v>
      </c>
      <c r="H13" s="3">
        <v>39.9</v>
      </c>
      <c r="I13" s="3">
        <v>40.299999999999997</v>
      </c>
      <c r="J13" s="3">
        <v>40.700000000000003</v>
      </c>
      <c r="K13" s="3">
        <v>41.1</v>
      </c>
      <c r="L13" s="3"/>
      <c r="M13" s="3"/>
    </row>
    <row r="14" spans="1:15" x14ac:dyDescent="0.25">
      <c r="A14" s="3" t="s">
        <v>48</v>
      </c>
      <c r="B14" s="3" t="s">
        <v>46</v>
      </c>
      <c r="C14" s="3">
        <v>46</v>
      </c>
      <c r="D14" s="3">
        <v>46.1</v>
      </c>
      <c r="E14" s="5">
        <v>46.2</v>
      </c>
      <c r="F14" s="3">
        <v>46.3</v>
      </c>
      <c r="G14" s="3">
        <v>46.4</v>
      </c>
      <c r="H14" s="3">
        <v>46.5</v>
      </c>
      <c r="I14" s="3">
        <v>46.6</v>
      </c>
      <c r="J14" s="3">
        <v>46.6</v>
      </c>
      <c r="K14" s="3">
        <v>46.7</v>
      </c>
      <c r="L14" s="3"/>
      <c r="M14" s="3"/>
    </row>
    <row r="15" spans="1:15" x14ac:dyDescent="0.25">
      <c r="A15" s="3" t="s">
        <v>48</v>
      </c>
      <c r="B15" s="3" t="s">
        <v>70</v>
      </c>
      <c r="C15" s="3">
        <v>31</v>
      </c>
      <c r="D15" s="3">
        <v>31.3</v>
      </c>
      <c r="E15" s="5">
        <v>31.6</v>
      </c>
      <c r="F15" s="3">
        <v>31.9</v>
      </c>
      <c r="G15" s="3">
        <v>32.299999999999997</v>
      </c>
      <c r="H15" s="3">
        <v>32.6</v>
      </c>
      <c r="I15" s="3">
        <v>32.9</v>
      </c>
      <c r="J15" s="3">
        <v>33.200000000000003</v>
      </c>
      <c r="K15" s="3">
        <v>33.6</v>
      </c>
      <c r="L15" s="3"/>
      <c r="M15" s="3"/>
    </row>
    <row r="16" spans="1:15" x14ac:dyDescent="0.25">
      <c r="A16" s="3" t="s">
        <v>48</v>
      </c>
      <c r="B16" s="3" t="s">
        <v>49</v>
      </c>
      <c r="C16" s="3">
        <v>39</v>
      </c>
      <c r="D16" s="3">
        <v>39</v>
      </c>
      <c r="E16" s="5">
        <v>39</v>
      </c>
      <c r="F16" s="3">
        <v>39</v>
      </c>
      <c r="G16" s="3">
        <v>39</v>
      </c>
      <c r="H16" s="3">
        <v>39</v>
      </c>
      <c r="I16" s="3">
        <v>39</v>
      </c>
      <c r="J16" s="3">
        <v>39</v>
      </c>
      <c r="K16" s="3">
        <v>39</v>
      </c>
      <c r="L16" s="3"/>
      <c r="M16" s="3"/>
    </row>
    <row r="17" spans="1:13" x14ac:dyDescent="0.25">
      <c r="A17" s="3" t="s">
        <v>48</v>
      </c>
      <c r="B17" s="3" t="s">
        <v>71</v>
      </c>
      <c r="C17" s="3">
        <v>28</v>
      </c>
      <c r="D17" s="3">
        <v>28.3</v>
      </c>
      <c r="E17" s="5">
        <v>28.6</v>
      </c>
      <c r="F17" s="3">
        <v>28.8</v>
      </c>
      <c r="G17" s="3">
        <v>29.1</v>
      </c>
      <c r="H17" s="3">
        <v>29.4</v>
      </c>
      <c r="I17" s="3">
        <v>29.7</v>
      </c>
      <c r="J17" s="3">
        <v>30</v>
      </c>
      <c r="K17" s="3">
        <v>30.3</v>
      </c>
      <c r="L17" s="3"/>
      <c r="M17" s="3"/>
    </row>
    <row r="18" spans="1:13" x14ac:dyDescent="0.25">
      <c r="A18" s="3" t="s">
        <v>48</v>
      </c>
      <c r="B18" s="3" t="s">
        <v>51</v>
      </c>
      <c r="C18" s="3">
        <v>43</v>
      </c>
      <c r="D18" s="3">
        <v>43.4</v>
      </c>
      <c r="E18" s="5">
        <v>43.9</v>
      </c>
      <c r="F18" s="3">
        <v>44.3</v>
      </c>
      <c r="G18" s="3">
        <v>44.7</v>
      </c>
      <c r="H18" s="3">
        <v>45.2</v>
      </c>
      <c r="I18" s="3">
        <v>45.6</v>
      </c>
      <c r="J18" s="3">
        <v>46.1</v>
      </c>
      <c r="K18" s="3">
        <v>46.6</v>
      </c>
      <c r="L18" s="3"/>
      <c r="M18" s="3"/>
    </row>
    <row r="19" spans="1:13" x14ac:dyDescent="0.25">
      <c r="A19" s="3" t="s">
        <v>48</v>
      </c>
      <c r="B19" s="3" t="s">
        <v>72</v>
      </c>
      <c r="C19" s="3">
        <v>30</v>
      </c>
      <c r="D19" s="3">
        <v>30.3</v>
      </c>
      <c r="E19" s="5">
        <v>30.6</v>
      </c>
      <c r="F19" s="3">
        <v>30.9</v>
      </c>
      <c r="G19" s="3">
        <v>31.2</v>
      </c>
      <c r="H19" s="3">
        <v>31.5</v>
      </c>
      <c r="I19" s="3">
        <v>31.8</v>
      </c>
      <c r="J19" s="3">
        <v>32.200000000000003</v>
      </c>
      <c r="K19" s="3">
        <v>32.5</v>
      </c>
      <c r="L19" s="3"/>
      <c r="M19" s="3"/>
    </row>
    <row r="20" spans="1:13" x14ac:dyDescent="0.25">
      <c r="A20" s="3" t="s">
        <v>55</v>
      </c>
      <c r="B20" s="3" t="s">
        <v>53</v>
      </c>
      <c r="C20" s="3">
        <v>60</v>
      </c>
      <c r="D20" s="3">
        <v>60.2</v>
      </c>
      <c r="E20" s="5">
        <v>60.5</v>
      </c>
      <c r="F20" s="3">
        <v>60.7</v>
      </c>
      <c r="G20" s="3">
        <v>61</v>
      </c>
      <c r="H20" s="3">
        <v>61.2</v>
      </c>
      <c r="I20" s="3">
        <v>61.5</v>
      </c>
      <c r="J20" s="3">
        <v>61.7</v>
      </c>
      <c r="K20" s="3">
        <v>61.9</v>
      </c>
      <c r="L20" s="3"/>
      <c r="M20" s="3"/>
    </row>
    <row r="21" spans="1:13" x14ac:dyDescent="0.25">
      <c r="A21" s="3" t="s">
        <v>55</v>
      </c>
      <c r="B21" s="3" t="s">
        <v>73</v>
      </c>
      <c r="C21" s="3">
        <v>48</v>
      </c>
      <c r="D21" s="3">
        <v>48.5</v>
      </c>
      <c r="E21" s="5">
        <v>49</v>
      </c>
      <c r="F21" s="3">
        <v>49.5</v>
      </c>
      <c r="G21" s="3">
        <v>49.9</v>
      </c>
      <c r="H21" s="3">
        <v>50.4</v>
      </c>
      <c r="I21" s="3">
        <v>51</v>
      </c>
      <c r="J21" s="3">
        <v>51.5</v>
      </c>
      <c r="K21" s="3">
        <v>52</v>
      </c>
      <c r="L21" s="3"/>
      <c r="M21" s="3"/>
    </row>
    <row r="22" spans="1:13" x14ac:dyDescent="0.25">
      <c r="A22" s="3" t="s">
        <v>55</v>
      </c>
      <c r="B22" s="3" t="s">
        <v>56</v>
      </c>
      <c r="C22" s="3">
        <v>39</v>
      </c>
      <c r="D22" s="3">
        <v>39.1</v>
      </c>
      <c r="E22" s="5">
        <v>39.200000000000003</v>
      </c>
      <c r="F22" s="3">
        <v>39.200000000000003</v>
      </c>
      <c r="G22" s="3">
        <v>39.299999999999997</v>
      </c>
      <c r="H22" s="3">
        <v>39.4</v>
      </c>
      <c r="I22" s="3">
        <v>39.5</v>
      </c>
      <c r="J22" s="3">
        <v>39.5</v>
      </c>
      <c r="K22" s="3">
        <v>39.6</v>
      </c>
      <c r="L22" s="3"/>
      <c r="M22" s="3"/>
    </row>
    <row r="23" spans="1:13" x14ac:dyDescent="0.25">
      <c r="A23" s="3" t="s">
        <v>55</v>
      </c>
      <c r="B23" s="3" t="s">
        <v>74</v>
      </c>
      <c r="C23" s="3">
        <v>31</v>
      </c>
      <c r="D23" s="3">
        <v>31.3</v>
      </c>
      <c r="E23" s="5">
        <v>31.6</v>
      </c>
      <c r="F23" s="3">
        <v>31.9</v>
      </c>
      <c r="G23" s="3">
        <v>32.299999999999997</v>
      </c>
      <c r="H23" s="3">
        <v>32.6</v>
      </c>
      <c r="I23" s="3">
        <v>32.9</v>
      </c>
      <c r="J23" s="3">
        <v>33.200000000000003</v>
      </c>
      <c r="K23" s="3">
        <v>33.6</v>
      </c>
      <c r="L23" s="3"/>
      <c r="M23" s="3"/>
    </row>
    <row r="24" spans="1:13" x14ac:dyDescent="0.25">
      <c r="A24" s="3" t="s">
        <v>55</v>
      </c>
      <c r="B24" s="3" t="s">
        <v>58</v>
      </c>
      <c r="C24" s="3">
        <v>41</v>
      </c>
      <c r="D24" s="3">
        <v>41.1</v>
      </c>
      <c r="E24" s="5">
        <v>41.2</v>
      </c>
      <c r="F24" s="3">
        <v>41.2</v>
      </c>
      <c r="G24" s="3">
        <v>41.3</v>
      </c>
      <c r="H24" s="3">
        <v>41.4</v>
      </c>
      <c r="I24" s="3">
        <v>41.5</v>
      </c>
      <c r="J24" s="3">
        <v>41.6</v>
      </c>
      <c r="K24" s="3">
        <v>41.7</v>
      </c>
      <c r="L24" s="3"/>
      <c r="M24" s="3"/>
    </row>
    <row r="25" spans="1:13" x14ac:dyDescent="0.25">
      <c r="A25" s="3" t="s">
        <v>60</v>
      </c>
      <c r="B25" s="3" t="s">
        <v>59</v>
      </c>
      <c r="C25" s="3">
        <v>39</v>
      </c>
      <c r="D25" s="3">
        <v>39.1</v>
      </c>
      <c r="E25" s="5">
        <v>39.200000000000003</v>
      </c>
      <c r="F25" s="3">
        <v>39.200000000000003</v>
      </c>
      <c r="G25" s="3">
        <v>39.299999999999997</v>
      </c>
      <c r="H25" s="3">
        <v>39.4</v>
      </c>
      <c r="I25" s="3">
        <v>39.5</v>
      </c>
      <c r="J25" s="3">
        <v>39.5</v>
      </c>
      <c r="K25" s="3">
        <v>39.6</v>
      </c>
      <c r="L25" s="3"/>
      <c r="M25" s="3"/>
    </row>
    <row r="26" spans="1:13" x14ac:dyDescent="0.25">
      <c r="A26" s="3" t="s">
        <v>60</v>
      </c>
      <c r="B26" s="3" t="s">
        <v>61</v>
      </c>
      <c r="C26" s="3">
        <v>41</v>
      </c>
      <c r="D26" s="3">
        <v>41</v>
      </c>
      <c r="E26" s="5">
        <v>41</v>
      </c>
      <c r="F26" s="3">
        <v>41</v>
      </c>
      <c r="G26" s="3">
        <v>41</v>
      </c>
      <c r="H26" s="3">
        <v>41</v>
      </c>
      <c r="I26" s="3">
        <v>41</v>
      </c>
      <c r="J26" s="3">
        <v>41</v>
      </c>
      <c r="K26" s="3">
        <v>41</v>
      </c>
      <c r="L26" s="3"/>
      <c r="M26" s="3"/>
    </row>
  </sheetData>
  <hyperlinks>
    <hyperlink ref="A1" r:id="rId1" xr:uid="{22F0C6CF-D0E5-4A2C-8D26-E1696823F4C4}"/>
    <hyperlink ref="M1" r:id="rId2" xr:uid="{7A449127-7804-4102-9EC9-E5D39FEA4021}"/>
    <hyperlink ref="O1" r:id="rId3" xr:uid="{B6D30E3D-B041-4A67-9EE1-C14200069C5A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070A-9BD7-438B-8F69-5C6DD87B384B}">
  <dimension ref="A1:S21"/>
  <sheetViews>
    <sheetView workbookViewId="0">
      <selection activeCell="J15" sqref="J15"/>
    </sheetView>
  </sheetViews>
  <sheetFormatPr defaultColWidth="11.42578125" defaultRowHeight="15" x14ac:dyDescent="0.25"/>
  <cols>
    <col min="1" max="1" width="22.28515625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16.85546875" bestFit="1" customWidth="1"/>
    <col min="14" max="14" width="14" bestFit="1" customWidth="1"/>
    <col min="15" max="15" width="23.7109375" bestFit="1" customWidth="1"/>
    <col min="16" max="16" width="34.28515625" bestFit="1" customWidth="1"/>
    <col min="18" max="18" width="16.42578125" bestFit="1" customWidth="1"/>
    <col min="19" max="19" width="15.140625" bestFit="1" customWidth="1"/>
    <col min="20" max="20" width="40.42578125" bestFit="1" customWidth="1"/>
  </cols>
  <sheetData>
    <row r="1" spans="1:19" x14ac:dyDescent="0.25">
      <c r="A1" s="3" t="s">
        <v>5</v>
      </c>
      <c r="B1" t="str" cm="1">
        <f t="array" ref="B1:H20">IF(ISBLANK(gen_technology!A1:G20),"",gen_technology!A1:G20)</f>
        <v>Technology</v>
      </c>
      <c r="C1" t="str">
        <v>capital_cost 2020 [€/kW]</v>
      </c>
      <c r="D1" t="str">
        <v>capital_cost 2020 [€/MW]</v>
      </c>
      <c r="E1" t="str">
        <v>fixedOM 2010 [€/kW/year]</v>
      </c>
      <c r="F1" t="str">
        <v>fixedOM 2010 [€/MW/hour]</v>
      </c>
      <c r="G1" t="str">
        <v>varOM 2010 [€/MWh]</v>
      </c>
      <c r="H1" t="str">
        <v>fuel_cost [€/MWh fuel]</v>
      </c>
      <c r="I1" t="str" cm="1">
        <f t="array" ref="I1:I10">IF(ISBLANK(gen_technology!H1:H10),"",gen_technology!H1:H10)</f>
        <v>efficiency 2020</v>
      </c>
      <c r="J1" t="str" cm="1">
        <f t="array" ref="J1:S20">IF(ISBLANK(gen_technology!I1:R20),"",gen_technology!I1:R20)</f>
        <v>emission factor [CO2 tons / MWh of fuel]</v>
      </c>
      <c r="K1" t="str">
        <v>fuel</v>
      </c>
      <c r="L1" t="str">
        <v>investment_optimization</v>
      </c>
      <c r="M1" t="str">
        <v>lifetime [years]</v>
      </c>
      <c r="N1" t="str">
        <v>lifetime [hours]</v>
      </c>
      <c r="O1" t="str">
        <v>unit_investment_cost 2020 [EUR/kW]</v>
      </c>
      <c r="P1" t="str">
        <v>unit_investment_cost 2020 [EUR/MW/year]</v>
      </c>
      <c r="Q1" t="str">
        <v>number_of_units</v>
      </c>
      <c r="R1" t="str">
        <v>candidate_units</v>
      </c>
      <c r="S1" t="str">
        <v>unit_investment_variable_type</v>
      </c>
    </row>
    <row r="2" spans="1:19" x14ac:dyDescent="0.25">
      <c r="A2" s="3" t="str">
        <f>$A$1&amp;"_biomass"</f>
        <v>BAL_biomass</v>
      </c>
      <c r="B2" t="str">
        <v>Biomass</v>
      </c>
      <c r="C2" s="1">
        <v>2350</v>
      </c>
      <c r="D2">
        <v>2350000</v>
      </c>
      <c r="E2" s="2">
        <v>100</v>
      </c>
      <c r="F2">
        <v>11.415525114155251</v>
      </c>
      <c r="G2">
        <v>0</v>
      </c>
      <c r="H2">
        <v>31</v>
      </c>
      <c r="I2">
        <v>0.45899999999999996</v>
      </c>
      <c r="J2">
        <v>0.4032</v>
      </c>
      <c r="K2" t="str">
        <v>biomass</v>
      </c>
      <c r="L2" t="str">
        <v/>
      </c>
      <c r="M2">
        <v>25</v>
      </c>
      <c r="N2" t="str">
        <v>219000h</v>
      </c>
      <c r="O2" s="1">
        <v>2350</v>
      </c>
      <c r="P2" s="1">
        <v>94000</v>
      </c>
      <c r="Q2" s="1">
        <v>0</v>
      </c>
      <c r="R2" s="1">
        <v>1</v>
      </c>
      <c r="S2" t="str">
        <v>unit_investment_variable_type_integer</v>
      </c>
    </row>
    <row r="3" spans="1:19" x14ac:dyDescent="0.25">
      <c r="A3" s="3" t="str">
        <f>$A$1&amp;"_brown-coal_lignite"</f>
        <v>BAL_brown-coal_lignite</v>
      </c>
      <c r="B3" t="str">
        <v>Fossil Brown coal/Lignite</v>
      </c>
      <c r="C3" s="1">
        <v>1500</v>
      </c>
      <c r="D3">
        <v>1500000</v>
      </c>
      <c r="E3" s="2">
        <v>30</v>
      </c>
      <c r="F3">
        <v>3.4246575342465753</v>
      </c>
      <c r="G3">
        <v>7</v>
      </c>
      <c r="H3">
        <v>8</v>
      </c>
      <c r="I3">
        <v>0.439</v>
      </c>
      <c r="J3">
        <v>0.36359999999999998</v>
      </c>
      <c r="K3" t="str">
        <v>coal</v>
      </c>
      <c r="L3" t="str">
        <v/>
      </c>
      <c r="M3">
        <v>40</v>
      </c>
      <c r="N3" t="str">
        <v>350400h</v>
      </c>
      <c r="O3" s="1">
        <v>1500</v>
      </c>
      <c r="P3" s="1">
        <v>37500</v>
      </c>
      <c r="Q3" s="1">
        <v>0</v>
      </c>
      <c r="R3" s="1">
        <v>1</v>
      </c>
      <c r="S3" t="str">
        <v>unit_investment_variable_type_integer</v>
      </c>
    </row>
    <row r="4" spans="1:19" x14ac:dyDescent="0.25">
      <c r="A4" s="3" t="str">
        <f>$A$1&amp;"_gas-coal-derived"</f>
        <v>BAL_gas-coal-derived</v>
      </c>
      <c r="B4" t="str">
        <v>Fossil Coal-derived gas</v>
      </c>
      <c r="C4" s="1">
        <v>800</v>
      </c>
      <c r="D4">
        <v>800000</v>
      </c>
      <c r="E4" s="2">
        <v>10</v>
      </c>
      <c r="F4">
        <v>1.1415525114155252</v>
      </c>
      <c r="G4">
        <v>10</v>
      </c>
      <c r="H4">
        <v>23.2</v>
      </c>
      <c r="I4">
        <v>0.4</v>
      </c>
      <c r="J4">
        <v>0.20196</v>
      </c>
      <c r="K4" t="str">
        <v>gas</v>
      </c>
      <c r="L4" t="str">
        <v/>
      </c>
      <c r="M4">
        <v>25</v>
      </c>
      <c r="N4" t="str">
        <v>219000h</v>
      </c>
      <c r="O4" s="1">
        <v>800</v>
      </c>
      <c r="P4" s="1">
        <v>32000</v>
      </c>
      <c r="Q4" s="1">
        <v>0</v>
      </c>
      <c r="R4" s="1">
        <v>1</v>
      </c>
      <c r="S4" t="str">
        <v>unit_investment_variable_type_integer</v>
      </c>
    </row>
    <row r="5" spans="1:19" x14ac:dyDescent="0.25">
      <c r="A5" s="3" t="str">
        <f>$A$1&amp;"_gas"</f>
        <v>BAL_gas</v>
      </c>
      <c r="B5" t="str">
        <v>Fossil Gas</v>
      </c>
      <c r="C5" s="1">
        <v>800</v>
      </c>
      <c r="D5">
        <v>800000</v>
      </c>
      <c r="E5" s="2">
        <v>10</v>
      </c>
      <c r="F5">
        <v>1.1415525114155252</v>
      </c>
      <c r="G5">
        <v>10</v>
      </c>
      <c r="H5">
        <v>23.2</v>
      </c>
      <c r="I5">
        <v>0.4</v>
      </c>
      <c r="J5">
        <v>0.20196</v>
      </c>
      <c r="K5" t="str">
        <v>gas</v>
      </c>
      <c r="L5" t="str">
        <v/>
      </c>
      <c r="M5">
        <v>25</v>
      </c>
      <c r="N5" t="str">
        <v>219000h</v>
      </c>
      <c r="O5" s="1">
        <v>800</v>
      </c>
      <c r="P5" s="1">
        <v>32000</v>
      </c>
      <c r="Q5" s="1">
        <v>0</v>
      </c>
      <c r="R5" s="1">
        <v>1</v>
      </c>
      <c r="S5" t="str">
        <v>unit_investment_variable_type_integer</v>
      </c>
    </row>
    <row r="6" spans="1:19" x14ac:dyDescent="0.25">
      <c r="A6" s="3" t="str">
        <f>$A$1&amp;"_hard-coal"</f>
        <v>BAL_hard-coal</v>
      </c>
      <c r="B6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>
        <v>7</v>
      </c>
      <c r="H6">
        <v>11</v>
      </c>
      <c r="I6" s="6">
        <v>0.4</v>
      </c>
      <c r="J6">
        <v>0.36359999999999998</v>
      </c>
      <c r="K6" t="str">
        <v>coal</v>
      </c>
      <c r="L6" t="str">
        <v/>
      </c>
      <c r="M6">
        <v>40</v>
      </c>
      <c r="N6" t="str">
        <v>350400h</v>
      </c>
      <c r="O6" s="1">
        <v>1800</v>
      </c>
      <c r="P6" s="1">
        <v>45000</v>
      </c>
      <c r="Q6" s="1">
        <v>0</v>
      </c>
      <c r="R6" s="1">
        <v>1</v>
      </c>
      <c r="S6" t="str">
        <v>unit_investment_variable_type_integer</v>
      </c>
    </row>
    <row r="7" spans="1:19" x14ac:dyDescent="0.25">
      <c r="A7" s="3" t="str">
        <f>$A$1&amp;"_oil"</f>
        <v>BAL_oil</v>
      </c>
      <c r="B7" t="str">
        <v>Fossil Oil</v>
      </c>
      <c r="C7" s="1">
        <v>1000</v>
      </c>
      <c r="D7">
        <v>1000000</v>
      </c>
      <c r="E7" s="2">
        <v>6</v>
      </c>
      <c r="F7">
        <v>0.68493150684931503</v>
      </c>
      <c r="G7">
        <v>3</v>
      </c>
      <c r="H7">
        <v>30</v>
      </c>
      <c r="I7">
        <v>0.4</v>
      </c>
      <c r="J7">
        <v>0.26639999999999997</v>
      </c>
      <c r="K7" t="str">
        <v>oil</v>
      </c>
      <c r="L7" t="str">
        <v/>
      </c>
      <c r="M7">
        <v>40</v>
      </c>
      <c r="N7" t="str">
        <v>350400h</v>
      </c>
      <c r="O7" s="1">
        <v>400</v>
      </c>
      <c r="P7" s="1">
        <v>10000</v>
      </c>
      <c r="Q7" s="1">
        <v>0</v>
      </c>
      <c r="R7" s="1">
        <v>1</v>
      </c>
      <c r="S7" t="str">
        <v>unit_investment_variable_type_integer</v>
      </c>
    </row>
    <row r="8" spans="1:19" x14ac:dyDescent="0.25">
      <c r="A8" s="3" t="str">
        <f>$A$1&amp;"_oil-shale"</f>
        <v>BAL_oil-shale</v>
      </c>
      <c r="B8" t="str">
        <v>Fossil Oil shale</v>
      </c>
      <c r="C8" s="1">
        <v>1000</v>
      </c>
      <c r="D8">
        <v>1000000</v>
      </c>
      <c r="E8" s="2">
        <v>6</v>
      </c>
      <c r="F8">
        <v>0.68493150684931503</v>
      </c>
      <c r="G8">
        <v>3</v>
      </c>
      <c r="H8">
        <v>26.5</v>
      </c>
      <c r="I8">
        <v>0.33</v>
      </c>
      <c r="J8">
        <v>0.26639999999999997</v>
      </c>
      <c r="K8" t="str">
        <v>oil</v>
      </c>
      <c r="L8" t="str">
        <v/>
      </c>
      <c r="M8">
        <v>40</v>
      </c>
      <c r="N8" t="str">
        <v>350400h</v>
      </c>
      <c r="O8" s="1">
        <v>1870</v>
      </c>
      <c r="P8" s="1">
        <v>46750</v>
      </c>
      <c r="Q8" s="1">
        <v>0</v>
      </c>
      <c r="R8" s="1">
        <v>1</v>
      </c>
      <c r="S8" t="str">
        <v>unit_investment_variable_type_integer</v>
      </c>
    </row>
    <row r="9" spans="1:19" x14ac:dyDescent="0.25">
      <c r="A9" s="3" t="str">
        <f>$A$1&amp;"_peat"</f>
        <v>BAL_peat</v>
      </c>
      <c r="B9" t="str">
        <v>Fossil Peat</v>
      </c>
      <c r="C9" s="1">
        <v>1500</v>
      </c>
      <c r="D9">
        <v>1500000</v>
      </c>
      <c r="E9" s="2">
        <v>15</v>
      </c>
      <c r="F9">
        <v>1.7123287671232876</v>
      </c>
      <c r="G9">
        <v>10</v>
      </c>
      <c r="H9">
        <v>8.9</v>
      </c>
      <c r="I9">
        <v>0.4</v>
      </c>
      <c r="J9">
        <v>0.38159999999999999</v>
      </c>
      <c r="K9" t="str">
        <v>peat</v>
      </c>
      <c r="L9" t="str">
        <v/>
      </c>
      <c r="M9">
        <v>25</v>
      </c>
      <c r="N9" t="str">
        <v>219000h</v>
      </c>
      <c r="O9" s="1">
        <v>1500</v>
      </c>
      <c r="P9" s="1">
        <v>60000</v>
      </c>
      <c r="Q9" s="1">
        <v>0</v>
      </c>
      <c r="R9" s="1">
        <v>1</v>
      </c>
      <c r="S9" t="str">
        <v>unit_investment_variable_type_integer</v>
      </c>
    </row>
    <row r="10" spans="1:19" x14ac:dyDescent="0.25">
      <c r="A10" s="3" t="str">
        <f>$A$1&amp;"_geothermal"</f>
        <v>BAL_geothermal</v>
      </c>
      <c r="B10" t="str">
        <v>Geothermal</v>
      </c>
      <c r="C10" s="1">
        <v>3775</v>
      </c>
      <c r="D10">
        <v>3775000</v>
      </c>
      <c r="E10">
        <v>80</v>
      </c>
      <c r="F10">
        <v>9.1324200913242013</v>
      </c>
      <c r="G10">
        <v>0</v>
      </c>
      <c r="H10" t="str">
        <v/>
      </c>
      <c r="I10">
        <v>0.23499999999999999</v>
      </c>
      <c r="J10" t="str">
        <v/>
      </c>
      <c r="K10" t="str">
        <v/>
      </c>
      <c r="L10" t="str">
        <v/>
      </c>
      <c r="M10">
        <v>30</v>
      </c>
      <c r="N10" t="str">
        <v>262800h</v>
      </c>
      <c r="O10">
        <v>3775</v>
      </c>
      <c r="P10">
        <v>125833.33333333333</v>
      </c>
      <c r="Q10">
        <v>0</v>
      </c>
      <c r="R10">
        <v>1</v>
      </c>
      <c r="S10" t="str">
        <v>unit_investment_variable_type_integer</v>
      </c>
    </row>
    <row r="11" spans="1:19" x14ac:dyDescent="0.25">
      <c r="A11" s="3" t="str">
        <f>$A$1&amp;"_hydro-pumped"</f>
        <v>BAL_hydro-pumped</v>
      </c>
      <c r="B11" t="str">
        <v>Hydro Pumped Storage</v>
      </c>
      <c r="C11">
        <v>2000</v>
      </c>
      <c r="D11">
        <v>2000000</v>
      </c>
      <c r="E11">
        <v>20</v>
      </c>
      <c r="F11">
        <v>2.2831050228310503</v>
      </c>
      <c r="G11">
        <v>0</v>
      </c>
      <c r="H11" t="str">
        <v/>
      </c>
      <c r="I11" s="3">
        <v>0.74</v>
      </c>
      <c r="J11" t="str">
        <v/>
      </c>
      <c r="K11" t="str">
        <v/>
      </c>
      <c r="L11" t="str">
        <v/>
      </c>
      <c r="M11">
        <v>80</v>
      </c>
      <c r="N11" t="str">
        <v>700800h</v>
      </c>
      <c r="O11">
        <v>2000</v>
      </c>
      <c r="P11">
        <v>25000</v>
      </c>
      <c r="Q11">
        <v>0</v>
      </c>
      <c r="R11">
        <v>1</v>
      </c>
      <c r="S11" t="str">
        <v>unit_investment_variable_type_integer</v>
      </c>
    </row>
    <row r="12" spans="1:19" x14ac:dyDescent="0.25">
      <c r="A12" s="3" t="str">
        <f>$A$1&amp;"_hydro-ror"</f>
        <v>BAL_hydro-ror</v>
      </c>
      <c r="B12" t="str">
        <v>Hydro Run-of-river and poundage</v>
      </c>
      <c r="C12">
        <v>3000</v>
      </c>
      <c r="D12">
        <v>3000000</v>
      </c>
      <c r="E12">
        <v>60</v>
      </c>
      <c r="F12">
        <v>6.8493150684931505</v>
      </c>
      <c r="G12">
        <v>0</v>
      </c>
      <c r="H12" t="str">
        <v/>
      </c>
      <c r="I12" cm="1">
        <f t="array" ref="I12:I20">IF(ISBLANK(gen_technology!H12:H20),"",gen_technology!H12:H20)</f>
        <v>0.9</v>
      </c>
      <c r="J12" t="str">
        <v/>
      </c>
      <c r="K12" t="str">
        <v/>
      </c>
      <c r="L12" t="str">
        <v/>
      </c>
      <c r="M12">
        <v>80</v>
      </c>
      <c r="N12" t="str">
        <v>700800h</v>
      </c>
      <c r="O12">
        <v>3000</v>
      </c>
      <c r="P12">
        <v>37500</v>
      </c>
      <c r="Q12">
        <v>0</v>
      </c>
      <c r="R12">
        <v>1</v>
      </c>
      <c r="S12" t="str">
        <v>unit_investment_variable_type_integer</v>
      </c>
    </row>
    <row r="13" spans="1:19" x14ac:dyDescent="0.25">
      <c r="A13" s="3" t="str">
        <f>$A$1&amp;"_marine"</f>
        <v>BAL_marine</v>
      </c>
      <c r="B13" t="str">
        <v>Marine</v>
      </c>
      <c r="C13">
        <v>4246</v>
      </c>
      <c r="D13">
        <v>4246000</v>
      </c>
      <c r="E13">
        <v>150</v>
      </c>
      <c r="F13">
        <v>17.123287671232877</v>
      </c>
      <c r="G13">
        <v>0</v>
      </c>
      <c r="H13" t="str">
        <v/>
      </c>
      <c r="I13">
        <v>1</v>
      </c>
      <c r="J13" t="str">
        <v/>
      </c>
      <c r="K13" t="str">
        <v/>
      </c>
      <c r="L13" t="str">
        <v/>
      </c>
      <c r="M13">
        <v>30</v>
      </c>
      <c r="N13" t="str">
        <v>262800h</v>
      </c>
      <c r="O13">
        <v>4246</v>
      </c>
      <c r="P13">
        <v>141533.33333333334</v>
      </c>
      <c r="Q13">
        <v>0</v>
      </c>
      <c r="R13">
        <v>1</v>
      </c>
      <c r="S13" t="str">
        <v>unit_investment_variable_type_integer</v>
      </c>
    </row>
    <row r="14" spans="1:19" x14ac:dyDescent="0.25">
      <c r="A14" s="3" t="str">
        <f>$A$1&amp;"_nuclear"</f>
        <v>BAL_nuclear</v>
      </c>
      <c r="B14" t="str">
        <v>Nuclear</v>
      </c>
      <c r="C14">
        <v>6000</v>
      </c>
      <c r="D14">
        <v>6000000</v>
      </c>
      <c r="E14">
        <v>120</v>
      </c>
      <c r="F14">
        <v>13.698630136986301</v>
      </c>
      <c r="G14">
        <v>10</v>
      </c>
      <c r="H14">
        <v>10</v>
      </c>
      <c r="I14">
        <v>0.33299999999999996</v>
      </c>
      <c r="J14">
        <v>0</v>
      </c>
      <c r="K14" t="str">
        <v>uranium</v>
      </c>
      <c r="L14" t="str">
        <v/>
      </c>
      <c r="M14">
        <v>60</v>
      </c>
      <c r="N14" t="str">
        <v>525600h</v>
      </c>
      <c r="O14">
        <v>6000</v>
      </c>
      <c r="P14">
        <v>100000</v>
      </c>
      <c r="Q14">
        <v>0</v>
      </c>
      <c r="R14">
        <v>1</v>
      </c>
      <c r="S14" t="str">
        <v>unit_investment_variable_type_integer</v>
      </c>
    </row>
    <row r="15" spans="1:19" x14ac:dyDescent="0.25">
      <c r="A15" s="3" t="str">
        <f>$A$1&amp;"_other"</f>
        <v>BAL_other</v>
      </c>
      <c r="B15" t="str">
        <v>Other</v>
      </c>
      <c r="C15">
        <v>2000</v>
      </c>
      <c r="D15">
        <v>2000000</v>
      </c>
      <c r="E15">
        <v>40</v>
      </c>
      <c r="F15">
        <v>4.5662100456621006</v>
      </c>
      <c r="G15">
        <v>10</v>
      </c>
      <c r="H15">
        <v>10</v>
      </c>
      <c r="I15">
        <v>0.5</v>
      </c>
      <c r="J15">
        <v>0.32400000000000001</v>
      </c>
      <c r="K15" t="str">
        <v>other</v>
      </c>
      <c r="L15" t="str">
        <v/>
      </c>
      <c r="M15">
        <v>25</v>
      </c>
      <c r="N15" t="str">
        <v>219000h</v>
      </c>
      <c r="O15">
        <v>3000</v>
      </c>
      <c r="P15">
        <v>120000</v>
      </c>
      <c r="Q15">
        <v>0</v>
      </c>
      <c r="R15">
        <v>1</v>
      </c>
      <c r="S15" t="str">
        <v>unit_investment_variable_type_integer</v>
      </c>
    </row>
    <row r="16" spans="1:19" x14ac:dyDescent="0.25">
      <c r="A16" s="3" t="str">
        <f>$A$1&amp;"_other-ren"</f>
        <v>BAL_other-ren</v>
      </c>
      <c r="B16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6">
        <v>0</v>
      </c>
      <c r="H16" s="6" t="str">
        <v/>
      </c>
      <c r="I16" s="6">
        <v>1</v>
      </c>
      <c r="J16" t="str">
        <v/>
      </c>
      <c r="K16" t="str">
        <v/>
      </c>
      <c r="L16" t="str">
        <v/>
      </c>
      <c r="M16">
        <v>25</v>
      </c>
      <c r="N16" t="str">
        <v>219000h</v>
      </c>
      <c r="O16">
        <v>2000</v>
      </c>
      <c r="P16">
        <v>80000</v>
      </c>
      <c r="Q16">
        <v>0</v>
      </c>
      <c r="R16">
        <v>1</v>
      </c>
      <c r="S16" t="str">
        <v>unit_investment_variable_type_integer</v>
      </c>
    </row>
    <row r="17" spans="1:19" x14ac:dyDescent="0.25">
      <c r="A17" s="3" t="str">
        <f>$A$1&amp;"_solar"</f>
        <v>BAL_solar</v>
      </c>
      <c r="B17" t="str">
        <v>Solar</v>
      </c>
      <c r="C17">
        <v>750</v>
      </c>
      <c r="D17">
        <v>750000</v>
      </c>
      <c r="E17">
        <v>25</v>
      </c>
      <c r="F17">
        <v>2.8538812785388128</v>
      </c>
      <c r="G17">
        <v>0</v>
      </c>
      <c r="H17" t="str">
        <v/>
      </c>
      <c r="I17">
        <v>1</v>
      </c>
      <c r="J17" t="str">
        <v/>
      </c>
      <c r="K17" t="str">
        <v/>
      </c>
      <c r="L17" t="str">
        <v/>
      </c>
      <c r="M17">
        <v>25</v>
      </c>
      <c r="N17" t="str">
        <v>219000h</v>
      </c>
      <c r="O17">
        <v>750</v>
      </c>
      <c r="P17">
        <v>30000</v>
      </c>
      <c r="Q17">
        <v>0</v>
      </c>
      <c r="R17">
        <v>1</v>
      </c>
      <c r="S17" t="str">
        <v>unit_investment_variable_type_integer</v>
      </c>
    </row>
    <row r="18" spans="1:19" x14ac:dyDescent="0.25">
      <c r="A18" s="3" t="str">
        <f>$A$1&amp;"_waste"</f>
        <v>BAL_waste</v>
      </c>
      <c r="B18" t="str">
        <v>Waste</v>
      </c>
      <c r="C18">
        <v>2350</v>
      </c>
      <c r="D18">
        <v>2350000</v>
      </c>
      <c r="E18">
        <v>100</v>
      </c>
      <c r="F18">
        <v>11.415525114155251</v>
      </c>
      <c r="G18">
        <v>0</v>
      </c>
      <c r="H18">
        <v>0</v>
      </c>
      <c r="I18">
        <v>0.45899999999999996</v>
      </c>
      <c r="J18">
        <v>0.34560000000000002</v>
      </c>
      <c r="K18" t="str">
        <v>waste</v>
      </c>
      <c r="L18" t="str">
        <v/>
      </c>
      <c r="M18">
        <v>25</v>
      </c>
      <c r="N18" t="str">
        <v>219000h</v>
      </c>
      <c r="O18">
        <v>2350</v>
      </c>
      <c r="P18">
        <v>94000</v>
      </c>
      <c r="Q18">
        <v>0</v>
      </c>
      <c r="R18">
        <v>1</v>
      </c>
      <c r="S18" t="str">
        <v>unit_investment_variable_type_integer</v>
      </c>
    </row>
    <row r="19" spans="1:19" x14ac:dyDescent="0.25">
      <c r="A19" s="3" t="str">
        <f>$A$1&amp;"_wind-off"</f>
        <v>BAL_wind-off</v>
      </c>
      <c r="B19" t="str">
        <v>Wind Offshore</v>
      </c>
      <c r="C19">
        <v>2742</v>
      </c>
      <c r="D19">
        <v>2742000</v>
      </c>
      <c r="E19">
        <v>80</v>
      </c>
      <c r="F19">
        <v>9.1324200913242013</v>
      </c>
      <c r="G19">
        <v>0</v>
      </c>
      <c r="H19" t="str">
        <v/>
      </c>
      <c r="I19">
        <v>1</v>
      </c>
      <c r="J19" t="str">
        <v/>
      </c>
      <c r="K19" t="str">
        <v/>
      </c>
      <c r="L19" t="str">
        <v/>
      </c>
      <c r="M19">
        <v>25</v>
      </c>
      <c r="N19" t="str">
        <v>219000h</v>
      </c>
      <c r="O19">
        <v>2742</v>
      </c>
      <c r="P19">
        <v>109680</v>
      </c>
      <c r="Q19">
        <v>0</v>
      </c>
      <c r="R19">
        <v>1</v>
      </c>
      <c r="S19" t="str">
        <v>unit_investment_variable_type_integer</v>
      </c>
    </row>
    <row r="20" spans="1:19" x14ac:dyDescent="0.25">
      <c r="A20" s="3" t="str">
        <f>$A$1&amp;"_wind-on"</f>
        <v>BAL_wind-on</v>
      </c>
      <c r="B20" t="str">
        <v>Wind Onshore</v>
      </c>
      <c r="C20">
        <v>1240</v>
      </c>
      <c r="D20">
        <v>1240000</v>
      </c>
      <c r="E20">
        <v>35</v>
      </c>
      <c r="F20">
        <v>3.9954337899543377</v>
      </c>
      <c r="G20">
        <v>0</v>
      </c>
      <c r="H20" t="str">
        <v/>
      </c>
      <c r="I20">
        <v>1</v>
      </c>
      <c r="J20" t="str">
        <v/>
      </c>
      <c r="K20" t="str">
        <v/>
      </c>
      <c r="L20" t="str">
        <v/>
      </c>
      <c r="M20">
        <v>25</v>
      </c>
      <c r="N20" t="str">
        <v>219000h</v>
      </c>
      <c r="O20">
        <v>1240</v>
      </c>
      <c r="P20">
        <v>49600</v>
      </c>
      <c r="Q20">
        <v>0</v>
      </c>
      <c r="R20">
        <v>1</v>
      </c>
      <c r="S20" t="str">
        <v>unit_investment_variable_type_integer</v>
      </c>
    </row>
    <row r="21" spans="1:19" x14ac:dyDescent="0.25">
      <c r="A21" t="s">
        <v>122</v>
      </c>
      <c r="B21" t="str">
        <f>B11</f>
        <v>Hydro Pumped Storage</v>
      </c>
      <c r="C21" s="3">
        <f t="shared" ref="C21:S21" si="0">C11</f>
        <v>2000</v>
      </c>
      <c r="D21" s="3">
        <f t="shared" si="0"/>
        <v>2000000</v>
      </c>
      <c r="E21" s="3">
        <f t="shared" si="0"/>
        <v>20</v>
      </c>
      <c r="F21" s="3">
        <f t="shared" si="0"/>
        <v>2.2831050228310503</v>
      </c>
      <c r="G21" s="3">
        <f t="shared" si="0"/>
        <v>0</v>
      </c>
      <c r="H21" s="3" t="str">
        <f t="shared" si="0"/>
        <v/>
      </c>
      <c r="I21" s="3">
        <f t="shared" si="0"/>
        <v>0.74</v>
      </c>
      <c r="J21" s="3" t="str">
        <f t="shared" si="0"/>
        <v/>
      </c>
      <c r="K21" s="3" t="str">
        <f t="shared" si="0"/>
        <v/>
      </c>
      <c r="L21" s="3" t="str">
        <f t="shared" si="0"/>
        <v/>
      </c>
      <c r="M21" s="3">
        <f t="shared" si="0"/>
        <v>80</v>
      </c>
      <c r="N21" s="3" t="str">
        <f t="shared" si="0"/>
        <v>700800h</v>
      </c>
      <c r="O21" s="3">
        <f t="shared" si="0"/>
        <v>2000</v>
      </c>
      <c r="P21" s="3">
        <f t="shared" si="0"/>
        <v>25000</v>
      </c>
      <c r="Q21" s="3">
        <f t="shared" si="0"/>
        <v>0</v>
      </c>
      <c r="R21" s="3">
        <f t="shared" si="0"/>
        <v>1</v>
      </c>
      <c r="S21" s="3" t="str">
        <f t="shared" si="0"/>
        <v>unit_investment_variable_type_integer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F1E0-9747-4357-8D5A-A7D3CC7547FB}">
  <dimension ref="A1:S21"/>
  <sheetViews>
    <sheetView workbookViewId="0">
      <selection activeCell="B2" sqref="B2"/>
    </sheetView>
  </sheetViews>
  <sheetFormatPr defaultColWidth="11.42578125" defaultRowHeight="15" x14ac:dyDescent="0.25"/>
  <cols>
    <col min="1" max="1" width="22.7109375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6.42578125" bestFit="1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19" x14ac:dyDescent="0.25">
      <c r="A1" s="3" t="s">
        <v>4</v>
      </c>
      <c r="B1" s="3" t="str" cm="1">
        <f t="array" ref="B1:S20">IF(ISBLANK(gen_technology!A1:R20),"",gen_technology!A1:R20)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 factor [CO2 tons / MWh of fuel]</v>
      </c>
      <c r="K1" s="3" t="str">
        <v>fuel</v>
      </c>
      <c r="L1" s="3" t="str">
        <v>investment_optimization</v>
      </c>
      <c r="M1" t="str">
        <v>lifetime [years]</v>
      </c>
      <c r="N1" t="str">
        <v>lifetime [hours]</v>
      </c>
      <c r="O1" t="str">
        <v>unit_investment_cost 2020 [EUR/kW]</v>
      </c>
      <c r="P1" t="str">
        <v>unit_investment_cost 2020 [EUR/MW/year]</v>
      </c>
      <c r="Q1" t="str">
        <v>number_of_units</v>
      </c>
      <c r="R1" t="str">
        <v>candidate_units</v>
      </c>
      <c r="S1" t="str">
        <v>unit_investment_variable_type</v>
      </c>
    </row>
    <row r="2" spans="1:19" x14ac:dyDescent="0.25">
      <c r="A2" s="3" t="str">
        <f>$A$1&amp;"_biomass"</f>
        <v>DEN_biomass</v>
      </c>
      <c r="B2" s="3" t="str">
        <v>Biomass</v>
      </c>
      <c r="C2" s="1">
        <v>2350</v>
      </c>
      <c r="D2" s="3">
        <v>2350000</v>
      </c>
      <c r="E2" s="2">
        <v>100</v>
      </c>
      <c r="F2" s="3">
        <v>11.415525114155251</v>
      </c>
      <c r="G2" s="3">
        <v>0</v>
      </c>
      <c r="H2" s="3">
        <v>31</v>
      </c>
      <c r="I2" s="3">
        <v>0.45899999999999996</v>
      </c>
      <c r="J2" s="3">
        <v>0.4032</v>
      </c>
      <c r="K2" s="3" t="str">
        <v>biomass</v>
      </c>
      <c r="L2" s="3" t="str">
        <v/>
      </c>
      <c r="M2">
        <v>25</v>
      </c>
      <c r="N2" s="1" t="str">
        <v>219000h</v>
      </c>
      <c r="O2" s="1">
        <v>2350</v>
      </c>
      <c r="P2" s="1">
        <v>94000</v>
      </c>
      <c r="Q2" s="1">
        <v>0</v>
      </c>
      <c r="R2">
        <v>1</v>
      </c>
      <c r="S2" t="str">
        <v>unit_investment_variable_type_integer</v>
      </c>
    </row>
    <row r="3" spans="1:19" x14ac:dyDescent="0.25">
      <c r="A3" s="3" t="str">
        <f>$A$1&amp;"_brown-coal_lignite"</f>
        <v>DEN_brown-coal_lignite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0.36359999999999998</v>
      </c>
      <c r="K3" s="3" t="str">
        <v>coal</v>
      </c>
      <c r="L3" s="3" t="str">
        <v/>
      </c>
      <c r="M3">
        <v>40</v>
      </c>
      <c r="N3" s="1" t="str">
        <v>350400h</v>
      </c>
      <c r="O3" s="1">
        <v>1500</v>
      </c>
      <c r="P3" s="1">
        <v>37500</v>
      </c>
      <c r="Q3" s="1">
        <v>0</v>
      </c>
      <c r="R3">
        <v>1</v>
      </c>
      <c r="S3" t="str">
        <v>unit_investment_variable_type_integer</v>
      </c>
    </row>
    <row r="4" spans="1:19" x14ac:dyDescent="0.25">
      <c r="A4" s="3" t="str">
        <f>$A$1&amp;"_gas-coal-derived"</f>
        <v>DEN_gas-coal-derived</v>
      </c>
      <c r="B4" s="3" t="str">
        <v>Fossil Coal-derived gas</v>
      </c>
      <c r="C4" s="1">
        <v>800</v>
      </c>
      <c r="D4" s="3">
        <v>800000</v>
      </c>
      <c r="E4" s="2">
        <v>10</v>
      </c>
      <c r="F4" s="3">
        <v>1.1415525114155252</v>
      </c>
      <c r="G4" s="3">
        <v>10</v>
      </c>
      <c r="H4" s="3">
        <v>23.2</v>
      </c>
      <c r="I4" s="3">
        <v>0.4</v>
      </c>
      <c r="J4" s="3">
        <v>0.20196</v>
      </c>
      <c r="K4" s="3" t="str">
        <v>gas</v>
      </c>
      <c r="L4" s="3" t="str">
        <v/>
      </c>
      <c r="M4">
        <v>25</v>
      </c>
      <c r="N4" s="1" t="str">
        <v>219000h</v>
      </c>
      <c r="O4" s="1">
        <v>800</v>
      </c>
      <c r="P4" s="1">
        <v>32000</v>
      </c>
      <c r="Q4" s="1">
        <v>0</v>
      </c>
      <c r="R4">
        <v>1</v>
      </c>
      <c r="S4" t="str">
        <v>unit_investment_variable_type_integer</v>
      </c>
    </row>
    <row r="5" spans="1:19" x14ac:dyDescent="0.25">
      <c r="A5" s="3" t="str">
        <f>$A$1&amp;"_gas"</f>
        <v>DEN_gas</v>
      </c>
      <c r="B5" s="3" t="str">
        <v>Fossil Gas</v>
      </c>
      <c r="C5" s="1">
        <v>800</v>
      </c>
      <c r="D5" s="3">
        <v>800000</v>
      </c>
      <c r="E5" s="2">
        <v>10</v>
      </c>
      <c r="F5" s="3">
        <v>1.1415525114155252</v>
      </c>
      <c r="G5" s="3">
        <v>10</v>
      </c>
      <c r="H5" s="3">
        <v>23.2</v>
      </c>
      <c r="I5" s="3">
        <v>0.4</v>
      </c>
      <c r="J5" s="3">
        <v>0.20196</v>
      </c>
      <c r="K5" s="3" t="str">
        <v>gas</v>
      </c>
      <c r="L5" s="3" t="str">
        <v/>
      </c>
      <c r="M5">
        <v>25</v>
      </c>
      <c r="N5" s="1" t="str">
        <v>219000h</v>
      </c>
      <c r="O5" s="1">
        <v>800</v>
      </c>
      <c r="P5" s="1">
        <v>32000</v>
      </c>
      <c r="Q5" s="1">
        <v>0</v>
      </c>
      <c r="R5">
        <v>1</v>
      </c>
      <c r="S5" t="str">
        <v>unit_investment_variable_type_integer</v>
      </c>
    </row>
    <row r="6" spans="1:19" x14ac:dyDescent="0.25">
      <c r="A6" s="3" t="str">
        <f>$A$1&amp;"_hard-coal"</f>
        <v>DEN_hard-coal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0.36359999999999998</v>
      </c>
      <c r="K6" s="3" t="str">
        <v>coal</v>
      </c>
      <c r="L6" s="3" t="str">
        <v/>
      </c>
      <c r="M6">
        <v>40</v>
      </c>
      <c r="N6" s="1" t="str">
        <v>350400h</v>
      </c>
      <c r="O6" s="1">
        <v>1800</v>
      </c>
      <c r="P6" s="1">
        <v>45000</v>
      </c>
      <c r="Q6" s="1">
        <v>0</v>
      </c>
      <c r="R6">
        <v>1</v>
      </c>
      <c r="S6" t="str">
        <v>unit_investment_variable_type_integer</v>
      </c>
    </row>
    <row r="7" spans="1:19" x14ac:dyDescent="0.25">
      <c r="A7" s="3" t="str">
        <f>$A$1&amp;"_oil"</f>
        <v>DEN_oil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0.26639999999999997</v>
      </c>
      <c r="K7" s="3" t="str">
        <v>oil</v>
      </c>
      <c r="L7" s="3" t="str">
        <v/>
      </c>
      <c r="M7">
        <v>40</v>
      </c>
      <c r="N7" s="1" t="str">
        <v>350400h</v>
      </c>
      <c r="O7" s="1">
        <v>400</v>
      </c>
      <c r="P7" s="1">
        <v>10000</v>
      </c>
      <c r="Q7" s="1">
        <v>0</v>
      </c>
      <c r="R7">
        <v>1</v>
      </c>
      <c r="S7" t="str">
        <v>unit_investment_variable_type_integer</v>
      </c>
    </row>
    <row r="8" spans="1:19" x14ac:dyDescent="0.25">
      <c r="A8" s="3" t="str">
        <f>$A$1&amp;"_oil-shale"</f>
        <v>DEN_oil-shale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0.26639999999999997</v>
      </c>
      <c r="K8" s="3" t="str">
        <v>oil</v>
      </c>
      <c r="L8" s="3" t="str">
        <v/>
      </c>
      <c r="M8">
        <v>40</v>
      </c>
      <c r="N8" s="1" t="str">
        <v>350400h</v>
      </c>
      <c r="O8" s="1">
        <v>1870</v>
      </c>
      <c r="P8" s="1">
        <v>46750</v>
      </c>
      <c r="Q8" s="1">
        <v>0</v>
      </c>
      <c r="R8">
        <v>1</v>
      </c>
      <c r="S8" t="str">
        <v>unit_investment_variable_type_integer</v>
      </c>
    </row>
    <row r="9" spans="1:19" x14ac:dyDescent="0.25">
      <c r="A9" s="3" t="str">
        <f>$A$1&amp;"_peat"</f>
        <v>DEN_peat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0.38159999999999999</v>
      </c>
      <c r="K9" s="3" t="str">
        <v>peat</v>
      </c>
      <c r="L9" s="3" t="str">
        <v/>
      </c>
      <c r="M9">
        <v>25</v>
      </c>
      <c r="N9" s="1" t="str">
        <v>219000h</v>
      </c>
      <c r="O9" s="1">
        <v>1500</v>
      </c>
      <c r="P9" s="1">
        <v>60000</v>
      </c>
      <c r="Q9" s="1">
        <v>0</v>
      </c>
      <c r="R9">
        <v>1</v>
      </c>
      <c r="S9" t="str">
        <v>unit_investment_variable_type_integer</v>
      </c>
    </row>
    <row r="10" spans="1:19" x14ac:dyDescent="0.25">
      <c r="A10" s="3" t="str">
        <f>$A$1&amp;"_geothermal"</f>
        <v>DEN_geothermal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0</v>
      </c>
      <c r="H10" s="3" t="str">
        <v/>
      </c>
      <c r="I10" s="3">
        <v>0.23499999999999999</v>
      </c>
      <c r="J10" s="3" t="str">
        <v/>
      </c>
      <c r="K10" s="3" t="str">
        <v/>
      </c>
      <c r="L10" s="3" t="str">
        <v/>
      </c>
      <c r="M10">
        <v>30</v>
      </c>
      <c r="N10" t="str">
        <v>262800h</v>
      </c>
      <c r="O10">
        <v>3775</v>
      </c>
      <c r="P10">
        <v>125833.33333333333</v>
      </c>
      <c r="Q10">
        <v>0</v>
      </c>
      <c r="R10">
        <v>1</v>
      </c>
      <c r="S10" t="str">
        <v>unit_investment_variable_type_integer</v>
      </c>
    </row>
    <row r="11" spans="1:19" x14ac:dyDescent="0.25">
      <c r="A11" s="3" t="str">
        <f>$A$1&amp;"_hydro-pumped"</f>
        <v>DEN_hydro-pumped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 t="str">
        <v/>
      </c>
      <c r="I11" s="3">
        <v>0.75</v>
      </c>
      <c r="J11" s="3" t="str">
        <v/>
      </c>
      <c r="K11" s="3" t="str">
        <v/>
      </c>
      <c r="L11" s="3" t="str">
        <v/>
      </c>
      <c r="M11">
        <v>80</v>
      </c>
      <c r="N11" t="str">
        <v>700800h</v>
      </c>
      <c r="O11">
        <v>2000</v>
      </c>
      <c r="P11">
        <v>25000</v>
      </c>
      <c r="Q11">
        <v>0</v>
      </c>
      <c r="R11">
        <v>1</v>
      </c>
      <c r="S11" t="str">
        <v>unit_investment_variable_type_integer</v>
      </c>
    </row>
    <row r="12" spans="1:19" x14ac:dyDescent="0.25">
      <c r="A12" s="3" t="str">
        <f>$A$1&amp;"_hydro-ror"</f>
        <v>DEN_hydro-ror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 t="str">
        <v/>
      </c>
      <c r="I12" s="3">
        <v>0.9</v>
      </c>
      <c r="J12" s="3" t="str">
        <v/>
      </c>
      <c r="K12" s="3" t="str">
        <v/>
      </c>
      <c r="L12" s="3" t="str">
        <v/>
      </c>
      <c r="M12">
        <v>80</v>
      </c>
      <c r="N12" t="str">
        <v>700800h</v>
      </c>
      <c r="O12">
        <v>3000</v>
      </c>
      <c r="P12">
        <v>37500</v>
      </c>
      <c r="Q12">
        <v>0</v>
      </c>
      <c r="R12">
        <v>1</v>
      </c>
      <c r="S12" t="str">
        <v>unit_investment_variable_type_integer</v>
      </c>
    </row>
    <row r="13" spans="1:19" x14ac:dyDescent="0.25">
      <c r="A13" s="3" t="str">
        <f>$A$1&amp;"_marine"</f>
        <v>DEN_marine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 t="str">
        <v/>
      </c>
      <c r="I13" s="3">
        <v>1</v>
      </c>
      <c r="J13" s="3" t="str">
        <v/>
      </c>
      <c r="K13" s="3" t="str">
        <v/>
      </c>
      <c r="L13" s="3" t="str">
        <v/>
      </c>
      <c r="M13">
        <v>30</v>
      </c>
      <c r="N13" t="str">
        <v>262800h</v>
      </c>
      <c r="O13">
        <v>4246</v>
      </c>
      <c r="P13">
        <v>141533.33333333334</v>
      </c>
      <c r="Q13">
        <v>0</v>
      </c>
      <c r="R13">
        <v>1</v>
      </c>
      <c r="S13" t="str">
        <v>unit_investment_variable_type_integer</v>
      </c>
    </row>
    <row r="14" spans="1:19" x14ac:dyDescent="0.25">
      <c r="A14" s="3" t="str">
        <f>$A$1&amp;"_nuclear"</f>
        <v>DEN_nuclear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10</v>
      </c>
      <c r="H14" s="3">
        <v>10</v>
      </c>
      <c r="I14" s="3">
        <v>0.33299999999999996</v>
      </c>
      <c r="J14" s="3">
        <v>0</v>
      </c>
      <c r="K14" s="3" t="str">
        <v>uranium</v>
      </c>
      <c r="L14" s="3" t="str">
        <v/>
      </c>
      <c r="M14">
        <v>60</v>
      </c>
      <c r="N14" t="str">
        <v>525600h</v>
      </c>
      <c r="O14">
        <v>6000</v>
      </c>
      <c r="P14">
        <v>100000</v>
      </c>
      <c r="Q14">
        <v>0</v>
      </c>
      <c r="R14">
        <v>1</v>
      </c>
      <c r="S14" t="str">
        <v>unit_investment_variable_type_integer</v>
      </c>
    </row>
    <row r="15" spans="1:19" x14ac:dyDescent="0.25">
      <c r="A15" s="3" t="str">
        <f>$A$1&amp;"_other"</f>
        <v>DEN_other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0.32400000000000001</v>
      </c>
      <c r="K15" s="3" t="str">
        <v>other</v>
      </c>
      <c r="L15" s="3" t="str">
        <v/>
      </c>
      <c r="M15">
        <v>25</v>
      </c>
      <c r="N15" t="str">
        <v>219000h</v>
      </c>
      <c r="O15">
        <v>3000</v>
      </c>
      <c r="P15">
        <v>120000</v>
      </c>
      <c r="Q15">
        <v>0</v>
      </c>
      <c r="R15">
        <v>1</v>
      </c>
      <c r="S15" t="str">
        <v>unit_investment_variable_type_integer</v>
      </c>
    </row>
    <row r="16" spans="1:19" x14ac:dyDescent="0.25">
      <c r="A16" s="3" t="str">
        <f>$A$1&amp;"_other-ren"</f>
        <v>DEN_other-ren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6">
        <v>0</v>
      </c>
      <c r="H16" s="6" t="str">
        <v/>
      </c>
      <c r="I16" s="6">
        <v>1</v>
      </c>
      <c r="J16" s="3" t="str">
        <v/>
      </c>
      <c r="K16" s="3" t="str">
        <v/>
      </c>
      <c r="L16" s="3" t="str">
        <v/>
      </c>
      <c r="M16">
        <v>25</v>
      </c>
      <c r="N16" t="str">
        <v>219000h</v>
      </c>
      <c r="O16">
        <v>2000</v>
      </c>
      <c r="P16">
        <v>80000</v>
      </c>
      <c r="Q16">
        <v>0</v>
      </c>
      <c r="R16">
        <v>1</v>
      </c>
      <c r="S16" t="str">
        <v>unit_investment_variable_type_integer</v>
      </c>
    </row>
    <row r="17" spans="1:19" x14ac:dyDescent="0.25">
      <c r="A17" s="3" t="str">
        <f>$A$1&amp;"_solar"</f>
        <v>DEN_solar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 t="str">
        <v/>
      </c>
      <c r="I17" s="3">
        <v>1</v>
      </c>
      <c r="J17" s="3" t="str">
        <v/>
      </c>
      <c r="K17" s="3" t="str">
        <v/>
      </c>
      <c r="L17" s="3" t="str">
        <v/>
      </c>
      <c r="M17">
        <v>25</v>
      </c>
      <c r="N17" t="str">
        <v>219000h</v>
      </c>
      <c r="O17">
        <v>750</v>
      </c>
      <c r="P17">
        <v>30000</v>
      </c>
      <c r="Q17">
        <v>0</v>
      </c>
      <c r="R17">
        <v>1</v>
      </c>
      <c r="S17" t="str">
        <v>unit_investment_variable_type_integer</v>
      </c>
    </row>
    <row r="18" spans="1:19" x14ac:dyDescent="0.25">
      <c r="A18" s="3" t="str">
        <f>$A$1&amp;"_waste"</f>
        <v>DEN_waste</v>
      </c>
      <c r="B18" s="3" t="str">
        <v>Waste</v>
      </c>
      <c r="C18" s="3">
        <v>2350</v>
      </c>
      <c r="D18" s="3">
        <v>2350000</v>
      </c>
      <c r="E18" s="3">
        <v>100</v>
      </c>
      <c r="F18" s="3">
        <v>11.415525114155251</v>
      </c>
      <c r="G18" s="3">
        <v>0</v>
      </c>
      <c r="H18" s="3">
        <v>0</v>
      </c>
      <c r="I18" s="3">
        <v>0.45899999999999996</v>
      </c>
      <c r="J18" s="3">
        <v>0.34560000000000002</v>
      </c>
      <c r="K18" s="3" t="str">
        <v>waste</v>
      </c>
      <c r="L18" s="3" t="str">
        <v/>
      </c>
      <c r="M18">
        <v>25</v>
      </c>
      <c r="N18" t="str">
        <v>219000h</v>
      </c>
      <c r="O18">
        <v>2350</v>
      </c>
      <c r="P18">
        <v>94000</v>
      </c>
      <c r="Q18">
        <v>0</v>
      </c>
      <c r="R18">
        <v>1</v>
      </c>
      <c r="S18" t="str">
        <v>unit_investment_variable_type_integer</v>
      </c>
    </row>
    <row r="19" spans="1:19" x14ac:dyDescent="0.25">
      <c r="A19" s="3" t="str">
        <f>$A$1&amp;"_wind-off"</f>
        <v>DEN_wind-off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 t="str">
        <v/>
      </c>
      <c r="I19" s="3">
        <v>1</v>
      </c>
      <c r="J19" s="3" t="str">
        <v/>
      </c>
      <c r="K19" s="3" t="str">
        <v/>
      </c>
      <c r="L19" s="3" t="str">
        <v/>
      </c>
      <c r="M19">
        <v>25</v>
      </c>
      <c r="N19" t="str">
        <v>219000h</v>
      </c>
      <c r="O19">
        <v>2742</v>
      </c>
      <c r="P19">
        <v>109680</v>
      </c>
      <c r="Q19">
        <v>0</v>
      </c>
      <c r="R19">
        <v>1</v>
      </c>
      <c r="S19" t="str">
        <v>unit_investment_variable_type_integer</v>
      </c>
    </row>
    <row r="20" spans="1:19" x14ac:dyDescent="0.25">
      <c r="A20" s="3" t="str">
        <f>$A$1&amp;"_wind-on"</f>
        <v>DEN_wind-on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 t="str">
        <v/>
      </c>
      <c r="I20" s="3">
        <v>1</v>
      </c>
      <c r="J20" s="3" t="str">
        <v/>
      </c>
      <c r="K20" s="3" t="str">
        <v/>
      </c>
      <c r="L20" s="3" t="str">
        <v/>
      </c>
      <c r="M20">
        <v>25</v>
      </c>
      <c r="N20" t="str">
        <v>219000h</v>
      </c>
      <c r="O20">
        <v>1240</v>
      </c>
      <c r="P20">
        <v>49600</v>
      </c>
      <c r="Q20">
        <v>0</v>
      </c>
      <c r="R20">
        <v>1</v>
      </c>
      <c r="S20" t="str">
        <v>unit_investment_variable_type_integer</v>
      </c>
    </row>
    <row r="21" spans="1:19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5E63-FE78-4977-BF11-BB06A432590F}">
  <dimension ref="A1:S21"/>
  <sheetViews>
    <sheetView workbookViewId="0">
      <selection activeCell="B2" sqref="B2"/>
    </sheetView>
  </sheetViews>
  <sheetFormatPr defaultColWidth="11.42578125" defaultRowHeight="15" x14ac:dyDescent="0.25"/>
  <cols>
    <col min="1" max="1" width="22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6.42578125" bestFit="1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19" x14ac:dyDescent="0.25">
      <c r="A1" s="3" t="s">
        <v>1</v>
      </c>
      <c r="B1" s="3" t="str" cm="1">
        <f t="array" ref="B1:S20">IF(ISBLANK(gen_technology!A1:R20),"",gen_technology!A1:R20)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 factor [CO2 tons / MWh of fuel]</v>
      </c>
      <c r="K1" s="3" t="str">
        <v>fuel</v>
      </c>
      <c r="L1" s="3" t="str">
        <v>investment_optimization</v>
      </c>
      <c r="M1" t="str">
        <v>lifetime [years]</v>
      </c>
      <c r="N1" t="str">
        <v>lifetime [hours]</v>
      </c>
      <c r="O1" t="str">
        <v>unit_investment_cost 2020 [EUR/kW]</v>
      </c>
      <c r="P1" t="str">
        <v>unit_investment_cost 2020 [EUR/MW/year]</v>
      </c>
      <c r="Q1" t="str">
        <v>number_of_units</v>
      </c>
      <c r="R1" t="str">
        <v>candidate_units</v>
      </c>
      <c r="S1" t="str">
        <v>unit_investment_variable_type</v>
      </c>
    </row>
    <row r="2" spans="1:19" x14ac:dyDescent="0.25">
      <c r="A2" s="3" t="str">
        <f>$A$1&amp;"_biomass"</f>
        <v>FIN_biomass</v>
      </c>
      <c r="B2" s="3" t="str">
        <v>Biomass</v>
      </c>
      <c r="C2" s="1">
        <v>2350</v>
      </c>
      <c r="D2" s="3">
        <v>2350000</v>
      </c>
      <c r="E2" s="2">
        <v>100</v>
      </c>
      <c r="F2" s="3">
        <v>11.415525114155251</v>
      </c>
      <c r="G2" s="3">
        <v>0</v>
      </c>
      <c r="H2" s="3">
        <v>31</v>
      </c>
      <c r="I2" s="3">
        <v>0.45899999999999996</v>
      </c>
      <c r="J2" s="3">
        <v>0.4032</v>
      </c>
      <c r="K2" s="3" t="str">
        <v>biomass</v>
      </c>
      <c r="L2" s="3" t="str">
        <v/>
      </c>
      <c r="M2">
        <v>25</v>
      </c>
      <c r="N2" s="1" t="str">
        <v>219000h</v>
      </c>
      <c r="O2" s="1">
        <v>2350</v>
      </c>
      <c r="P2" s="1">
        <v>94000</v>
      </c>
      <c r="Q2" s="1">
        <v>0</v>
      </c>
      <c r="R2">
        <v>1</v>
      </c>
      <c r="S2" t="str">
        <v>unit_investment_variable_type_integer</v>
      </c>
    </row>
    <row r="3" spans="1:19" x14ac:dyDescent="0.25">
      <c r="A3" s="3" t="str">
        <f>$A$1&amp;"_brown-coal_lignite"</f>
        <v>FIN_brown-coal_lignite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0.36359999999999998</v>
      </c>
      <c r="K3" s="3" t="str">
        <v>coal</v>
      </c>
      <c r="L3" s="3" t="str">
        <v/>
      </c>
      <c r="M3">
        <v>40</v>
      </c>
      <c r="N3" s="1" t="str">
        <v>350400h</v>
      </c>
      <c r="O3" s="1">
        <v>1500</v>
      </c>
      <c r="P3" s="1">
        <v>37500</v>
      </c>
      <c r="Q3" s="1">
        <v>0</v>
      </c>
      <c r="R3">
        <v>1</v>
      </c>
      <c r="S3" t="str">
        <v>unit_investment_variable_type_integer</v>
      </c>
    </row>
    <row r="4" spans="1:19" x14ac:dyDescent="0.25">
      <c r="A4" s="3" t="str">
        <f>$A$1&amp;"_gas-coal-derived"</f>
        <v>FIN_gas-coal-derived</v>
      </c>
      <c r="B4" s="3" t="str">
        <v>Fossil Coal-derived gas</v>
      </c>
      <c r="C4" s="1">
        <v>800</v>
      </c>
      <c r="D4" s="3">
        <v>800000</v>
      </c>
      <c r="E4" s="2">
        <v>10</v>
      </c>
      <c r="F4" s="3">
        <v>1.1415525114155252</v>
      </c>
      <c r="G4" s="3">
        <v>10</v>
      </c>
      <c r="H4" s="3">
        <v>23.2</v>
      </c>
      <c r="I4" s="3">
        <v>0.4</v>
      </c>
      <c r="J4" s="3">
        <v>0.20196</v>
      </c>
      <c r="K4" s="3" t="str">
        <v>gas</v>
      </c>
      <c r="L4" s="3" t="str">
        <v/>
      </c>
      <c r="M4">
        <v>25</v>
      </c>
      <c r="N4" s="1" t="str">
        <v>219000h</v>
      </c>
      <c r="O4" s="1">
        <v>800</v>
      </c>
      <c r="P4" s="1">
        <v>32000</v>
      </c>
      <c r="Q4" s="1">
        <v>0</v>
      </c>
      <c r="R4">
        <v>1</v>
      </c>
      <c r="S4" t="str">
        <v>unit_investment_variable_type_integer</v>
      </c>
    </row>
    <row r="5" spans="1:19" x14ac:dyDescent="0.25">
      <c r="A5" s="3" t="str">
        <f>$A$1&amp;"_gas"</f>
        <v>FIN_gas</v>
      </c>
      <c r="B5" s="3" t="str">
        <v>Fossil Gas</v>
      </c>
      <c r="C5" s="1">
        <v>800</v>
      </c>
      <c r="D5" s="3">
        <v>800000</v>
      </c>
      <c r="E5" s="2">
        <v>10</v>
      </c>
      <c r="F5" s="3">
        <v>1.1415525114155252</v>
      </c>
      <c r="G5" s="3">
        <v>10</v>
      </c>
      <c r="H5" s="3">
        <v>23.2</v>
      </c>
      <c r="I5" s="3">
        <v>0.4</v>
      </c>
      <c r="J5" s="3">
        <v>0.20196</v>
      </c>
      <c r="K5" s="3" t="str">
        <v>gas</v>
      </c>
      <c r="L5" s="3" t="str">
        <v/>
      </c>
      <c r="M5">
        <v>25</v>
      </c>
      <c r="N5" s="1" t="str">
        <v>219000h</v>
      </c>
      <c r="O5" s="1">
        <v>800</v>
      </c>
      <c r="P5" s="1">
        <v>32000</v>
      </c>
      <c r="Q5" s="1">
        <v>0</v>
      </c>
      <c r="R5">
        <v>1</v>
      </c>
      <c r="S5" t="str">
        <v>unit_investment_variable_type_integer</v>
      </c>
    </row>
    <row r="6" spans="1:19" x14ac:dyDescent="0.25">
      <c r="A6" s="3" t="str">
        <f>$A$1&amp;"_hard-coal"</f>
        <v>FIN_hard-coal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0.36359999999999998</v>
      </c>
      <c r="K6" s="3" t="str">
        <v>coal</v>
      </c>
      <c r="L6" s="3" t="str">
        <v/>
      </c>
      <c r="M6">
        <v>40</v>
      </c>
      <c r="N6" s="1" t="str">
        <v>350400h</v>
      </c>
      <c r="O6" s="1">
        <v>1800</v>
      </c>
      <c r="P6" s="1">
        <v>45000</v>
      </c>
      <c r="Q6" s="1">
        <v>0</v>
      </c>
      <c r="R6">
        <v>1</v>
      </c>
      <c r="S6" t="str">
        <v>unit_investment_variable_type_integer</v>
      </c>
    </row>
    <row r="7" spans="1:19" x14ac:dyDescent="0.25">
      <c r="A7" s="3" t="str">
        <f>$A$1&amp;"_oil"</f>
        <v>FIN_oil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0.26639999999999997</v>
      </c>
      <c r="K7" s="3" t="str">
        <v>oil</v>
      </c>
      <c r="L7" s="3" t="str">
        <v/>
      </c>
      <c r="M7">
        <v>40</v>
      </c>
      <c r="N7" s="1" t="str">
        <v>350400h</v>
      </c>
      <c r="O7" s="1">
        <v>400</v>
      </c>
      <c r="P7" s="1">
        <v>10000</v>
      </c>
      <c r="Q7" s="1">
        <v>0</v>
      </c>
      <c r="R7">
        <v>1</v>
      </c>
      <c r="S7" t="str">
        <v>unit_investment_variable_type_integer</v>
      </c>
    </row>
    <row r="8" spans="1:19" x14ac:dyDescent="0.25">
      <c r="A8" s="3" t="str">
        <f>$A$1&amp;"_oil-shale"</f>
        <v>FIN_oil-shale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0.26639999999999997</v>
      </c>
      <c r="K8" s="3" t="str">
        <v>oil</v>
      </c>
      <c r="L8" s="3" t="str">
        <v/>
      </c>
      <c r="M8">
        <v>40</v>
      </c>
      <c r="N8" s="1" t="str">
        <v>350400h</v>
      </c>
      <c r="O8" s="1">
        <v>1870</v>
      </c>
      <c r="P8" s="1">
        <v>46750</v>
      </c>
      <c r="Q8" s="1">
        <v>0</v>
      </c>
      <c r="R8">
        <v>1</v>
      </c>
      <c r="S8" t="str">
        <v>unit_investment_variable_type_integer</v>
      </c>
    </row>
    <row r="9" spans="1:19" x14ac:dyDescent="0.25">
      <c r="A9" s="3" t="str">
        <f>$A$1&amp;"_peat"</f>
        <v>FIN_peat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0.38159999999999999</v>
      </c>
      <c r="K9" s="3" t="str">
        <v>peat</v>
      </c>
      <c r="L9" s="3" t="str">
        <v/>
      </c>
      <c r="M9">
        <v>25</v>
      </c>
      <c r="N9" s="1" t="str">
        <v>219000h</v>
      </c>
      <c r="O9" s="1">
        <v>1500</v>
      </c>
      <c r="P9" s="1">
        <v>60000</v>
      </c>
      <c r="Q9" s="1">
        <v>0</v>
      </c>
      <c r="R9">
        <v>1</v>
      </c>
      <c r="S9" t="str">
        <v>unit_investment_variable_type_integer</v>
      </c>
    </row>
    <row r="10" spans="1:19" x14ac:dyDescent="0.25">
      <c r="A10" s="3" t="str">
        <f>$A$1&amp;"_geothermal"</f>
        <v>FIN_geothermal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0</v>
      </c>
      <c r="H10" s="3" t="str">
        <v/>
      </c>
      <c r="I10" s="3">
        <v>0.23499999999999999</v>
      </c>
      <c r="J10" s="3" t="str">
        <v/>
      </c>
      <c r="K10" s="3" t="str">
        <v/>
      </c>
      <c r="L10" s="3" t="str">
        <v/>
      </c>
      <c r="M10">
        <v>30</v>
      </c>
      <c r="N10" t="str">
        <v>262800h</v>
      </c>
      <c r="O10">
        <v>3775</v>
      </c>
      <c r="P10">
        <v>125833.33333333333</v>
      </c>
      <c r="Q10">
        <v>0</v>
      </c>
      <c r="R10">
        <v>1</v>
      </c>
      <c r="S10" t="str">
        <v>unit_investment_variable_type_integer</v>
      </c>
    </row>
    <row r="11" spans="1:19" x14ac:dyDescent="0.25">
      <c r="A11" s="3" t="str">
        <f>$A$1&amp;"_hydro-pumped"</f>
        <v>FIN_hydro-pumped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 t="str">
        <v/>
      </c>
      <c r="I11" s="3">
        <v>0.75</v>
      </c>
      <c r="J11" s="3" t="str">
        <v/>
      </c>
      <c r="K11" s="3" t="str">
        <v/>
      </c>
      <c r="L11" s="3" t="str">
        <v/>
      </c>
      <c r="M11">
        <v>80</v>
      </c>
      <c r="N11" t="str">
        <v>700800h</v>
      </c>
      <c r="O11">
        <v>2000</v>
      </c>
      <c r="P11">
        <v>25000</v>
      </c>
      <c r="Q11">
        <v>0</v>
      </c>
      <c r="R11">
        <v>1</v>
      </c>
      <c r="S11" t="str">
        <v>unit_investment_variable_type_integer</v>
      </c>
    </row>
    <row r="12" spans="1:19" x14ac:dyDescent="0.25">
      <c r="A12" s="3" t="str">
        <f>$A$1&amp;"_hydro-ror"</f>
        <v>FIN_hydro-ror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 t="str">
        <v/>
      </c>
      <c r="I12" s="3">
        <v>0.9</v>
      </c>
      <c r="J12" s="3" t="str">
        <v/>
      </c>
      <c r="K12" s="3" t="str">
        <v/>
      </c>
      <c r="L12" s="3" t="str">
        <v/>
      </c>
      <c r="M12">
        <v>80</v>
      </c>
      <c r="N12" t="str">
        <v>700800h</v>
      </c>
      <c r="O12">
        <v>3000</v>
      </c>
      <c r="P12">
        <v>37500</v>
      </c>
      <c r="Q12">
        <v>0</v>
      </c>
      <c r="R12">
        <v>1</v>
      </c>
      <c r="S12" t="str">
        <v>unit_investment_variable_type_integer</v>
      </c>
    </row>
    <row r="13" spans="1:19" x14ac:dyDescent="0.25">
      <c r="A13" s="3" t="str">
        <f>$A$1&amp;"_marine"</f>
        <v>FIN_marine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 t="str">
        <v/>
      </c>
      <c r="I13" s="3">
        <v>1</v>
      </c>
      <c r="J13" s="3" t="str">
        <v/>
      </c>
      <c r="K13" s="3" t="str">
        <v/>
      </c>
      <c r="L13" s="3" t="str">
        <v/>
      </c>
      <c r="M13">
        <v>30</v>
      </c>
      <c r="N13" t="str">
        <v>262800h</v>
      </c>
      <c r="O13">
        <v>4246</v>
      </c>
      <c r="P13">
        <v>141533.33333333334</v>
      </c>
      <c r="Q13">
        <v>0</v>
      </c>
      <c r="R13">
        <v>1</v>
      </c>
      <c r="S13" t="str">
        <v>unit_investment_variable_type_integer</v>
      </c>
    </row>
    <row r="14" spans="1:19" x14ac:dyDescent="0.25">
      <c r="A14" s="3" t="str">
        <f>$A$1&amp;"_nuclear"</f>
        <v>FIN_nuclear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10</v>
      </c>
      <c r="H14" s="3">
        <v>10</v>
      </c>
      <c r="I14" s="3">
        <v>0.33299999999999996</v>
      </c>
      <c r="J14" s="3">
        <v>0</v>
      </c>
      <c r="K14" s="3" t="str">
        <v>uranium</v>
      </c>
      <c r="L14" s="3" t="str">
        <v/>
      </c>
      <c r="M14">
        <v>60</v>
      </c>
      <c r="N14" t="str">
        <v>525600h</v>
      </c>
      <c r="O14">
        <v>6000</v>
      </c>
      <c r="P14">
        <v>100000</v>
      </c>
      <c r="Q14">
        <v>0</v>
      </c>
      <c r="R14">
        <v>1</v>
      </c>
      <c r="S14" t="str">
        <v>unit_investment_variable_type_integer</v>
      </c>
    </row>
    <row r="15" spans="1:19" x14ac:dyDescent="0.25">
      <c r="A15" s="3" t="str">
        <f>$A$1&amp;"_other"</f>
        <v>FIN_other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0.32400000000000001</v>
      </c>
      <c r="K15" s="3" t="str">
        <v>other</v>
      </c>
      <c r="L15" s="3" t="str">
        <v/>
      </c>
      <c r="M15">
        <v>25</v>
      </c>
      <c r="N15" t="str">
        <v>219000h</v>
      </c>
      <c r="O15">
        <v>3000</v>
      </c>
      <c r="P15">
        <v>120000</v>
      </c>
      <c r="Q15">
        <v>0</v>
      </c>
      <c r="R15">
        <v>1</v>
      </c>
      <c r="S15" t="str">
        <v>unit_investment_variable_type_integer</v>
      </c>
    </row>
    <row r="16" spans="1:19" x14ac:dyDescent="0.25">
      <c r="A16" s="3" t="str">
        <f>$A$1&amp;"_other-ren"</f>
        <v>FIN_other-ren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6">
        <v>0</v>
      </c>
      <c r="H16" s="6" t="str">
        <v/>
      </c>
      <c r="I16" s="6">
        <v>1</v>
      </c>
      <c r="J16" s="3" t="str">
        <v/>
      </c>
      <c r="K16" s="3" t="str">
        <v/>
      </c>
      <c r="L16" s="3" t="str">
        <v/>
      </c>
      <c r="M16">
        <v>25</v>
      </c>
      <c r="N16" t="str">
        <v>219000h</v>
      </c>
      <c r="O16">
        <v>2000</v>
      </c>
      <c r="P16">
        <v>80000</v>
      </c>
      <c r="Q16">
        <v>0</v>
      </c>
      <c r="R16">
        <v>1</v>
      </c>
      <c r="S16" t="str">
        <v>unit_investment_variable_type_integer</v>
      </c>
    </row>
    <row r="17" spans="1:19" x14ac:dyDescent="0.25">
      <c r="A17" s="3" t="str">
        <f>$A$1&amp;"_solar"</f>
        <v>FIN_solar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 t="str">
        <v/>
      </c>
      <c r="I17" s="3">
        <v>1</v>
      </c>
      <c r="J17" s="3" t="str">
        <v/>
      </c>
      <c r="K17" s="3" t="str">
        <v/>
      </c>
      <c r="L17" s="3" t="str">
        <v/>
      </c>
      <c r="M17">
        <v>25</v>
      </c>
      <c r="N17" t="str">
        <v>219000h</v>
      </c>
      <c r="O17">
        <v>750</v>
      </c>
      <c r="P17">
        <v>30000</v>
      </c>
      <c r="Q17">
        <v>0</v>
      </c>
      <c r="R17">
        <v>1</v>
      </c>
      <c r="S17" t="str">
        <v>unit_investment_variable_type_integer</v>
      </c>
    </row>
    <row r="18" spans="1:19" x14ac:dyDescent="0.25">
      <c r="A18" s="3" t="str">
        <f>$A$1&amp;"_waste"</f>
        <v>FIN_waste</v>
      </c>
      <c r="B18" s="3" t="str">
        <v>Waste</v>
      </c>
      <c r="C18" s="3">
        <v>2350</v>
      </c>
      <c r="D18" s="3">
        <v>2350000</v>
      </c>
      <c r="E18" s="3">
        <v>100</v>
      </c>
      <c r="F18" s="3">
        <v>11.415525114155251</v>
      </c>
      <c r="G18" s="3">
        <v>0</v>
      </c>
      <c r="H18" s="3">
        <v>0</v>
      </c>
      <c r="I18" s="3">
        <v>0.45899999999999996</v>
      </c>
      <c r="J18" s="3">
        <v>0.34560000000000002</v>
      </c>
      <c r="K18" s="3" t="str">
        <v>waste</v>
      </c>
      <c r="L18" s="3" t="str">
        <v/>
      </c>
      <c r="M18">
        <v>25</v>
      </c>
      <c r="N18" t="str">
        <v>219000h</v>
      </c>
      <c r="O18">
        <v>2350</v>
      </c>
      <c r="P18">
        <v>94000</v>
      </c>
      <c r="Q18">
        <v>0</v>
      </c>
      <c r="R18">
        <v>1</v>
      </c>
      <c r="S18" t="str">
        <v>unit_investment_variable_type_integer</v>
      </c>
    </row>
    <row r="19" spans="1:19" x14ac:dyDescent="0.25">
      <c r="A19" s="3" t="str">
        <f>$A$1&amp;"_wind-off"</f>
        <v>FIN_wind-off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 t="str">
        <v/>
      </c>
      <c r="I19" s="3">
        <v>1</v>
      </c>
      <c r="J19" s="3" t="str">
        <v/>
      </c>
      <c r="K19" s="3" t="str">
        <v/>
      </c>
      <c r="L19" s="3" t="str">
        <v/>
      </c>
      <c r="M19">
        <v>25</v>
      </c>
      <c r="N19" t="str">
        <v>219000h</v>
      </c>
      <c r="O19">
        <v>2742</v>
      </c>
      <c r="P19">
        <v>109680</v>
      </c>
      <c r="Q19">
        <v>0</v>
      </c>
      <c r="R19">
        <v>1</v>
      </c>
      <c r="S19" t="str">
        <v>unit_investment_variable_type_integer</v>
      </c>
    </row>
    <row r="20" spans="1:19" x14ac:dyDescent="0.25">
      <c r="A20" s="3" t="str">
        <f>$A$1&amp;"_wind-on"</f>
        <v>FIN_wind-on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 t="str">
        <v/>
      </c>
      <c r="I20" s="3">
        <v>1</v>
      </c>
      <c r="J20" s="3" t="str">
        <v/>
      </c>
      <c r="K20" s="3" t="str">
        <v/>
      </c>
      <c r="L20" s="3" t="str">
        <v/>
      </c>
      <c r="M20">
        <v>25</v>
      </c>
      <c r="N20" t="str">
        <v>219000h</v>
      </c>
      <c r="O20">
        <v>1240</v>
      </c>
      <c r="P20">
        <v>49600</v>
      </c>
      <c r="Q20">
        <v>0</v>
      </c>
      <c r="R20">
        <v>1</v>
      </c>
      <c r="S20" t="str">
        <v>unit_investment_variable_type_integer</v>
      </c>
    </row>
    <row r="21" spans="1:19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ED2E-ACC2-4B22-B399-C1D8678EE4FE}">
  <dimension ref="A1:S30"/>
  <sheetViews>
    <sheetView workbookViewId="0">
      <selection activeCell="I11" sqref="I11"/>
    </sheetView>
  </sheetViews>
  <sheetFormatPr defaultColWidth="11.42578125" defaultRowHeight="15" x14ac:dyDescent="0.25"/>
  <cols>
    <col min="1" max="1" width="23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6.42578125" bestFit="1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19" x14ac:dyDescent="0.25">
      <c r="A1" s="3" t="s">
        <v>2</v>
      </c>
      <c r="B1" s="3" t="str" cm="1">
        <f t="array" ref="B1:S20">IF(ISBLANK(gen_technology!A1:R20),"",gen_technology!A1:R20)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 factor [CO2 tons / MWh of fuel]</v>
      </c>
      <c r="K1" s="3" t="str">
        <v>fuel</v>
      </c>
      <c r="L1" s="3" t="str">
        <v>investment_optimization</v>
      </c>
      <c r="M1" t="str">
        <v>lifetime [years]</v>
      </c>
      <c r="N1" t="str">
        <v>lifetime [hours]</v>
      </c>
      <c r="O1" t="str">
        <v>unit_investment_cost 2020 [EUR/kW]</v>
      </c>
      <c r="P1" t="str">
        <v>unit_investment_cost 2020 [EUR/MW/year]</v>
      </c>
      <c r="Q1" t="str">
        <v>number_of_units</v>
      </c>
      <c r="R1" t="str">
        <v>candidate_units</v>
      </c>
      <c r="S1" t="str">
        <v>unit_investment_variable_type</v>
      </c>
    </row>
    <row r="2" spans="1:19" x14ac:dyDescent="0.25">
      <c r="A2" s="3" t="str">
        <f>$A$1&amp;"_biomass"</f>
        <v>NOR_biomass</v>
      </c>
      <c r="B2" s="3" t="str">
        <v>Biomass</v>
      </c>
      <c r="C2" s="1">
        <v>2350</v>
      </c>
      <c r="D2" s="3">
        <v>2350000</v>
      </c>
      <c r="E2" s="2">
        <v>100</v>
      </c>
      <c r="F2" s="3">
        <v>11.415525114155251</v>
      </c>
      <c r="G2" s="3">
        <v>0</v>
      </c>
      <c r="H2" s="3">
        <v>31</v>
      </c>
      <c r="I2" s="3">
        <v>0.45899999999999996</v>
      </c>
      <c r="J2" s="3">
        <v>0.4032</v>
      </c>
      <c r="K2" s="3" t="str">
        <v>biomass</v>
      </c>
      <c r="L2" s="3" t="str">
        <v/>
      </c>
      <c r="M2">
        <v>25</v>
      </c>
      <c r="N2" s="1" t="str">
        <v>219000h</v>
      </c>
      <c r="O2" s="1">
        <v>2350</v>
      </c>
      <c r="P2" s="1">
        <v>94000</v>
      </c>
      <c r="Q2" s="1">
        <v>0</v>
      </c>
      <c r="R2">
        <v>1</v>
      </c>
      <c r="S2" t="str">
        <v>unit_investment_variable_type_integer</v>
      </c>
    </row>
    <row r="3" spans="1:19" x14ac:dyDescent="0.25">
      <c r="A3" s="3" t="str">
        <f>$A$1&amp;"_brown-coal_lignite"</f>
        <v>NOR_brown-coal_lignite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0.36359999999999998</v>
      </c>
      <c r="K3" s="3" t="str">
        <v>coal</v>
      </c>
      <c r="L3" s="3" t="str">
        <v/>
      </c>
      <c r="M3">
        <v>40</v>
      </c>
      <c r="N3" s="1" t="str">
        <v>350400h</v>
      </c>
      <c r="O3" s="1">
        <v>1500</v>
      </c>
      <c r="P3" s="1">
        <v>37500</v>
      </c>
      <c r="Q3" s="1">
        <v>0</v>
      </c>
      <c r="R3">
        <v>1</v>
      </c>
      <c r="S3" t="str">
        <v>unit_investment_variable_type_integer</v>
      </c>
    </row>
    <row r="4" spans="1:19" x14ac:dyDescent="0.25">
      <c r="A4" s="3" t="str">
        <f>$A$1&amp;"_gas-coal-derived"</f>
        <v>NOR_gas-coal-derived</v>
      </c>
      <c r="B4" s="3" t="str">
        <v>Fossil Coal-derived gas</v>
      </c>
      <c r="C4" s="1">
        <v>800</v>
      </c>
      <c r="D4" s="3">
        <v>800000</v>
      </c>
      <c r="E4" s="2">
        <v>10</v>
      </c>
      <c r="F4" s="3">
        <v>1.1415525114155252</v>
      </c>
      <c r="G4" s="3">
        <v>10</v>
      </c>
      <c r="H4" s="3">
        <v>23.2</v>
      </c>
      <c r="I4" s="3">
        <v>0.4</v>
      </c>
      <c r="J4" s="3">
        <v>0.20196</v>
      </c>
      <c r="K4" s="3" t="str">
        <v>gas</v>
      </c>
      <c r="L4" s="3" t="str">
        <v/>
      </c>
      <c r="M4">
        <v>25</v>
      </c>
      <c r="N4" s="1" t="str">
        <v>219000h</v>
      </c>
      <c r="O4" s="1">
        <v>800</v>
      </c>
      <c r="P4" s="1">
        <v>32000</v>
      </c>
      <c r="Q4" s="1">
        <v>0</v>
      </c>
      <c r="R4">
        <v>1</v>
      </c>
      <c r="S4" t="str">
        <v>unit_investment_variable_type_integer</v>
      </c>
    </row>
    <row r="5" spans="1:19" x14ac:dyDescent="0.25">
      <c r="A5" s="3" t="str">
        <f>$A$1&amp;"_gas"</f>
        <v>NOR_gas</v>
      </c>
      <c r="B5" s="3" t="str">
        <v>Fossil Gas</v>
      </c>
      <c r="C5" s="1">
        <v>800</v>
      </c>
      <c r="D5" s="3">
        <v>800000</v>
      </c>
      <c r="E5" s="2">
        <v>10</v>
      </c>
      <c r="F5" s="3">
        <v>1.1415525114155252</v>
      </c>
      <c r="G5" s="3">
        <v>10</v>
      </c>
      <c r="H5" s="3">
        <v>23.2</v>
      </c>
      <c r="I5" s="3">
        <v>0.4</v>
      </c>
      <c r="J5" s="3">
        <v>0.20196</v>
      </c>
      <c r="K5" s="3" t="str">
        <v>gas</v>
      </c>
      <c r="L5" s="3" t="str">
        <v/>
      </c>
      <c r="M5">
        <v>25</v>
      </c>
      <c r="N5" s="1" t="str">
        <v>219000h</v>
      </c>
      <c r="O5" s="1">
        <v>800</v>
      </c>
      <c r="P5" s="1">
        <v>32000</v>
      </c>
      <c r="Q5" s="1">
        <v>0</v>
      </c>
      <c r="R5">
        <v>1</v>
      </c>
      <c r="S5" t="str">
        <v>unit_investment_variable_type_integer</v>
      </c>
    </row>
    <row r="6" spans="1:19" x14ac:dyDescent="0.25">
      <c r="A6" s="3" t="str">
        <f>$A$1&amp;"_hard-coal"</f>
        <v>NOR_hard-coal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0.36359999999999998</v>
      </c>
      <c r="K6" s="3" t="str">
        <v>coal</v>
      </c>
      <c r="L6" s="3" t="str">
        <v/>
      </c>
      <c r="M6">
        <v>40</v>
      </c>
      <c r="N6" s="1" t="str">
        <v>350400h</v>
      </c>
      <c r="O6" s="1">
        <v>1800</v>
      </c>
      <c r="P6" s="1">
        <v>45000</v>
      </c>
      <c r="Q6" s="1">
        <v>0</v>
      </c>
      <c r="R6">
        <v>1</v>
      </c>
      <c r="S6" t="str">
        <v>unit_investment_variable_type_integer</v>
      </c>
    </row>
    <row r="7" spans="1:19" x14ac:dyDescent="0.25">
      <c r="A7" s="3" t="str">
        <f>$A$1&amp;"_oil"</f>
        <v>NOR_oil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0.26639999999999997</v>
      </c>
      <c r="K7" s="3" t="str">
        <v>oil</v>
      </c>
      <c r="L7" s="3" t="str">
        <v/>
      </c>
      <c r="M7">
        <v>40</v>
      </c>
      <c r="N7" s="1" t="str">
        <v>350400h</v>
      </c>
      <c r="O7" s="1">
        <v>400</v>
      </c>
      <c r="P7" s="1">
        <v>10000</v>
      </c>
      <c r="Q7" s="1">
        <v>0</v>
      </c>
      <c r="R7">
        <v>1</v>
      </c>
      <c r="S7" t="str">
        <v>unit_investment_variable_type_integer</v>
      </c>
    </row>
    <row r="8" spans="1:19" x14ac:dyDescent="0.25">
      <c r="A8" s="3" t="str">
        <f>$A$1&amp;"_oil-shale"</f>
        <v>NOR_oil-shale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0.26639999999999997</v>
      </c>
      <c r="K8" s="3" t="str">
        <v>oil</v>
      </c>
      <c r="L8" s="3" t="str">
        <v/>
      </c>
      <c r="M8">
        <v>40</v>
      </c>
      <c r="N8" s="1" t="str">
        <v>350400h</v>
      </c>
      <c r="O8" s="1">
        <v>1870</v>
      </c>
      <c r="P8" s="1">
        <v>46750</v>
      </c>
      <c r="Q8" s="1">
        <v>0</v>
      </c>
      <c r="R8">
        <v>1</v>
      </c>
      <c r="S8" t="str">
        <v>unit_investment_variable_type_integer</v>
      </c>
    </row>
    <row r="9" spans="1:19" x14ac:dyDescent="0.25">
      <c r="A9" s="3" t="str">
        <f>$A$1&amp;"_peat"</f>
        <v>NOR_peat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0.38159999999999999</v>
      </c>
      <c r="K9" s="3" t="str">
        <v>peat</v>
      </c>
      <c r="L9" s="3" t="str">
        <v/>
      </c>
      <c r="M9">
        <v>25</v>
      </c>
      <c r="N9" s="1" t="str">
        <v>219000h</v>
      </c>
      <c r="O9" s="1">
        <v>1500</v>
      </c>
      <c r="P9" s="1">
        <v>60000</v>
      </c>
      <c r="Q9" s="1">
        <v>0</v>
      </c>
      <c r="R9">
        <v>1</v>
      </c>
      <c r="S9" t="str">
        <v>unit_investment_variable_type_integer</v>
      </c>
    </row>
    <row r="10" spans="1:19" x14ac:dyDescent="0.25">
      <c r="A10" s="3" t="str">
        <f>$A$1&amp;"_geothermal"</f>
        <v>NOR_geothermal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0</v>
      </c>
      <c r="H10" s="3" t="str">
        <v/>
      </c>
      <c r="I10" s="3">
        <v>0.23499999999999999</v>
      </c>
      <c r="J10" s="3" t="str">
        <v/>
      </c>
      <c r="K10" s="3" t="str">
        <v/>
      </c>
      <c r="L10" s="3" t="str">
        <v/>
      </c>
      <c r="M10">
        <v>30</v>
      </c>
      <c r="N10" t="str">
        <v>262800h</v>
      </c>
      <c r="O10">
        <v>3775</v>
      </c>
      <c r="P10">
        <v>125833.33333333333</v>
      </c>
      <c r="Q10">
        <v>0</v>
      </c>
      <c r="R10">
        <v>1</v>
      </c>
      <c r="S10" t="str">
        <v>unit_investment_variable_type_integer</v>
      </c>
    </row>
    <row r="11" spans="1:19" x14ac:dyDescent="0.25">
      <c r="A11" s="3" t="str">
        <f>$A$1&amp;"_hydro-pumped"</f>
        <v>NOR_hydro-pumped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 t="str">
        <v/>
      </c>
      <c r="I11" s="3">
        <v>0.75</v>
      </c>
      <c r="J11" s="3" t="str">
        <v/>
      </c>
      <c r="K11" s="3" t="str">
        <v/>
      </c>
      <c r="L11" s="3" t="str">
        <v/>
      </c>
      <c r="M11">
        <v>80</v>
      </c>
      <c r="N11" t="str">
        <v>700800h</v>
      </c>
      <c r="O11">
        <v>2000</v>
      </c>
      <c r="P11">
        <v>25000</v>
      </c>
      <c r="Q11">
        <v>0</v>
      </c>
      <c r="R11">
        <v>1</v>
      </c>
      <c r="S11" t="str">
        <v>unit_investment_variable_type_integer</v>
      </c>
    </row>
    <row r="12" spans="1:19" x14ac:dyDescent="0.25">
      <c r="A12" s="3" t="str">
        <f>$A$1&amp;"_hydro-ror"</f>
        <v>NOR_hydro-ror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 t="str">
        <v/>
      </c>
      <c r="I12" s="3">
        <v>0.9</v>
      </c>
      <c r="J12" s="3" t="str">
        <v/>
      </c>
      <c r="K12" s="3" t="str">
        <v/>
      </c>
      <c r="L12" s="3" t="str">
        <v/>
      </c>
      <c r="M12">
        <v>80</v>
      </c>
      <c r="N12" t="str">
        <v>700800h</v>
      </c>
      <c r="O12">
        <v>3000</v>
      </c>
      <c r="P12">
        <v>37500</v>
      </c>
      <c r="Q12">
        <v>0</v>
      </c>
      <c r="R12">
        <v>1</v>
      </c>
      <c r="S12" t="str">
        <v>unit_investment_variable_type_integer</v>
      </c>
    </row>
    <row r="13" spans="1:19" x14ac:dyDescent="0.25">
      <c r="A13" s="3" t="str">
        <f>$A$1&amp;"_marine"</f>
        <v>NOR_marine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 t="str">
        <v/>
      </c>
      <c r="I13" s="3">
        <v>1</v>
      </c>
      <c r="J13" s="3" t="str">
        <v/>
      </c>
      <c r="K13" s="3" t="str">
        <v/>
      </c>
      <c r="L13" s="3" t="str">
        <v/>
      </c>
      <c r="M13">
        <v>30</v>
      </c>
      <c r="N13" t="str">
        <v>262800h</v>
      </c>
      <c r="O13">
        <v>4246</v>
      </c>
      <c r="P13">
        <v>141533.33333333334</v>
      </c>
      <c r="Q13">
        <v>0</v>
      </c>
      <c r="R13">
        <v>1</v>
      </c>
      <c r="S13" t="str">
        <v>unit_investment_variable_type_integer</v>
      </c>
    </row>
    <row r="14" spans="1:19" x14ac:dyDescent="0.25">
      <c r="A14" s="3" t="str">
        <f>$A$1&amp;"_nuclear"</f>
        <v>NOR_nuclear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10</v>
      </c>
      <c r="H14" s="3">
        <v>10</v>
      </c>
      <c r="I14" s="3">
        <v>0.33299999999999996</v>
      </c>
      <c r="J14" s="3">
        <v>0</v>
      </c>
      <c r="K14" s="3" t="str">
        <v>uranium</v>
      </c>
      <c r="L14" s="3" t="str">
        <v/>
      </c>
      <c r="M14">
        <v>60</v>
      </c>
      <c r="N14" t="str">
        <v>525600h</v>
      </c>
      <c r="O14">
        <v>6000</v>
      </c>
      <c r="P14">
        <v>100000</v>
      </c>
      <c r="Q14">
        <v>0</v>
      </c>
      <c r="R14">
        <v>1</v>
      </c>
      <c r="S14" t="str">
        <v>unit_investment_variable_type_integer</v>
      </c>
    </row>
    <row r="15" spans="1:19" x14ac:dyDescent="0.25">
      <c r="A15" s="3" t="str">
        <f>$A$1&amp;"_other"</f>
        <v>NOR_other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0.32400000000000001</v>
      </c>
      <c r="K15" s="3" t="str">
        <v>other</v>
      </c>
      <c r="L15" s="3" t="str">
        <v/>
      </c>
      <c r="M15">
        <v>25</v>
      </c>
      <c r="N15" t="str">
        <v>219000h</v>
      </c>
      <c r="O15">
        <v>3000</v>
      </c>
      <c r="P15">
        <v>120000</v>
      </c>
      <c r="Q15">
        <v>0</v>
      </c>
      <c r="R15">
        <v>1</v>
      </c>
      <c r="S15" t="str">
        <v>unit_investment_variable_type_integer</v>
      </c>
    </row>
    <row r="16" spans="1:19" x14ac:dyDescent="0.25">
      <c r="A16" s="3" t="str">
        <f>$A$1&amp;"_other-ren"</f>
        <v>NOR_other-ren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3">
        <v>0</v>
      </c>
      <c r="H16" s="6" t="str">
        <v/>
      </c>
      <c r="I16" s="6">
        <v>1</v>
      </c>
      <c r="J16" s="3" t="str">
        <v/>
      </c>
      <c r="K16" s="3" t="str">
        <v/>
      </c>
      <c r="L16" s="3" t="str">
        <v/>
      </c>
      <c r="M16">
        <v>25</v>
      </c>
      <c r="N16" t="str">
        <v>219000h</v>
      </c>
      <c r="O16">
        <v>2000</v>
      </c>
      <c r="P16">
        <v>80000</v>
      </c>
      <c r="Q16">
        <v>0</v>
      </c>
      <c r="R16">
        <v>1</v>
      </c>
      <c r="S16" t="str">
        <v>unit_investment_variable_type_integer</v>
      </c>
    </row>
    <row r="17" spans="1:19" x14ac:dyDescent="0.25">
      <c r="A17" s="3" t="str">
        <f>$A$1&amp;"_solar"</f>
        <v>NOR_solar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 t="str">
        <v/>
      </c>
      <c r="I17" s="3">
        <v>1</v>
      </c>
      <c r="J17" s="3" t="str">
        <v/>
      </c>
      <c r="K17" s="3" t="str">
        <v/>
      </c>
      <c r="L17" s="3" t="str">
        <v/>
      </c>
      <c r="M17">
        <v>25</v>
      </c>
      <c r="N17" t="str">
        <v>219000h</v>
      </c>
      <c r="O17">
        <v>750</v>
      </c>
      <c r="P17">
        <v>30000</v>
      </c>
      <c r="Q17">
        <v>0</v>
      </c>
      <c r="R17">
        <v>1</v>
      </c>
      <c r="S17" t="str">
        <v>unit_investment_variable_type_integer</v>
      </c>
    </row>
    <row r="18" spans="1:19" x14ac:dyDescent="0.25">
      <c r="A18" s="3" t="str">
        <f>$A$1&amp;"_waste"</f>
        <v>NOR_waste</v>
      </c>
      <c r="B18" s="3" t="str">
        <v>Waste</v>
      </c>
      <c r="C18" s="3">
        <v>2350</v>
      </c>
      <c r="D18" s="3">
        <v>2350000</v>
      </c>
      <c r="E18" s="3">
        <v>100</v>
      </c>
      <c r="F18" s="3">
        <v>11.415525114155251</v>
      </c>
      <c r="G18" s="3">
        <v>0</v>
      </c>
      <c r="H18" s="3">
        <v>0</v>
      </c>
      <c r="I18" s="3">
        <v>0.45899999999999996</v>
      </c>
      <c r="J18" s="3">
        <v>0.34560000000000002</v>
      </c>
      <c r="K18" s="3" t="str">
        <v>waste</v>
      </c>
      <c r="L18" s="3" t="str">
        <v/>
      </c>
      <c r="M18">
        <v>25</v>
      </c>
      <c r="N18" t="str">
        <v>219000h</v>
      </c>
      <c r="O18">
        <v>2350</v>
      </c>
      <c r="P18">
        <v>94000</v>
      </c>
      <c r="Q18">
        <v>0</v>
      </c>
      <c r="R18">
        <v>1</v>
      </c>
      <c r="S18" t="str">
        <v>unit_investment_variable_type_integer</v>
      </c>
    </row>
    <row r="19" spans="1:19" x14ac:dyDescent="0.25">
      <c r="A19" s="3" t="str">
        <f>$A$1&amp;"_wind-off"</f>
        <v>NOR_wind-off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 t="str">
        <v/>
      </c>
      <c r="I19" s="3">
        <v>1</v>
      </c>
      <c r="J19" s="3" t="str">
        <v/>
      </c>
      <c r="K19" s="3" t="str">
        <v/>
      </c>
      <c r="L19" s="3" t="str">
        <v/>
      </c>
      <c r="M19">
        <v>25</v>
      </c>
      <c r="N19" t="str">
        <v>219000h</v>
      </c>
      <c r="O19">
        <v>2742</v>
      </c>
      <c r="P19">
        <v>109680</v>
      </c>
      <c r="Q19">
        <v>0</v>
      </c>
      <c r="R19">
        <v>1</v>
      </c>
      <c r="S19" t="str">
        <v>unit_investment_variable_type_integer</v>
      </c>
    </row>
    <row r="20" spans="1:19" x14ac:dyDescent="0.25">
      <c r="A20" s="3" t="str">
        <f>$A$1&amp;"_wind-on"</f>
        <v>NOR_wind-on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 t="str">
        <v/>
      </c>
      <c r="I20" s="3">
        <v>1</v>
      </c>
      <c r="J20" s="3" t="str">
        <v/>
      </c>
      <c r="K20" s="3" t="str">
        <v/>
      </c>
      <c r="L20" s="3" t="str">
        <v/>
      </c>
      <c r="M20">
        <v>25</v>
      </c>
      <c r="N20" t="str">
        <v>219000h</v>
      </c>
      <c r="O20">
        <v>1240</v>
      </c>
      <c r="P20">
        <v>49600</v>
      </c>
      <c r="Q20">
        <v>0</v>
      </c>
      <c r="R20">
        <v>1</v>
      </c>
      <c r="S20" t="str">
        <v>unit_investment_variable_type_integer</v>
      </c>
    </row>
    <row r="21" spans="1:19" x14ac:dyDescent="0.25">
      <c r="A21" s="3" t="s">
        <v>123</v>
      </c>
      <c r="B21" s="3" t="str">
        <f>B11</f>
        <v>Hydro Pumped Storage</v>
      </c>
      <c r="C21" s="3">
        <f t="shared" ref="C21:S21" si="0">C11</f>
        <v>2000</v>
      </c>
      <c r="D21" s="3">
        <f t="shared" si="0"/>
        <v>2000000</v>
      </c>
      <c r="E21" s="3">
        <f t="shared" si="0"/>
        <v>20</v>
      </c>
      <c r="F21" s="3">
        <f t="shared" si="0"/>
        <v>2.2831050228310503</v>
      </c>
      <c r="G21" s="3">
        <f t="shared" si="0"/>
        <v>0</v>
      </c>
      <c r="H21" s="3" t="str">
        <f t="shared" si="0"/>
        <v/>
      </c>
      <c r="I21" s="3">
        <f t="shared" si="0"/>
        <v>0.75</v>
      </c>
      <c r="J21" s="3" t="str">
        <f t="shared" si="0"/>
        <v/>
      </c>
      <c r="K21" s="3" t="str">
        <f t="shared" si="0"/>
        <v/>
      </c>
      <c r="L21" s="3" t="str">
        <f t="shared" si="0"/>
        <v/>
      </c>
      <c r="M21" s="3">
        <f t="shared" si="0"/>
        <v>80</v>
      </c>
      <c r="N21" s="3" t="str">
        <f t="shared" si="0"/>
        <v>700800h</v>
      </c>
      <c r="O21" s="3">
        <f t="shared" si="0"/>
        <v>2000</v>
      </c>
      <c r="P21" s="3">
        <f t="shared" si="0"/>
        <v>25000</v>
      </c>
      <c r="Q21" s="3">
        <f t="shared" si="0"/>
        <v>0</v>
      </c>
      <c r="R21" s="3">
        <f t="shared" si="0"/>
        <v>1</v>
      </c>
      <c r="S21" s="3" t="str">
        <f t="shared" si="0"/>
        <v>unit_investment_variable_type_integer</v>
      </c>
    </row>
    <row r="22" spans="1:19" x14ac:dyDescent="0.25">
      <c r="A22" t="s">
        <v>124</v>
      </c>
      <c r="B22" t="str">
        <f>B21</f>
        <v>Hydro Pumped Storage</v>
      </c>
      <c r="C22" s="3">
        <f t="shared" ref="C22:S30" si="1">C21</f>
        <v>2000</v>
      </c>
      <c r="D22" s="3">
        <f t="shared" si="1"/>
        <v>2000000</v>
      </c>
      <c r="E22" s="3">
        <f t="shared" si="1"/>
        <v>20</v>
      </c>
      <c r="F22" s="3">
        <f t="shared" si="1"/>
        <v>2.2831050228310503</v>
      </c>
      <c r="G22" s="3">
        <f t="shared" si="1"/>
        <v>0</v>
      </c>
      <c r="H22" s="3" t="str">
        <f t="shared" si="1"/>
        <v/>
      </c>
      <c r="I22" s="3">
        <f t="shared" si="1"/>
        <v>0.75</v>
      </c>
      <c r="J22" s="3" t="str">
        <f t="shared" si="1"/>
        <v/>
      </c>
      <c r="K22" s="3" t="str">
        <f t="shared" si="1"/>
        <v/>
      </c>
      <c r="L22" s="3" t="str">
        <f t="shared" si="1"/>
        <v/>
      </c>
      <c r="M22" s="3">
        <f t="shared" si="1"/>
        <v>80</v>
      </c>
      <c r="N22" s="3" t="str">
        <f t="shared" si="1"/>
        <v>700800h</v>
      </c>
      <c r="O22" s="3">
        <f t="shared" si="1"/>
        <v>2000</v>
      </c>
      <c r="P22" s="3">
        <f t="shared" si="1"/>
        <v>25000</v>
      </c>
      <c r="Q22" s="3">
        <f t="shared" si="1"/>
        <v>0</v>
      </c>
      <c r="R22" s="3">
        <f t="shared" si="1"/>
        <v>1</v>
      </c>
      <c r="S22" s="3" t="str">
        <f t="shared" si="1"/>
        <v>unit_investment_variable_type_integer</v>
      </c>
    </row>
    <row r="23" spans="1:19" x14ac:dyDescent="0.25">
      <c r="A23" t="s">
        <v>125</v>
      </c>
      <c r="B23" s="3" t="str">
        <f t="shared" ref="B23:B30" si="2">B22</f>
        <v>Hydro Pumped Storage</v>
      </c>
      <c r="C23" s="3">
        <f t="shared" si="1"/>
        <v>2000</v>
      </c>
      <c r="D23" s="3">
        <f t="shared" si="1"/>
        <v>2000000</v>
      </c>
      <c r="E23" s="3">
        <f t="shared" si="1"/>
        <v>20</v>
      </c>
      <c r="F23" s="3">
        <f t="shared" si="1"/>
        <v>2.2831050228310503</v>
      </c>
      <c r="G23" s="3">
        <f t="shared" si="1"/>
        <v>0</v>
      </c>
      <c r="H23" s="3" t="str">
        <f t="shared" si="1"/>
        <v/>
      </c>
      <c r="I23" s="3">
        <f t="shared" si="1"/>
        <v>0.75</v>
      </c>
      <c r="J23" s="3" t="str">
        <f t="shared" si="1"/>
        <v/>
      </c>
      <c r="K23" s="3" t="str">
        <f t="shared" si="1"/>
        <v/>
      </c>
      <c r="L23" s="3" t="str">
        <f t="shared" si="1"/>
        <v/>
      </c>
      <c r="M23" s="3">
        <f t="shared" si="1"/>
        <v>80</v>
      </c>
      <c r="N23" s="3" t="str">
        <f t="shared" si="1"/>
        <v>700800h</v>
      </c>
      <c r="O23" s="3">
        <f t="shared" si="1"/>
        <v>2000</v>
      </c>
      <c r="P23" s="3">
        <f t="shared" si="1"/>
        <v>25000</v>
      </c>
      <c r="Q23" s="3">
        <f t="shared" si="1"/>
        <v>0</v>
      </c>
      <c r="R23" s="3">
        <f t="shared" si="1"/>
        <v>1</v>
      </c>
      <c r="S23" s="3" t="str">
        <f t="shared" si="1"/>
        <v>unit_investment_variable_type_integer</v>
      </c>
    </row>
    <row r="24" spans="1:19" x14ac:dyDescent="0.25">
      <c r="A24" t="s">
        <v>126</v>
      </c>
      <c r="B24" s="3" t="str">
        <f t="shared" si="2"/>
        <v>Hydro Pumped Storage</v>
      </c>
      <c r="C24" s="3">
        <f t="shared" si="1"/>
        <v>2000</v>
      </c>
      <c r="D24" s="3">
        <f t="shared" si="1"/>
        <v>2000000</v>
      </c>
      <c r="E24" s="3">
        <f t="shared" si="1"/>
        <v>20</v>
      </c>
      <c r="F24" s="3">
        <f t="shared" si="1"/>
        <v>2.2831050228310503</v>
      </c>
      <c r="G24" s="3">
        <f t="shared" si="1"/>
        <v>0</v>
      </c>
      <c r="H24" s="3" t="str">
        <f t="shared" si="1"/>
        <v/>
      </c>
      <c r="I24" s="3">
        <f t="shared" si="1"/>
        <v>0.75</v>
      </c>
      <c r="J24" s="3" t="str">
        <f t="shared" si="1"/>
        <v/>
      </c>
      <c r="K24" s="3" t="str">
        <f t="shared" si="1"/>
        <v/>
      </c>
      <c r="L24" s="3" t="str">
        <f t="shared" si="1"/>
        <v/>
      </c>
      <c r="M24" s="3">
        <f t="shared" si="1"/>
        <v>80</v>
      </c>
      <c r="N24" s="3" t="str">
        <f t="shared" si="1"/>
        <v>700800h</v>
      </c>
      <c r="O24" s="3">
        <f t="shared" si="1"/>
        <v>2000</v>
      </c>
      <c r="P24" s="3">
        <f t="shared" si="1"/>
        <v>25000</v>
      </c>
      <c r="Q24" s="3">
        <f t="shared" si="1"/>
        <v>0</v>
      </c>
      <c r="R24" s="3">
        <f t="shared" si="1"/>
        <v>1</v>
      </c>
      <c r="S24" s="3" t="str">
        <f t="shared" si="1"/>
        <v>unit_investment_variable_type_integer</v>
      </c>
    </row>
    <row r="25" spans="1:19" x14ac:dyDescent="0.25">
      <c r="A25" t="s">
        <v>127</v>
      </c>
      <c r="B25" s="3" t="str">
        <f t="shared" si="2"/>
        <v>Hydro Pumped Storage</v>
      </c>
      <c r="C25" s="3">
        <f t="shared" si="1"/>
        <v>2000</v>
      </c>
      <c r="D25" s="3">
        <f t="shared" si="1"/>
        <v>2000000</v>
      </c>
      <c r="E25" s="3">
        <f t="shared" si="1"/>
        <v>20</v>
      </c>
      <c r="F25" s="3">
        <f t="shared" si="1"/>
        <v>2.2831050228310503</v>
      </c>
      <c r="G25" s="3">
        <f t="shared" si="1"/>
        <v>0</v>
      </c>
      <c r="H25" s="3" t="str">
        <f t="shared" si="1"/>
        <v/>
      </c>
      <c r="I25" s="3">
        <f t="shared" si="1"/>
        <v>0.75</v>
      </c>
      <c r="J25" s="3" t="str">
        <f t="shared" si="1"/>
        <v/>
      </c>
      <c r="K25" s="3" t="str">
        <f t="shared" si="1"/>
        <v/>
      </c>
      <c r="L25" s="3" t="str">
        <f t="shared" si="1"/>
        <v/>
      </c>
      <c r="M25" s="3">
        <f t="shared" si="1"/>
        <v>80</v>
      </c>
      <c r="N25" s="3" t="str">
        <f t="shared" si="1"/>
        <v>700800h</v>
      </c>
      <c r="O25" s="3">
        <f t="shared" si="1"/>
        <v>2000</v>
      </c>
      <c r="P25" s="3">
        <f t="shared" si="1"/>
        <v>25000</v>
      </c>
      <c r="Q25" s="3">
        <f t="shared" si="1"/>
        <v>0</v>
      </c>
      <c r="R25" s="3">
        <f t="shared" si="1"/>
        <v>1</v>
      </c>
      <c r="S25" s="3" t="str">
        <f t="shared" si="1"/>
        <v>unit_investment_variable_type_integer</v>
      </c>
    </row>
    <row r="26" spans="1:19" x14ac:dyDescent="0.25">
      <c r="A26" t="s">
        <v>128</v>
      </c>
      <c r="B26" s="3" t="str">
        <f t="shared" si="2"/>
        <v>Hydro Pumped Storage</v>
      </c>
      <c r="C26" s="3">
        <f t="shared" si="1"/>
        <v>2000</v>
      </c>
      <c r="D26" s="3">
        <f t="shared" si="1"/>
        <v>2000000</v>
      </c>
      <c r="E26" s="3">
        <f t="shared" si="1"/>
        <v>20</v>
      </c>
      <c r="F26" s="3">
        <f t="shared" si="1"/>
        <v>2.2831050228310503</v>
      </c>
      <c r="G26" s="3">
        <f t="shared" si="1"/>
        <v>0</v>
      </c>
      <c r="H26" s="3" t="str">
        <f t="shared" si="1"/>
        <v/>
      </c>
      <c r="I26" s="3">
        <f t="shared" si="1"/>
        <v>0.75</v>
      </c>
      <c r="J26" s="3" t="str">
        <f t="shared" si="1"/>
        <v/>
      </c>
      <c r="K26" s="3" t="str">
        <f t="shared" si="1"/>
        <v/>
      </c>
      <c r="L26" s="3" t="str">
        <f t="shared" si="1"/>
        <v/>
      </c>
      <c r="M26" s="3">
        <f t="shared" si="1"/>
        <v>80</v>
      </c>
      <c r="N26" s="3" t="str">
        <f t="shared" si="1"/>
        <v>700800h</v>
      </c>
      <c r="O26" s="3">
        <f t="shared" si="1"/>
        <v>2000</v>
      </c>
      <c r="P26" s="3">
        <f t="shared" si="1"/>
        <v>25000</v>
      </c>
      <c r="Q26" s="3">
        <f t="shared" si="1"/>
        <v>0</v>
      </c>
      <c r="R26" s="3">
        <f t="shared" si="1"/>
        <v>1</v>
      </c>
      <c r="S26" s="3" t="str">
        <f t="shared" si="1"/>
        <v>unit_investment_variable_type_integer</v>
      </c>
    </row>
    <row r="27" spans="1:19" x14ac:dyDescent="0.25">
      <c r="A27" t="s">
        <v>129</v>
      </c>
      <c r="B27" s="3" t="str">
        <f t="shared" si="2"/>
        <v>Hydro Pumped Storage</v>
      </c>
      <c r="C27" s="3">
        <f t="shared" si="1"/>
        <v>2000</v>
      </c>
      <c r="D27" s="3">
        <f t="shared" si="1"/>
        <v>2000000</v>
      </c>
      <c r="E27" s="3">
        <f t="shared" si="1"/>
        <v>20</v>
      </c>
      <c r="F27" s="3">
        <f t="shared" si="1"/>
        <v>2.2831050228310503</v>
      </c>
      <c r="G27" s="3">
        <f t="shared" si="1"/>
        <v>0</v>
      </c>
      <c r="H27" s="3" t="str">
        <f t="shared" si="1"/>
        <v/>
      </c>
      <c r="I27" s="3">
        <f t="shared" si="1"/>
        <v>0.75</v>
      </c>
      <c r="J27" s="3" t="str">
        <f t="shared" si="1"/>
        <v/>
      </c>
      <c r="K27" s="3" t="str">
        <f t="shared" si="1"/>
        <v/>
      </c>
      <c r="L27" s="3" t="str">
        <f t="shared" si="1"/>
        <v/>
      </c>
      <c r="M27" s="3">
        <f t="shared" si="1"/>
        <v>80</v>
      </c>
      <c r="N27" s="3" t="str">
        <f t="shared" si="1"/>
        <v>700800h</v>
      </c>
      <c r="O27" s="3">
        <f t="shared" si="1"/>
        <v>2000</v>
      </c>
      <c r="P27" s="3">
        <f t="shared" si="1"/>
        <v>25000</v>
      </c>
      <c r="Q27" s="3">
        <f t="shared" si="1"/>
        <v>0</v>
      </c>
      <c r="R27" s="3">
        <f t="shared" si="1"/>
        <v>1</v>
      </c>
      <c r="S27" s="3" t="str">
        <f t="shared" si="1"/>
        <v>unit_investment_variable_type_integer</v>
      </c>
    </row>
    <row r="28" spans="1:19" x14ac:dyDescent="0.25">
      <c r="A28" t="s">
        <v>130</v>
      </c>
      <c r="B28" s="3" t="str">
        <f t="shared" si="2"/>
        <v>Hydro Pumped Storage</v>
      </c>
      <c r="C28" s="3">
        <f t="shared" si="1"/>
        <v>2000</v>
      </c>
      <c r="D28" s="3">
        <f t="shared" si="1"/>
        <v>2000000</v>
      </c>
      <c r="E28" s="3">
        <f t="shared" si="1"/>
        <v>20</v>
      </c>
      <c r="F28" s="3">
        <f t="shared" si="1"/>
        <v>2.2831050228310503</v>
      </c>
      <c r="G28" s="3">
        <f t="shared" si="1"/>
        <v>0</v>
      </c>
      <c r="H28" s="3" t="str">
        <f t="shared" si="1"/>
        <v/>
      </c>
      <c r="I28" s="3">
        <f t="shared" si="1"/>
        <v>0.75</v>
      </c>
      <c r="J28" s="3" t="str">
        <f t="shared" si="1"/>
        <v/>
      </c>
      <c r="K28" s="3" t="str">
        <f t="shared" si="1"/>
        <v/>
      </c>
      <c r="L28" s="3" t="str">
        <f t="shared" si="1"/>
        <v/>
      </c>
      <c r="M28" s="3">
        <f t="shared" si="1"/>
        <v>80</v>
      </c>
      <c r="N28" s="3" t="str">
        <f t="shared" si="1"/>
        <v>700800h</v>
      </c>
      <c r="O28" s="3">
        <f t="shared" si="1"/>
        <v>2000</v>
      </c>
      <c r="P28" s="3">
        <f t="shared" si="1"/>
        <v>25000</v>
      </c>
      <c r="Q28" s="3">
        <f t="shared" si="1"/>
        <v>0</v>
      </c>
      <c r="R28" s="3">
        <f t="shared" si="1"/>
        <v>1</v>
      </c>
      <c r="S28" s="3" t="str">
        <f t="shared" si="1"/>
        <v>unit_investment_variable_type_integer</v>
      </c>
    </row>
    <row r="29" spans="1:19" x14ac:dyDescent="0.25">
      <c r="A29" t="s">
        <v>131</v>
      </c>
      <c r="B29" s="3" t="str">
        <f t="shared" si="2"/>
        <v>Hydro Pumped Storage</v>
      </c>
      <c r="C29" s="3">
        <f t="shared" si="1"/>
        <v>2000</v>
      </c>
      <c r="D29" s="3">
        <f t="shared" si="1"/>
        <v>2000000</v>
      </c>
      <c r="E29" s="3">
        <f t="shared" si="1"/>
        <v>20</v>
      </c>
      <c r="F29" s="3">
        <f t="shared" si="1"/>
        <v>2.2831050228310503</v>
      </c>
      <c r="G29" s="3">
        <f t="shared" si="1"/>
        <v>0</v>
      </c>
      <c r="H29" s="3" t="str">
        <f t="shared" si="1"/>
        <v/>
      </c>
      <c r="I29" s="3">
        <f t="shared" si="1"/>
        <v>0.75</v>
      </c>
      <c r="J29" s="3" t="str">
        <f t="shared" si="1"/>
        <v/>
      </c>
      <c r="K29" s="3" t="str">
        <f t="shared" si="1"/>
        <v/>
      </c>
      <c r="L29" s="3" t="str">
        <f t="shared" si="1"/>
        <v/>
      </c>
      <c r="M29" s="3">
        <f t="shared" si="1"/>
        <v>80</v>
      </c>
      <c r="N29" s="3" t="str">
        <f t="shared" si="1"/>
        <v>700800h</v>
      </c>
      <c r="O29" s="3">
        <f t="shared" si="1"/>
        <v>2000</v>
      </c>
      <c r="P29" s="3">
        <f t="shared" si="1"/>
        <v>25000</v>
      </c>
      <c r="Q29" s="3">
        <f t="shared" si="1"/>
        <v>0</v>
      </c>
      <c r="R29" s="3">
        <f t="shared" si="1"/>
        <v>1</v>
      </c>
      <c r="S29" s="3" t="str">
        <f t="shared" si="1"/>
        <v>unit_investment_variable_type_integer</v>
      </c>
    </row>
    <row r="30" spans="1:19" x14ac:dyDescent="0.25">
      <c r="A30" t="s">
        <v>132</v>
      </c>
      <c r="B30" s="3" t="str">
        <f t="shared" si="2"/>
        <v>Hydro Pumped Storage</v>
      </c>
      <c r="C30" s="3">
        <f t="shared" si="1"/>
        <v>2000</v>
      </c>
      <c r="D30" s="3">
        <f t="shared" si="1"/>
        <v>2000000</v>
      </c>
      <c r="E30" s="3">
        <f t="shared" si="1"/>
        <v>20</v>
      </c>
      <c r="F30" s="3">
        <f t="shared" si="1"/>
        <v>2.2831050228310503</v>
      </c>
      <c r="G30" s="3">
        <f t="shared" si="1"/>
        <v>0</v>
      </c>
      <c r="H30" s="3" t="str">
        <f t="shared" si="1"/>
        <v/>
      </c>
      <c r="I30" s="3">
        <f t="shared" si="1"/>
        <v>0.75</v>
      </c>
      <c r="J30" s="3" t="str">
        <f t="shared" si="1"/>
        <v/>
      </c>
      <c r="K30" s="3" t="str">
        <f t="shared" si="1"/>
        <v/>
      </c>
      <c r="L30" s="3" t="str">
        <f t="shared" si="1"/>
        <v/>
      </c>
      <c r="M30" s="3">
        <f t="shared" si="1"/>
        <v>80</v>
      </c>
      <c r="N30" s="3" t="str">
        <f t="shared" si="1"/>
        <v>700800h</v>
      </c>
      <c r="O30" s="3">
        <f t="shared" si="1"/>
        <v>2000</v>
      </c>
      <c r="P30" s="3">
        <f t="shared" si="1"/>
        <v>25000</v>
      </c>
      <c r="Q30" s="3">
        <f t="shared" si="1"/>
        <v>0</v>
      </c>
      <c r="R30" s="3">
        <f t="shared" si="1"/>
        <v>1</v>
      </c>
      <c r="S30" s="3" t="str">
        <f t="shared" si="1"/>
        <v>unit_investment_variable_type_integer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500A-7855-4F55-9167-2EF1839BB711}">
  <dimension ref="A1:S21"/>
  <sheetViews>
    <sheetView workbookViewId="0">
      <selection activeCell="L9" sqref="L9"/>
    </sheetView>
  </sheetViews>
  <sheetFormatPr defaultColWidth="11.42578125" defaultRowHeight="15" x14ac:dyDescent="0.25"/>
  <cols>
    <col min="1" max="1" width="22.85546875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14.42578125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19" x14ac:dyDescent="0.25">
      <c r="A1" s="3" t="s">
        <v>3</v>
      </c>
      <c r="B1" s="3" t="str" cm="1">
        <f t="array" ref="B1:S20">IF(ISBLANK(gen_technology!A1:R20),"",gen_technology!A1:R20)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 factor [CO2 tons / MWh of fuel]</v>
      </c>
      <c r="K1" s="3" t="str">
        <v>fuel</v>
      </c>
      <c r="L1" s="3" t="str">
        <v>investment_optimization</v>
      </c>
      <c r="M1" t="str">
        <v>lifetime [years]</v>
      </c>
      <c r="N1" t="str">
        <v>lifetime [hours]</v>
      </c>
      <c r="O1" t="str">
        <v>unit_investment_cost 2020 [EUR/kW]</v>
      </c>
      <c r="P1" t="str">
        <v>unit_investment_cost 2020 [EUR/MW/year]</v>
      </c>
      <c r="Q1" t="str">
        <v>number_of_units</v>
      </c>
      <c r="R1" t="str">
        <v>candidate_units</v>
      </c>
      <c r="S1" t="str">
        <v>unit_investment_variable_type</v>
      </c>
    </row>
    <row r="2" spans="1:19" x14ac:dyDescent="0.25">
      <c r="A2" s="3" t="str">
        <f>$A$1&amp;"_biomass"</f>
        <v>SWE_biomass</v>
      </c>
      <c r="B2" s="3" t="str">
        <v>Biomass</v>
      </c>
      <c r="C2" s="1">
        <v>2350</v>
      </c>
      <c r="D2" s="3">
        <v>2350000</v>
      </c>
      <c r="E2" s="2">
        <v>100</v>
      </c>
      <c r="F2" s="3">
        <v>11.415525114155251</v>
      </c>
      <c r="G2" s="3">
        <v>0</v>
      </c>
      <c r="H2" s="3">
        <v>31</v>
      </c>
      <c r="I2" s="3">
        <v>0.45899999999999996</v>
      </c>
      <c r="J2" s="3">
        <v>0.4032</v>
      </c>
      <c r="K2" s="3" t="str">
        <v>biomass</v>
      </c>
      <c r="L2" s="3" t="str">
        <v/>
      </c>
      <c r="M2">
        <v>25</v>
      </c>
      <c r="N2" s="1" t="str">
        <v>219000h</v>
      </c>
      <c r="O2" s="1">
        <v>2350</v>
      </c>
      <c r="P2" s="1">
        <v>94000</v>
      </c>
      <c r="Q2" s="1">
        <v>0</v>
      </c>
      <c r="R2">
        <v>1</v>
      </c>
      <c r="S2" t="str">
        <v>unit_investment_variable_type_integer</v>
      </c>
    </row>
    <row r="3" spans="1:19" x14ac:dyDescent="0.25">
      <c r="A3" s="3" t="str">
        <f>$A$1&amp;"_brown-coal_lignite"</f>
        <v>SWE_brown-coal_lignite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0.36359999999999998</v>
      </c>
      <c r="K3" s="3" t="str">
        <v>coal</v>
      </c>
      <c r="L3" s="3" t="str">
        <v/>
      </c>
      <c r="M3">
        <v>40</v>
      </c>
      <c r="N3" s="1" t="str">
        <v>350400h</v>
      </c>
      <c r="O3" s="1">
        <v>1500</v>
      </c>
      <c r="P3" s="1">
        <v>37500</v>
      </c>
      <c r="Q3" s="1">
        <v>0</v>
      </c>
      <c r="R3">
        <v>1</v>
      </c>
      <c r="S3" t="str">
        <v>unit_investment_variable_type_integer</v>
      </c>
    </row>
    <row r="4" spans="1:19" x14ac:dyDescent="0.25">
      <c r="A4" s="3" t="str">
        <f>$A$1&amp;"_gas-coal-derived"</f>
        <v>SWE_gas-coal-derived</v>
      </c>
      <c r="B4" s="3" t="str">
        <v>Fossil Coal-derived gas</v>
      </c>
      <c r="C4" s="1">
        <v>800</v>
      </c>
      <c r="D4" s="3">
        <v>800000</v>
      </c>
      <c r="E4" s="2">
        <v>10</v>
      </c>
      <c r="F4" s="3">
        <v>1.1415525114155252</v>
      </c>
      <c r="G4" s="3">
        <v>10</v>
      </c>
      <c r="H4" s="3">
        <v>23.2</v>
      </c>
      <c r="I4" s="3">
        <v>0.4</v>
      </c>
      <c r="J4" s="3">
        <v>0.20196</v>
      </c>
      <c r="K4" s="3" t="str">
        <v>gas</v>
      </c>
      <c r="L4" s="3" t="str">
        <v/>
      </c>
      <c r="M4">
        <v>25</v>
      </c>
      <c r="N4" s="1" t="str">
        <v>219000h</v>
      </c>
      <c r="O4" s="1">
        <v>800</v>
      </c>
      <c r="P4" s="1">
        <v>32000</v>
      </c>
      <c r="Q4" s="1">
        <v>0</v>
      </c>
      <c r="R4">
        <v>1</v>
      </c>
      <c r="S4" t="str">
        <v>unit_investment_variable_type_integer</v>
      </c>
    </row>
    <row r="5" spans="1:19" x14ac:dyDescent="0.25">
      <c r="A5" s="3" t="str">
        <f>$A$1&amp;"_gas"</f>
        <v>SWE_gas</v>
      </c>
      <c r="B5" s="3" t="str">
        <v>Fossil Gas</v>
      </c>
      <c r="C5" s="1">
        <v>800</v>
      </c>
      <c r="D5" s="3">
        <v>800000</v>
      </c>
      <c r="E5" s="2">
        <v>10</v>
      </c>
      <c r="F5" s="3">
        <v>1.1415525114155252</v>
      </c>
      <c r="G5" s="3">
        <v>10</v>
      </c>
      <c r="H5" s="3">
        <v>23.2</v>
      </c>
      <c r="I5" s="3">
        <v>0.4</v>
      </c>
      <c r="J5" s="3">
        <v>0.20196</v>
      </c>
      <c r="K5" s="3" t="str">
        <v>gas</v>
      </c>
      <c r="L5" s="3" t="str">
        <v/>
      </c>
      <c r="M5">
        <v>25</v>
      </c>
      <c r="N5" s="1" t="str">
        <v>219000h</v>
      </c>
      <c r="O5" s="1">
        <v>800</v>
      </c>
      <c r="P5" s="1">
        <v>32000</v>
      </c>
      <c r="Q5" s="1">
        <v>0</v>
      </c>
      <c r="R5">
        <v>1</v>
      </c>
      <c r="S5" t="str">
        <v>unit_investment_variable_type_integer</v>
      </c>
    </row>
    <row r="6" spans="1:19" x14ac:dyDescent="0.25">
      <c r="A6" s="3" t="str">
        <f>$A$1&amp;"_hard-coal"</f>
        <v>SWE_hard-coal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0.36359999999999998</v>
      </c>
      <c r="K6" s="3" t="str">
        <v>coal</v>
      </c>
      <c r="L6" s="3" t="str">
        <v/>
      </c>
      <c r="M6">
        <v>40</v>
      </c>
      <c r="N6" s="1" t="str">
        <v>350400h</v>
      </c>
      <c r="O6" s="1">
        <v>1800</v>
      </c>
      <c r="P6" s="1">
        <v>45000</v>
      </c>
      <c r="Q6" s="1">
        <v>0</v>
      </c>
      <c r="R6">
        <v>1</v>
      </c>
      <c r="S6" t="str">
        <v>unit_investment_variable_type_integer</v>
      </c>
    </row>
    <row r="7" spans="1:19" x14ac:dyDescent="0.25">
      <c r="A7" s="3" t="str">
        <f>$A$1&amp;"_oil"</f>
        <v>SWE_oil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0.26639999999999997</v>
      </c>
      <c r="K7" s="3" t="str">
        <v>oil</v>
      </c>
      <c r="L7" s="3" t="str">
        <v/>
      </c>
      <c r="M7">
        <v>40</v>
      </c>
      <c r="N7" s="1" t="str">
        <v>350400h</v>
      </c>
      <c r="O7" s="1">
        <v>400</v>
      </c>
      <c r="P7" s="1">
        <v>10000</v>
      </c>
      <c r="Q7" s="1">
        <v>0</v>
      </c>
      <c r="R7">
        <v>1</v>
      </c>
      <c r="S7" t="str">
        <v>unit_investment_variable_type_integer</v>
      </c>
    </row>
    <row r="8" spans="1:19" x14ac:dyDescent="0.25">
      <c r="A8" s="3" t="str">
        <f>$A$1&amp;"_oil-shale"</f>
        <v>SWE_oil-shale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0.26639999999999997</v>
      </c>
      <c r="K8" s="3" t="str">
        <v>oil</v>
      </c>
      <c r="L8" s="3" t="str">
        <v/>
      </c>
      <c r="M8">
        <v>40</v>
      </c>
      <c r="N8" s="1" t="str">
        <v>350400h</v>
      </c>
      <c r="O8" s="1">
        <v>1870</v>
      </c>
      <c r="P8" s="1">
        <v>46750</v>
      </c>
      <c r="Q8" s="1">
        <v>0</v>
      </c>
      <c r="R8">
        <v>1</v>
      </c>
      <c r="S8" t="str">
        <v>unit_investment_variable_type_integer</v>
      </c>
    </row>
    <row r="9" spans="1:19" x14ac:dyDescent="0.25">
      <c r="A9" s="3" t="str">
        <f>$A$1&amp;"_peat"</f>
        <v>SWE_peat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0.38159999999999999</v>
      </c>
      <c r="K9" s="3" t="str">
        <v>peat</v>
      </c>
      <c r="L9" s="3" t="str">
        <v/>
      </c>
      <c r="M9">
        <v>25</v>
      </c>
      <c r="N9" s="1" t="str">
        <v>219000h</v>
      </c>
      <c r="O9" s="1">
        <v>1500</v>
      </c>
      <c r="P9" s="1">
        <v>60000</v>
      </c>
      <c r="Q9" s="1">
        <v>0</v>
      </c>
      <c r="R9">
        <v>1</v>
      </c>
      <c r="S9" t="str">
        <v>unit_investment_variable_type_integer</v>
      </c>
    </row>
    <row r="10" spans="1:19" x14ac:dyDescent="0.25">
      <c r="A10" s="3" t="str">
        <f>$A$1&amp;"_geothermal"</f>
        <v>SWE_geothermal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0</v>
      </c>
      <c r="H10" s="3" t="str">
        <v/>
      </c>
      <c r="I10" s="3">
        <v>0.23499999999999999</v>
      </c>
      <c r="J10" s="3" t="str">
        <v/>
      </c>
      <c r="K10" s="3" t="str">
        <v/>
      </c>
      <c r="L10" s="3" t="str">
        <v/>
      </c>
      <c r="M10">
        <v>30</v>
      </c>
      <c r="N10" t="str">
        <v>262800h</v>
      </c>
      <c r="O10">
        <v>3775</v>
      </c>
      <c r="P10">
        <v>125833.33333333333</v>
      </c>
      <c r="Q10">
        <v>0</v>
      </c>
      <c r="R10">
        <v>1</v>
      </c>
      <c r="S10" t="str">
        <v>unit_investment_variable_type_integer</v>
      </c>
    </row>
    <row r="11" spans="1:19" x14ac:dyDescent="0.25">
      <c r="A11" s="3" t="str">
        <f>$A$1&amp;"_hydro-pumped"</f>
        <v>SWE_hydro-pumped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 t="str">
        <v/>
      </c>
      <c r="I11" s="3">
        <v>0.75</v>
      </c>
      <c r="J11" s="3" t="str">
        <v/>
      </c>
      <c r="K11" s="3" t="str">
        <v/>
      </c>
      <c r="L11" s="3" t="str">
        <v/>
      </c>
      <c r="M11">
        <v>80</v>
      </c>
      <c r="N11" t="str">
        <v>700800h</v>
      </c>
      <c r="O11">
        <v>2000</v>
      </c>
      <c r="P11">
        <v>25000</v>
      </c>
      <c r="Q11">
        <v>0</v>
      </c>
      <c r="R11">
        <v>1</v>
      </c>
      <c r="S11" t="str">
        <v>unit_investment_variable_type_integer</v>
      </c>
    </row>
    <row r="12" spans="1:19" x14ac:dyDescent="0.25">
      <c r="A12" s="3" t="str">
        <f>$A$1&amp;"_hydro-ror"</f>
        <v>SWE_hydro-ror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 t="str">
        <v/>
      </c>
      <c r="I12" s="3">
        <v>0.9</v>
      </c>
      <c r="J12" s="3" t="str">
        <v/>
      </c>
      <c r="K12" s="3" t="str">
        <v/>
      </c>
      <c r="L12" s="3" t="str">
        <v/>
      </c>
      <c r="M12">
        <v>80</v>
      </c>
      <c r="N12" t="str">
        <v>700800h</v>
      </c>
      <c r="O12">
        <v>3000</v>
      </c>
      <c r="P12">
        <v>37500</v>
      </c>
      <c r="Q12">
        <v>0</v>
      </c>
      <c r="R12">
        <v>1</v>
      </c>
      <c r="S12" t="str">
        <v>unit_investment_variable_type_integer</v>
      </c>
    </row>
    <row r="13" spans="1:19" x14ac:dyDescent="0.25">
      <c r="A13" s="3" t="str">
        <f>$A$1&amp;"_marine"</f>
        <v>SWE_marine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 t="str">
        <v/>
      </c>
      <c r="I13" s="3">
        <v>1</v>
      </c>
      <c r="J13" s="3" t="str">
        <v/>
      </c>
      <c r="K13" s="3" t="str">
        <v/>
      </c>
      <c r="L13" s="3" t="str">
        <v/>
      </c>
      <c r="M13">
        <v>30</v>
      </c>
      <c r="N13" t="str">
        <v>262800h</v>
      </c>
      <c r="O13">
        <v>4246</v>
      </c>
      <c r="P13">
        <v>141533.33333333334</v>
      </c>
      <c r="Q13">
        <v>0</v>
      </c>
      <c r="R13">
        <v>1</v>
      </c>
      <c r="S13" t="str">
        <v>unit_investment_variable_type_integer</v>
      </c>
    </row>
    <row r="14" spans="1:19" x14ac:dyDescent="0.25">
      <c r="A14" s="3" t="str">
        <f>$A$1&amp;"_nuclear"</f>
        <v>SWE_nuclear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10</v>
      </c>
      <c r="H14" s="3">
        <v>10</v>
      </c>
      <c r="I14" s="3">
        <v>0.33299999999999996</v>
      </c>
      <c r="J14" s="3">
        <v>0</v>
      </c>
      <c r="K14" s="3" t="str">
        <v>uranium</v>
      </c>
      <c r="L14" s="3" t="str">
        <v/>
      </c>
      <c r="M14">
        <v>60</v>
      </c>
      <c r="N14" t="str">
        <v>525600h</v>
      </c>
      <c r="O14">
        <v>6000</v>
      </c>
      <c r="P14">
        <v>100000</v>
      </c>
      <c r="Q14">
        <v>0</v>
      </c>
      <c r="R14">
        <v>1</v>
      </c>
      <c r="S14" t="str">
        <v>unit_investment_variable_type_integer</v>
      </c>
    </row>
    <row r="15" spans="1:19" x14ac:dyDescent="0.25">
      <c r="A15" s="3" t="str">
        <f>$A$1&amp;"_other"</f>
        <v>SWE_other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0.32400000000000001</v>
      </c>
      <c r="K15" s="3" t="str">
        <v>other</v>
      </c>
      <c r="L15" s="3" t="str">
        <v/>
      </c>
      <c r="M15">
        <v>25</v>
      </c>
      <c r="N15" t="str">
        <v>219000h</v>
      </c>
      <c r="O15">
        <v>3000</v>
      </c>
      <c r="P15">
        <v>120000</v>
      </c>
      <c r="Q15">
        <v>0</v>
      </c>
      <c r="R15">
        <v>1</v>
      </c>
      <c r="S15" t="str">
        <v>unit_investment_variable_type_integer</v>
      </c>
    </row>
    <row r="16" spans="1:19" x14ac:dyDescent="0.25">
      <c r="A16" s="3" t="str">
        <f>$A$1&amp;"_other-ren"</f>
        <v>SWE_other-ren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3">
        <v>0</v>
      </c>
      <c r="H16" s="6" t="str">
        <v/>
      </c>
      <c r="I16" s="6">
        <v>1</v>
      </c>
      <c r="J16" s="3" t="str">
        <v/>
      </c>
      <c r="K16" s="3" t="str">
        <v/>
      </c>
      <c r="L16" s="3" t="str">
        <v/>
      </c>
      <c r="M16">
        <v>25</v>
      </c>
      <c r="N16" t="str">
        <v>219000h</v>
      </c>
      <c r="O16">
        <v>2000</v>
      </c>
      <c r="P16">
        <v>80000</v>
      </c>
      <c r="Q16">
        <v>0</v>
      </c>
      <c r="R16">
        <v>1</v>
      </c>
      <c r="S16" t="str">
        <v>unit_investment_variable_type_integer</v>
      </c>
    </row>
    <row r="17" spans="1:19" x14ac:dyDescent="0.25">
      <c r="A17" s="3" t="str">
        <f>$A$1&amp;"_solar"</f>
        <v>SWE_solar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 t="str">
        <v/>
      </c>
      <c r="I17" s="3">
        <v>1</v>
      </c>
      <c r="J17" s="3" t="str">
        <v/>
      </c>
      <c r="K17" s="3" t="str">
        <v/>
      </c>
      <c r="L17" s="3" t="str">
        <v/>
      </c>
      <c r="M17">
        <v>25</v>
      </c>
      <c r="N17" t="str">
        <v>219000h</v>
      </c>
      <c r="O17">
        <v>750</v>
      </c>
      <c r="P17">
        <v>30000</v>
      </c>
      <c r="Q17">
        <v>0</v>
      </c>
      <c r="R17">
        <v>1</v>
      </c>
      <c r="S17" t="str">
        <v>unit_investment_variable_type_integer</v>
      </c>
    </row>
    <row r="18" spans="1:19" x14ac:dyDescent="0.25">
      <c r="A18" s="3" t="str">
        <f>$A$1&amp;"_waste"</f>
        <v>SWE_waste</v>
      </c>
      <c r="B18" s="3" t="str">
        <v>Waste</v>
      </c>
      <c r="C18" s="3">
        <v>2350</v>
      </c>
      <c r="D18" s="3">
        <v>2350000</v>
      </c>
      <c r="E18" s="3">
        <v>100</v>
      </c>
      <c r="F18" s="3">
        <v>11.415525114155251</v>
      </c>
      <c r="G18" s="3">
        <v>0</v>
      </c>
      <c r="H18" s="3">
        <v>0</v>
      </c>
      <c r="I18" s="3">
        <v>0.45899999999999996</v>
      </c>
      <c r="J18" s="3">
        <v>0.34560000000000002</v>
      </c>
      <c r="K18" s="3" t="str">
        <v>waste</v>
      </c>
      <c r="L18" s="3" t="str">
        <v/>
      </c>
      <c r="M18">
        <v>25</v>
      </c>
      <c r="N18" t="str">
        <v>219000h</v>
      </c>
      <c r="O18">
        <v>2350</v>
      </c>
      <c r="P18">
        <v>94000</v>
      </c>
      <c r="Q18">
        <v>0</v>
      </c>
      <c r="R18">
        <v>1</v>
      </c>
      <c r="S18" t="str">
        <v>unit_investment_variable_type_integer</v>
      </c>
    </row>
    <row r="19" spans="1:19" x14ac:dyDescent="0.25">
      <c r="A19" s="3" t="str">
        <f>$A$1&amp;"_wind-off"</f>
        <v>SWE_wind-off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 t="str">
        <v/>
      </c>
      <c r="I19" s="3">
        <v>1</v>
      </c>
      <c r="J19" s="3" t="str">
        <v/>
      </c>
      <c r="K19" s="3" t="str">
        <v/>
      </c>
      <c r="L19" s="3" t="str">
        <v/>
      </c>
      <c r="M19">
        <v>25</v>
      </c>
      <c r="N19" t="str">
        <v>219000h</v>
      </c>
      <c r="O19">
        <v>2742</v>
      </c>
      <c r="P19">
        <v>109680</v>
      </c>
      <c r="Q19">
        <v>0</v>
      </c>
      <c r="R19">
        <v>1</v>
      </c>
      <c r="S19" t="str">
        <v>unit_investment_variable_type_integer</v>
      </c>
    </row>
    <row r="20" spans="1:19" x14ac:dyDescent="0.25">
      <c r="A20" s="3" t="str">
        <f>$A$1&amp;"_wind-on"</f>
        <v>SWE_wind-on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 t="str">
        <v/>
      </c>
      <c r="I20" s="3">
        <v>1</v>
      </c>
      <c r="J20" s="3" t="str">
        <v/>
      </c>
      <c r="K20" s="3" t="str">
        <v/>
      </c>
      <c r="L20" s="3" t="str">
        <v/>
      </c>
      <c r="M20">
        <v>25</v>
      </c>
      <c r="N20" t="str">
        <v>219000h</v>
      </c>
      <c r="O20">
        <v>1240</v>
      </c>
      <c r="P20">
        <v>49600</v>
      </c>
      <c r="Q20">
        <v>0</v>
      </c>
      <c r="R20">
        <v>1</v>
      </c>
      <c r="S20" t="str">
        <v>unit_investment_variable_type_integer</v>
      </c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DC39-4BF9-4176-96D9-6E49B264B29A}">
  <dimension ref="A1:R5"/>
  <sheetViews>
    <sheetView workbookViewId="0">
      <selection activeCell="E1" sqref="E1"/>
    </sheetView>
  </sheetViews>
  <sheetFormatPr defaultColWidth="11.42578125" defaultRowHeight="15" x14ac:dyDescent="0.25"/>
  <cols>
    <col min="1" max="1" width="5.5703125" bestFit="1" customWidth="1"/>
    <col min="2" max="3" width="20" bestFit="1" customWidth="1"/>
    <col min="4" max="4" width="9.42578125" bestFit="1" customWidth="1"/>
    <col min="5" max="5" width="17.42578125" bestFit="1" customWidth="1"/>
    <col min="6" max="6" width="22.42578125" bestFit="1" customWidth="1"/>
    <col min="7" max="7" width="31.28515625" bestFit="1" customWidth="1"/>
    <col min="9" max="9" width="22.7109375" bestFit="1" customWidth="1"/>
    <col min="10" max="10" width="23.42578125" bestFit="1" customWidth="1"/>
    <col min="11" max="11" width="24.7109375" bestFit="1" customWidth="1"/>
    <col min="12" max="12" width="25.7109375" bestFit="1" customWidth="1"/>
    <col min="13" max="13" width="32.85546875" bestFit="1" customWidth="1"/>
    <col min="14" max="14" width="14.7109375" bestFit="1" customWidth="1"/>
    <col min="15" max="15" width="15" bestFit="1" customWidth="1"/>
    <col min="16" max="16" width="16.85546875" bestFit="1" customWidth="1"/>
    <col min="17" max="17" width="14" bestFit="1" customWidth="1"/>
  </cols>
  <sheetData>
    <row r="1" spans="1:18" x14ac:dyDescent="0.25">
      <c r="A1" s="3" t="s">
        <v>90</v>
      </c>
      <c r="B1" t="s">
        <v>91</v>
      </c>
      <c r="C1" s="3" t="s">
        <v>90</v>
      </c>
      <c r="D1" t="s">
        <v>92</v>
      </c>
      <c r="E1" s="3" t="s">
        <v>136</v>
      </c>
      <c r="F1" t="s">
        <v>94</v>
      </c>
      <c r="G1" t="s">
        <v>95</v>
      </c>
      <c r="H1" t="s">
        <v>96</v>
      </c>
      <c r="I1" t="str" cm="1">
        <f t="array" ref="I1:L1">gen_technology!B1:E1</f>
        <v>capital_cost 2020 [€/kW]</v>
      </c>
      <c r="J1" t="str">
        <v>capital_cost 2020 [€/MW]</v>
      </c>
      <c r="K1" t="str">
        <v>fixedOM 2010 [€/kW/year]</v>
      </c>
      <c r="L1" t="str">
        <v>fixedOM 2010 [€/MW/hour]</v>
      </c>
      <c r="M1" t="str" cm="1">
        <f t="array" ref="M1:Q1">gen_technology!I1:M1</f>
        <v>emission factor [CO2 tons / MWh of fuel]</v>
      </c>
      <c r="N1" t="str">
        <v>fuel</v>
      </c>
      <c r="O1" t="str">
        <v>investment_optimization</v>
      </c>
      <c r="P1" t="str">
        <v>lifetime [years]</v>
      </c>
      <c r="Q1" t="str">
        <v>lifetime [hours]</v>
      </c>
      <c r="R1" t="s">
        <v>106</v>
      </c>
    </row>
    <row r="2" spans="1:18" x14ac:dyDescent="0.25">
      <c r="A2" s="3" t="s">
        <v>2</v>
      </c>
      <c r="B2" s="3" t="str">
        <f t="shared" ref="B2:B3" si="0">A2&amp;"_hydro-reservoir"</f>
        <v>NOR_hydro-reservoir</v>
      </c>
      <c r="C2" s="3" t="str">
        <f t="shared" ref="C2:C3" si="1">A2&amp;"_hydro-reservoir"</f>
        <v>NOR_hydro-reservoir</v>
      </c>
      <c r="D2" s="3" t="s">
        <v>93</v>
      </c>
      <c r="E2" s="3">
        <f>F2/3</f>
        <v>29000000</v>
      </c>
      <c r="F2">
        <v>87000000</v>
      </c>
      <c r="G2">
        <f>gen_technology!H21</f>
        <v>0.9</v>
      </c>
      <c r="H2" t="s">
        <v>93</v>
      </c>
      <c r="I2" cm="1">
        <f t="array" ref="I2:L2">gen_technology!B21:E21</f>
        <v>2000</v>
      </c>
      <c r="J2">
        <v>2000000</v>
      </c>
      <c r="K2">
        <v>20</v>
      </c>
      <c r="L2">
        <v>2.2831050228310503</v>
      </c>
      <c r="M2" cm="1">
        <f t="array" ref="M2:Q2">gen_technology!I21:M21</f>
        <v>0</v>
      </c>
      <c r="N2">
        <v>0</v>
      </c>
      <c r="O2">
        <v>0</v>
      </c>
      <c r="P2">
        <v>80</v>
      </c>
      <c r="Q2" t="str">
        <v>700800h</v>
      </c>
      <c r="R2" t="s">
        <v>107</v>
      </c>
    </row>
    <row r="3" spans="1:18" x14ac:dyDescent="0.25">
      <c r="A3" s="3" t="s">
        <v>3</v>
      </c>
      <c r="B3" s="3" t="str">
        <f t="shared" si="0"/>
        <v>SWE_hydro-reservoir</v>
      </c>
      <c r="C3" s="3" t="str">
        <f t="shared" si="1"/>
        <v>SWE_hydro-reservoir</v>
      </c>
      <c r="D3" s="3" t="s">
        <v>93</v>
      </c>
      <c r="E3" s="3">
        <f>F3/3</f>
        <v>11200000</v>
      </c>
      <c r="F3">
        <v>33600000</v>
      </c>
      <c r="G3">
        <f>gen_technology!H21</f>
        <v>0.9</v>
      </c>
      <c r="H3" t="s">
        <v>93</v>
      </c>
      <c r="I3" cm="1">
        <f t="array" ref="I3:L3">gen_technology!B21:E21</f>
        <v>2000</v>
      </c>
      <c r="J3">
        <v>2000000</v>
      </c>
      <c r="K3">
        <v>20</v>
      </c>
      <c r="L3">
        <v>2.2831050228310503</v>
      </c>
      <c r="M3" cm="1">
        <f t="array" ref="M3:Q3">gen_technology!I21:M21</f>
        <v>0</v>
      </c>
      <c r="N3">
        <v>0</v>
      </c>
      <c r="O3">
        <v>0</v>
      </c>
      <c r="P3">
        <v>80</v>
      </c>
      <c r="Q3" t="str">
        <v>700800h</v>
      </c>
      <c r="R3" t="s">
        <v>107</v>
      </c>
    </row>
    <row r="4" spans="1:18" s="3" customFormat="1" x14ac:dyDescent="0.25">
      <c r="F4" s="2"/>
    </row>
    <row r="5" spans="1:18" s="3" customFormat="1" x14ac:dyDescent="0.25">
      <c r="F5" s="2"/>
    </row>
  </sheetData>
  <pageMargins left="0.7" right="0.7" top="0.78740157499999996" bottom="0.78740157499999996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AE15-38DE-4A26-A8A0-CD1B88C207F2}">
  <dimension ref="A1:C8"/>
  <sheetViews>
    <sheetView workbookViewId="0">
      <selection activeCell="D19" sqref="D19"/>
    </sheetView>
  </sheetViews>
  <sheetFormatPr defaultColWidth="11.42578125" defaultRowHeight="15" x14ac:dyDescent="0.25"/>
  <cols>
    <col min="1" max="1" width="14.5703125" bestFit="1" customWidth="1"/>
    <col min="2" max="2" width="14.85546875" bestFit="1" customWidth="1"/>
    <col min="3" max="3" width="27.28515625" bestFit="1" customWidth="1"/>
  </cols>
  <sheetData>
    <row r="1" spans="1:3" x14ac:dyDescent="0.25">
      <c r="A1" t="s">
        <v>90</v>
      </c>
      <c r="B1" t="s">
        <v>90</v>
      </c>
      <c r="C1" t="s">
        <v>97</v>
      </c>
    </row>
    <row r="2" spans="1:3" x14ac:dyDescent="0.25">
      <c r="A2" t="s">
        <v>5</v>
      </c>
      <c r="B2" t="str">
        <f>A2&amp;"_emissions"</f>
        <v>BAL_emissions</v>
      </c>
      <c r="C2">
        <v>5</v>
      </c>
    </row>
    <row r="3" spans="1:3" x14ac:dyDescent="0.25">
      <c r="A3" t="s">
        <v>4</v>
      </c>
      <c r="B3" s="3" t="str">
        <f t="shared" ref="B3:B6" si="0">A3&amp;"_emissions"</f>
        <v>DEN_emissions</v>
      </c>
      <c r="C3">
        <v>27</v>
      </c>
    </row>
    <row r="4" spans="1:3" x14ac:dyDescent="0.25">
      <c r="A4" t="s">
        <v>1</v>
      </c>
      <c r="B4" s="3" t="str">
        <f t="shared" si="0"/>
        <v>FIN_emissions</v>
      </c>
      <c r="C4" s="3">
        <v>72</v>
      </c>
    </row>
    <row r="5" spans="1:3" x14ac:dyDescent="0.25">
      <c r="A5" t="s">
        <v>2</v>
      </c>
      <c r="B5" s="3" t="str">
        <f t="shared" si="0"/>
        <v>NOR_emissions</v>
      </c>
      <c r="C5" s="3">
        <v>60</v>
      </c>
    </row>
    <row r="6" spans="1:3" x14ac:dyDescent="0.25">
      <c r="A6" t="s">
        <v>3</v>
      </c>
      <c r="B6" s="3" t="str">
        <f t="shared" si="0"/>
        <v>SWE_emissions</v>
      </c>
      <c r="C6" s="3">
        <v>130</v>
      </c>
    </row>
    <row r="8" spans="1:3" x14ac:dyDescent="0.25">
      <c r="C8" s="9" t="s">
        <v>137</v>
      </c>
    </row>
  </sheetData>
  <hyperlinks>
    <hyperlink ref="C8" r:id="rId1" xr:uid="{9493F9C7-006F-4E7C-84EC-C4C4125830BD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2E5A1-E2D9-4788-8100-C471010118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gen_technology</vt:lpstr>
      <vt:lpstr>capital_cost</vt:lpstr>
      <vt:lpstr>OM_cost</vt:lpstr>
      <vt:lpstr>efficiency</vt:lpstr>
      <vt:lpstr>gen_technology BAL</vt:lpstr>
      <vt:lpstr>gen_technology DEN</vt:lpstr>
      <vt:lpstr>gen_technology FIN</vt:lpstr>
      <vt:lpstr>gen_technology NOR</vt:lpstr>
      <vt:lpstr>gen_technology SWE</vt:lpstr>
      <vt:lpstr>hydro_reservoir</vt:lpstr>
      <vt:lpstr>carbon_tax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Oei</dc:creator>
  <cp:lastModifiedBy>Huang  Jiangyi</cp:lastModifiedBy>
  <dcterms:created xsi:type="dcterms:W3CDTF">2022-05-31T11:27:08Z</dcterms:created>
  <dcterms:modified xsi:type="dcterms:W3CDTF">2023-02-23T18:56:47Z</dcterms:modified>
</cp:coreProperties>
</file>