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5eff0e82977d5/Documents/Uni-DESKTOP-D41IPJ3/Internship Aalto/EnergyModel/model-data/"/>
    </mc:Choice>
  </mc:AlternateContent>
  <xr:revisionPtr revIDLastSave="1528" documentId="8_{79DA86DC-E3D6-4AFA-91C5-4D49669F33B1}" xr6:coauthVersionLast="47" xr6:coauthVersionMax="47" xr10:uidLastSave="{CD03268C-17CA-47D8-ACA3-CE3462943668}"/>
  <bookViews>
    <workbookView xWindow="4470" yWindow="2745" windowWidth="29790" windowHeight="15240" xr2:uid="{ADDE16D4-F9FE-4B25-9901-D320469C21A8}"/>
  </bookViews>
  <sheets>
    <sheet name="gen_technology" sheetId="12" r:id="rId1"/>
    <sheet name="capital_cost" sheetId="13" r:id="rId2"/>
    <sheet name="OM_cost" sheetId="14" r:id="rId3"/>
    <sheet name="efficiency" sheetId="15" r:id="rId4"/>
    <sheet name="gen_technology BAL" sheetId="10" r:id="rId5"/>
    <sheet name="gen_technology DEN" sheetId="9" r:id="rId6"/>
    <sheet name="gen_technology FIN" sheetId="8" r:id="rId7"/>
    <sheet name="gen_technology NOR" sheetId="7" r:id="rId8"/>
    <sheet name="gen_technology SWE" sheetId="6" r:id="rId9"/>
    <sheet name="hydro_reservoir" sheetId="16" r:id="rId10"/>
    <sheet name="carbon_tax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2" l="1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" i="12"/>
  <c r="O18" i="12"/>
  <c r="H2" i="12"/>
  <c r="H18" i="12" s="1"/>
  <c r="N1" i="16" a="1"/>
  <c r="N1" i="16" s="1"/>
  <c r="J1" i="16" a="1"/>
  <c r="J1" i="16" s="1"/>
  <c r="B3" i="17"/>
  <c r="B4" i="17"/>
  <c r="B5" i="17"/>
  <c r="B6" i="17"/>
  <c r="B2" i="17"/>
  <c r="C2" i="16" l="1"/>
  <c r="C3" i="16"/>
  <c r="B2" i="16"/>
  <c r="B3" i="16"/>
  <c r="K3" i="12" l="1"/>
  <c r="K4" i="12"/>
  <c r="K5" i="12"/>
  <c r="K6" i="12"/>
  <c r="K7" i="12"/>
  <c r="K8" i="12"/>
  <c r="K9" i="12"/>
  <c r="K10" i="12"/>
  <c r="K11" i="12"/>
  <c r="K12" i="12"/>
  <c r="K21" i="12"/>
  <c r="K13" i="12"/>
  <c r="K14" i="12"/>
  <c r="K15" i="12"/>
  <c r="K16" i="12"/>
  <c r="K17" i="12"/>
  <c r="K18" i="12"/>
  <c r="K19" i="12"/>
  <c r="K20" i="12"/>
  <c r="K2" i="12"/>
  <c r="E9" i="12"/>
  <c r="E14" i="12"/>
  <c r="A12" i="6"/>
  <c r="A12" i="7"/>
  <c r="A12" i="8"/>
  <c r="A12" i="9"/>
  <c r="A12" i="10"/>
  <c r="A11" i="10"/>
  <c r="A20" i="6"/>
  <c r="A19" i="6"/>
  <c r="A18" i="6"/>
  <c r="A17" i="6"/>
  <c r="A16" i="6"/>
  <c r="A15" i="6"/>
  <c r="A14" i="6"/>
  <c r="A13" i="6"/>
  <c r="A11" i="6"/>
  <c r="A10" i="6"/>
  <c r="A9" i="6"/>
  <c r="A8" i="6"/>
  <c r="A7" i="6"/>
  <c r="A6" i="6"/>
  <c r="A5" i="6"/>
  <c r="A4" i="6"/>
  <c r="A3" i="6"/>
  <c r="A2" i="6"/>
  <c r="A20" i="7"/>
  <c r="A19" i="7"/>
  <c r="A18" i="7"/>
  <c r="A17" i="7"/>
  <c r="A16" i="7"/>
  <c r="A15" i="7"/>
  <c r="A14" i="7"/>
  <c r="A13" i="7"/>
  <c r="A11" i="7"/>
  <c r="A10" i="7"/>
  <c r="A9" i="7"/>
  <c r="A8" i="7"/>
  <c r="A7" i="7"/>
  <c r="A6" i="7"/>
  <c r="A5" i="7"/>
  <c r="A4" i="7"/>
  <c r="A3" i="7"/>
  <c r="A2" i="7"/>
  <c r="A20" i="8"/>
  <c r="A19" i="8"/>
  <c r="A18" i="8"/>
  <c r="A17" i="8"/>
  <c r="A16" i="8"/>
  <c r="A15" i="8"/>
  <c r="A14" i="8"/>
  <c r="A13" i="8"/>
  <c r="A11" i="8"/>
  <c r="A10" i="8"/>
  <c r="A9" i="8"/>
  <c r="A8" i="8"/>
  <c r="A7" i="8"/>
  <c r="A6" i="8"/>
  <c r="A5" i="8"/>
  <c r="A4" i="8"/>
  <c r="A3" i="8"/>
  <c r="A2" i="8"/>
  <c r="A20" i="9"/>
  <c r="A19" i="9"/>
  <c r="A18" i="9"/>
  <c r="A17" i="9"/>
  <c r="A16" i="9"/>
  <c r="A15" i="9"/>
  <c r="A14" i="9"/>
  <c r="A13" i="9"/>
  <c r="A11" i="9"/>
  <c r="A10" i="9"/>
  <c r="A9" i="9"/>
  <c r="A8" i="9"/>
  <c r="A7" i="9"/>
  <c r="A6" i="9"/>
  <c r="A5" i="9"/>
  <c r="A4" i="9"/>
  <c r="A3" i="9"/>
  <c r="A2" i="9"/>
  <c r="A2" i="10"/>
  <c r="A3" i="10"/>
  <c r="A4" i="10"/>
  <c r="A5" i="10"/>
  <c r="A6" i="10"/>
  <c r="A7" i="10"/>
  <c r="A8" i="10"/>
  <c r="A9" i="10"/>
  <c r="A10" i="10"/>
  <c r="A13" i="10"/>
  <c r="A14" i="10"/>
  <c r="A15" i="10"/>
  <c r="A16" i="10"/>
  <c r="A17" i="10"/>
  <c r="A18" i="10"/>
  <c r="A19" i="10"/>
  <c r="A20" i="10"/>
  <c r="N3" i="16" l="1" a="1"/>
  <c r="N3" i="16" s="1"/>
  <c r="N2" i="16" a="1"/>
  <c r="N2" i="16" s="1"/>
  <c r="B8" i="12"/>
  <c r="B7" i="12"/>
  <c r="C7" i="12" s="1"/>
  <c r="G4" i="12"/>
  <c r="H3" i="12"/>
  <c r="H10" i="12"/>
  <c r="H11" i="12"/>
  <c r="H12" i="12"/>
  <c r="H13" i="12"/>
  <c r="H14" i="12"/>
  <c r="H17" i="12"/>
  <c r="H19" i="12"/>
  <c r="H20" i="12"/>
  <c r="F20" i="12"/>
  <c r="F19" i="12"/>
  <c r="F17" i="12"/>
  <c r="F14" i="12"/>
  <c r="F13" i="12"/>
  <c r="F12" i="12"/>
  <c r="F11" i="12"/>
  <c r="F10" i="12"/>
  <c r="F4" i="12"/>
  <c r="F3" i="12"/>
  <c r="F2" i="12"/>
  <c r="D20" i="12"/>
  <c r="E20" i="12" s="1"/>
  <c r="D19" i="12"/>
  <c r="E19" i="12" s="1"/>
  <c r="D17" i="12"/>
  <c r="E17" i="12" s="1"/>
  <c r="D13" i="12"/>
  <c r="E13" i="12" s="1"/>
  <c r="D21" i="12"/>
  <c r="E21" i="12" s="1"/>
  <c r="D12" i="12"/>
  <c r="D11" i="12"/>
  <c r="E11" i="12" s="1"/>
  <c r="D10" i="12"/>
  <c r="E10" i="12" s="1"/>
  <c r="E6" i="12"/>
  <c r="D3" i="12"/>
  <c r="E3" i="12" s="1"/>
  <c r="D2" i="12"/>
  <c r="E2" i="12" s="1"/>
  <c r="C9" i="12"/>
  <c r="D4" i="12" l="1"/>
  <c r="E4" i="12" s="1"/>
  <c r="E5" i="12"/>
  <c r="E8" i="12"/>
  <c r="E7" i="12"/>
  <c r="E12" i="12"/>
  <c r="F18" i="12"/>
  <c r="E15" i="12"/>
  <c r="D18" i="12"/>
  <c r="E18" i="12" s="1"/>
  <c r="B17" i="12"/>
  <c r="C17" i="12" s="1"/>
  <c r="B20" i="12"/>
  <c r="C20" i="12" s="1"/>
  <c r="B19" i="12"/>
  <c r="C19" i="12" s="1"/>
  <c r="B14" i="12"/>
  <c r="C14" i="12" s="1"/>
  <c r="B13" i="12"/>
  <c r="C13" i="12" s="1"/>
  <c r="B21" i="12"/>
  <c r="B12" i="12"/>
  <c r="B11" i="12"/>
  <c r="C11" i="12" s="1"/>
  <c r="B10" i="12"/>
  <c r="C10" i="12" s="1"/>
  <c r="C6" i="12"/>
  <c r="C5" i="12"/>
  <c r="B3" i="12"/>
  <c r="C3" i="12" s="1"/>
  <c r="B2" i="12"/>
  <c r="C21" i="12" l="1"/>
  <c r="J3" i="16" s="1" a="1"/>
  <c r="J3" i="16" s="1"/>
  <c r="B4" i="12"/>
  <c r="C12" i="12"/>
  <c r="B18" i="12"/>
  <c r="C18" i="12" s="1"/>
  <c r="C2" i="12"/>
  <c r="C8" i="12"/>
  <c r="C23" i="14"/>
  <c r="C21" i="14"/>
  <c r="C19" i="14"/>
  <c r="C17" i="14"/>
  <c r="C15" i="14"/>
  <c r="C13" i="14"/>
  <c r="C4" i="12" l="1"/>
  <c r="B1" i="6" a="1"/>
  <c r="B1" i="6" s="1"/>
  <c r="B1" i="7" a="1"/>
  <c r="B1" i="7" s="1"/>
  <c r="B1" i="8" a="1"/>
  <c r="B1" i="8" s="1"/>
  <c r="B1" i="10" a="1"/>
  <c r="B1" i="10" s="1"/>
  <c r="B1" i="9" a="1"/>
  <c r="B1" i="9" s="1"/>
  <c r="J2" i="16" a="1"/>
  <c r="J2" i="16" s="1"/>
  <c r="C15" i="12"/>
  <c r="C16" i="12"/>
  <c r="E16" i="1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9734F-EE3E-4FC4-9C5F-7EC294AEAADE}" keepAlive="1" name="Abfrage - gen_technology" description="Verbindung mit der Abfrage 'gen_technology' in der Arbeitsmappe." type="5" refreshedVersion="8" background="1" saveData="1">
    <dbPr connection="Provider=Microsoft.Mashup.OleDb.1;Data Source=$Workbook$;Location=gen_technology;Extended Properties=&quot;&quot;" command="SELECT * FROM [gen_technology]"/>
  </connection>
  <connection id="2" xr16:uid="{0D546267-6D8F-4BDD-8883-2745E86B3ED9}" keepAlive="1" name="Abfrage - gen_technology (2)" description="Verbindung mit der Abfrage 'gen_technology (2)' in der Arbeitsmappe." type="5" refreshedVersion="0" background="1" saveData="1">
    <dbPr connection="Provider=Microsoft.Mashup.OleDb.1;Data Source=$Workbook$;Location=&quot;gen_technology (2)&quot;;Extended Properties=&quot;&quot;" command="SELECT * FROM [gen_technology (2)]"/>
  </connection>
  <connection id="3" xr16:uid="{7D3D8C62-EF00-4025-9149-FEED4067128C}" keepAlive="1" name="Abfrage - Lithuania (2)" description="Verbindung mit der Abfrage 'Lithuania (2)' in der Arbeitsmappe." type="5" refreshedVersion="8" background="1" saveData="1">
    <dbPr connection="Provider=Microsoft.Mashup.OleDb.1;Data Source=$Workbook$;Location=&quot;Lithuania (2)&quot;;Extended Properties=&quot;&quot;" command="SELECT * FROM [Lithuania (2)]"/>
  </connection>
  <connection id="4" xr16:uid="{40C51F06-F1BD-49A5-92F2-94EF9AFE898F}" keepAlive="1" name="Abfrage - Screenshot_2022-06-13_135321_b0d7479fc0f1427e9fbc84c9b47de32a" description="Verbindung mit der Abfrage 'Screenshot_2022-06-13_135321_b0d7479fc0f1427e9fbc84c9b47de32a' in der Arbeitsmappe." type="5" refreshedVersion="0" background="1" saveData="1">
    <dbPr connection="Provider=Microsoft.Mashup.OleDb.1;Data Source=$Workbook$;Location=Screenshot_2022-06-13_135321_b0d7479fc0f1427e9fbc84c9b47de32a;Extended Properties=&quot;&quot;" command="SELECT * FROM [Screenshot_2022-06-13_135321_b0d7479fc0f1427e9fbc84c9b47de32a]"/>
  </connection>
  <connection id="5" xr16:uid="{CA7BE52E-A6F1-4210-B4A8-86D8460EAAF5}" keepAlive="1" name="Abfrage - transmission" description="Verbindung mit der Abfrage 'transmission' in der Arbeitsmappe." type="5" refreshedVersion="8" background="1" saveData="1">
    <dbPr connection="Provider=Microsoft.Mashup.OleDb.1;Data Source=$Workbook$;Location=transmission;Extended Properties=&quot;&quot;" command="SELECT * FROM [transmission]"/>
  </connection>
  <connection id="6" xr16:uid="{1E73884C-CB72-4C7B-86D6-262AADE6E219}" keepAlive="1" name="Abfrage - transmission (2)" description="Verbindung mit der Abfrage 'transmission (2)' in der Arbeitsmappe." type="5" refreshedVersion="8" background="1" saveData="1">
    <dbPr connection="Provider=Microsoft.Mashup.OleDb.1;Data Source=$Workbook$;Location=&quot;transmission (2)&quot;;Extended Properties=&quot;&quot;" command="SELECT * FROM [transmission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<sst xmlns="http://schemas.openxmlformats.org/spreadsheetml/2006/main" count="253" uniqueCount="112">
  <si>
    <t>fuel_cost [€/MWh fuel]</t>
  </si>
  <si>
    <t>FIN</t>
  </si>
  <si>
    <t>NOR</t>
  </si>
  <si>
    <t>SWE</t>
  </si>
  <si>
    <t>DEN</t>
  </si>
  <si>
    <t>BAL</t>
  </si>
  <si>
    <t>emissions [CO2 tons / MWh of fuel]</t>
  </si>
  <si>
    <t>lifetime [hours]</t>
  </si>
  <si>
    <t>lifetime [years]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</si>
  <si>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</si>
  <si>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</si>
  <si>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</si>
  <si>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</si>
  <si>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</si>
  <si>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</si>
  <si>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</si>
  <si>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</si>
  <si>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</si>
  <si>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</si>
  <si>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</si>
  <si>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</si>
  <si>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</si>
  <si>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</si>
  <si>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</si>
  <si>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</si>
  <si>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</si>
  <si>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</si>
  <si>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</si>
  <si>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</si>
  <si>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Capital cost in 2010 EUR/kW</t>
  </si>
  <si>
    <t>Onshore</t>
  </si>
  <si>
    <t>WIND</t>
  </si>
  <si>
    <t>Offshore</t>
  </si>
  <si>
    <t>PV</t>
  </si>
  <si>
    <t>SOLAR</t>
  </si>
  <si>
    <t>CSP</t>
  </si>
  <si>
    <t>BIO</t>
  </si>
  <si>
    <t>GEO</t>
  </si>
  <si>
    <t>Pump storage or reservoir</t>
  </si>
  <si>
    <t>HYDRO</t>
  </si>
  <si>
    <t>Run-of-river</t>
  </si>
  <si>
    <t>MARINE</t>
  </si>
  <si>
    <t>Wave and Tidal</t>
  </si>
  <si>
    <t>NUCLEAR</t>
  </si>
  <si>
    <t>Nuclear - Generation 3 19</t>
  </si>
  <si>
    <t>Coal - IGCC w/o CCTS</t>
  </si>
  <si>
    <t>Coal - IGCC W CCTS 20</t>
  </si>
  <si>
    <t>Coal - PC w/o CCTS (Advanced/SuperC)</t>
  </si>
  <si>
    <t>Coal - PC W CCTS (Advanced/SuperC)</t>
  </si>
  <si>
    <t>COAL</t>
  </si>
  <si>
    <t>Coal - PC w/o CCTS (Subcritical)</t>
  </si>
  <si>
    <t>Coal - PC W CCTS (Subcritical)</t>
  </si>
  <si>
    <t>Lignite - Advanced (BoA) w/o CCTS</t>
  </si>
  <si>
    <t>Lignite - Advanced (BoA) W CCTS</t>
  </si>
  <si>
    <t>Gas CC w/o CCTS</t>
  </si>
  <si>
    <t>Gas CC W CCTS</t>
  </si>
  <si>
    <t>GAS</t>
  </si>
  <si>
    <t>Gas Combustion Turbine w/o CCTS</t>
  </si>
  <si>
    <t>Gas Combustions Turbine W CCTS</t>
  </si>
  <si>
    <t>Gas Steam Turbine w/o CCTS</t>
  </si>
  <si>
    <t>Oil Combustion Turbine w/o CCTS</t>
  </si>
  <si>
    <t>OIL</t>
  </si>
  <si>
    <t>Oil Steam Turbine w/o CCTS</t>
  </si>
  <si>
    <t>Variable O&amp;M cost in 2010 EUR/MWh*</t>
  </si>
  <si>
    <t>Fixed O&amp;M cost in 2010 EUR/kW/year</t>
  </si>
  <si>
    <t>Nuclear - Generation 3</t>
  </si>
  <si>
    <t>Coal - IGCC W CCTS</t>
  </si>
  <si>
    <t>Econstor</t>
  </si>
  <si>
    <t>Efficiency in %</t>
  </si>
  <si>
    <t>Pump storage (round-trip efficiency)</t>
  </si>
  <si>
    <t>Run-of-river or reservoir</t>
  </si>
  <si>
    <t>Coal - IGCC w CCTS</t>
  </si>
  <si>
    <t>Coal - PC w CCTS (Advanced/SuperC)</t>
  </si>
  <si>
    <t>Coal - PC w CCTS (Subcritical)</t>
  </si>
  <si>
    <t>Lignite - Advanced (BoA) w CCTS</t>
  </si>
  <si>
    <t>Gas CC w CCTS</t>
  </si>
  <si>
    <t>Gas Combustions Turbine w CCTS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</si>
  <si>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</si>
  <si>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</si>
  <si>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</si>
  <si>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</si>
  <si>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</si>
  <si>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</si>
  <si>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</si>
  <si>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</si>
  <si>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</si>
  <si>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capital_cost 2020 [€/kW]</t>
  </si>
  <si>
    <t>capital_cost 2020 [€/MW]</t>
  </si>
  <si>
    <t>fixedOM 2010 [€/kW/year]</t>
  </si>
  <si>
    <t>varOM 2010 [€/MWh]</t>
  </si>
  <si>
    <t>efficiency 2020</t>
  </si>
  <si>
    <t>fixedOM 2010 [€/MW/hour]</t>
  </si>
  <si>
    <t>ramp_down_limit</t>
  </si>
  <si>
    <t>ramp_up_limit</t>
  </si>
  <si>
    <t>node</t>
  </si>
  <si>
    <t>unit</t>
  </si>
  <si>
    <t>has_state</t>
  </si>
  <si>
    <t>True</t>
  </si>
  <si>
    <t>state_coeff</t>
  </si>
  <si>
    <t>Plant Capacity 2020 [MW]</t>
  </si>
  <si>
    <t>Storage Capacity [MWh]</t>
  </si>
  <si>
    <t>Reservoir - Power plant efficiency</t>
  </si>
  <si>
    <t>is_active</t>
  </si>
  <si>
    <t>tax_in_unit_flow [EUR/MWh]</t>
  </si>
  <si>
    <t>Technology</t>
  </si>
  <si>
    <t>investment_optimization</t>
  </si>
  <si>
    <t>number_of_units</t>
  </si>
  <si>
    <t>candidate_units</t>
  </si>
  <si>
    <t>unit_investment_variable_type</t>
  </si>
  <si>
    <t>unit_investment_cost 2020 [EUR/kW]</t>
  </si>
  <si>
    <t>unit_investment_cost 2020 [EUR/MW/year]</t>
  </si>
  <si>
    <t>unit_investment_variable_type_integer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</si>
</sst>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/>
    <xf numFmtId="0" fontId="2" fillId="3" borderId="0" xfId="2"/>
    <xf numFmtId="0" fontId="1" fillId="2" borderId="0" xfId="1"/>
    <xf numFmtId="2" fontId="0" fillId="0" borderId="0" xfId="0" applyNumberFormat="1"/>
    <xf numFmtId="0" fontId="3" fillId="4" borderId="0" xfId="3"/>
    <xf numFmtId="0" fontId="3" fillId="5" borderId="0" xfId="4"/>
  </cellXfs>
  <cellStyles count="5">
    <cellStyle name="20 % - Akzent1" xfId="3" builtinId="30"/>
    <cellStyle name="40 % - Akzent1" xfId="4" builtinId="31"/>
    <cellStyle name="Gut" xfId="1" builtinId="26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5AD4-B9F7-457E-A2EB-81E88EC6E11A}">
  <dimension ref="A1:S21"/>
  <sheetViews>
    <sheetView tabSelected="1" zoomScaleNormal="100" workbookViewId="0">
      <pane xSplit="1" topLeftCell="J1" activePane="topRight" state="frozen"/>
      <selection pane="topRight" activeCell="S22" sqref="S22"/>
    </sheetView>
  </sheetViews>
  <sheetFormatPr baseColWidth="10" defaultRowHeight="15" x14ac:dyDescent="0.25"/>
  <cols>
    <col min="1" max="1" width="31" bestFit="1" customWidth="1"/>
    <col min="2" max="2" width="22.7109375" bestFit="1" customWidth="1"/>
    <col min="3" max="3" width="23.42578125" bestFit="1" customWidth="1"/>
    <col min="4" max="4" width="24.7109375" bestFit="1" customWidth="1"/>
    <col min="5" max="5" width="25.42578125" bestFit="1" customWidth="1"/>
    <col min="6" max="6" width="19.85546875" bestFit="1" customWidth="1"/>
    <col min="7" max="7" width="21.85546875" bestFit="1" customWidth="1"/>
    <col min="8" max="8" width="14.140625" bestFit="1" customWidth="1"/>
    <col min="9" max="9" width="32.85546875" bestFit="1" customWidth="1"/>
    <col min="10" max="10" width="14.7109375" bestFit="1" customWidth="1"/>
    <col min="11" max="11" width="15" bestFit="1" customWidth="1"/>
    <col min="12" max="12" width="16.85546875" bestFit="1" customWidth="1"/>
    <col min="13" max="13" width="14" bestFit="1" customWidth="1"/>
    <col min="14" max="14" width="23.7109375" bestFit="1" customWidth="1"/>
    <col min="15" max="15" width="34.28515625" bestFit="1" customWidth="1"/>
    <col min="16" max="16" width="39.85546875" style="3" bestFit="1" customWidth="1"/>
    <col min="17" max="17" width="16.42578125" bestFit="1" customWidth="1"/>
    <col min="18" max="18" width="15.140625" bestFit="1" customWidth="1"/>
    <col min="19" max="19" width="40.42578125" bestFit="1" customWidth="1"/>
  </cols>
  <sheetData>
    <row r="1" spans="1:19" s="3" customFormat="1" x14ac:dyDescent="0.25">
      <c r="A1" s="3" t="s">
        <v>104</v>
      </c>
      <c r="B1" s="3" t="s">
        <v>86</v>
      </c>
      <c r="C1" s="3" t="s">
        <v>87</v>
      </c>
      <c r="D1" s="3" t="s">
        <v>88</v>
      </c>
      <c r="E1" s="3" t="s">
        <v>91</v>
      </c>
      <c r="F1" s="3" t="s">
        <v>89</v>
      </c>
      <c r="G1" s="3" t="s">
        <v>0</v>
      </c>
      <c r="H1" s="3" t="s">
        <v>90</v>
      </c>
      <c r="I1" s="3" t="s">
        <v>6</v>
      </c>
      <c r="J1" s="3" t="s">
        <v>8</v>
      </c>
      <c r="K1" s="3" t="s">
        <v>7</v>
      </c>
      <c r="L1" s="3" t="s">
        <v>92</v>
      </c>
      <c r="M1" s="3" t="s">
        <v>93</v>
      </c>
      <c r="N1" s="8" t="s">
        <v>105</v>
      </c>
      <c r="O1" s="3" t="s">
        <v>109</v>
      </c>
      <c r="P1" s="3" t="s">
        <v>110</v>
      </c>
      <c r="Q1" s="3" t="s">
        <v>106</v>
      </c>
      <c r="R1" s="3" t="s">
        <v>107</v>
      </c>
      <c r="S1" s="3" t="s">
        <v>108</v>
      </c>
    </row>
    <row r="2" spans="1:19" s="3" customFormat="1" x14ac:dyDescent="0.25">
      <c r="A2" s="5" t="s">
        <v>9</v>
      </c>
      <c r="B2" s="3">
        <f>capital_cost!E6</f>
        <v>2350</v>
      </c>
      <c r="C2" s="3">
        <f>B2*1000</f>
        <v>2350000</v>
      </c>
      <c r="D2" s="3">
        <f>OM_cost!D6</f>
        <v>100</v>
      </c>
      <c r="E2" s="6">
        <f>D2*1000/8760</f>
        <v>11.415525114155251</v>
      </c>
      <c r="F2" s="3">
        <f>OM_cost!C6</f>
        <v>0</v>
      </c>
      <c r="G2" s="3">
        <v>31</v>
      </c>
      <c r="H2" s="3">
        <f>efficiency!E6/100</f>
        <v>0.45899999999999996</v>
      </c>
      <c r="I2" s="3">
        <v>0.23</v>
      </c>
      <c r="J2" s="3">
        <v>25</v>
      </c>
      <c r="K2" s="3" t="str">
        <f>ROUND(J2*8760,0)&amp;"h"</f>
        <v>219000h</v>
      </c>
      <c r="L2" s="3">
        <v>1</v>
      </c>
      <c r="M2" s="3">
        <v>1</v>
      </c>
      <c r="N2" s="7"/>
      <c r="O2">
        <v>2350</v>
      </c>
      <c r="P2" s="2">
        <f>O2*1000/J2</f>
        <v>94000</v>
      </c>
      <c r="Q2" s="3">
        <v>0</v>
      </c>
      <c r="R2" s="3">
        <v>1</v>
      </c>
      <c r="S2" s="3" t="s">
        <v>111</v>
      </c>
    </row>
    <row r="3" spans="1:19" s="3" customFormat="1" x14ac:dyDescent="0.25">
      <c r="A3" s="5" t="s">
        <v>10</v>
      </c>
      <c r="B3" s="3">
        <f>capital_cost!E18</f>
        <v>1500</v>
      </c>
      <c r="C3" s="3">
        <f t="shared" ref="C3:C20" si="0">B3*1000</f>
        <v>1500000</v>
      </c>
      <c r="D3" s="3">
        <f>OM_cost!D18</f>
        <v>30</v>
      </c>
      <c r="E3" s="6">
        <f t="shared" ref="E3:E20" si="1">D3*1000/8760</f>
        <v>3.4246575342465753</v>
      </c>
      <c r="F3" s="3">
        <f>OM_cost!C18</f>
        <v>7</v>
      </c>
      <c r="G3" s="3">
        <v>8</v>
      </c>
      <c r="H3" s="3">
        <f>efficiency!E18/100</f>
        <v>0.439</v>
      </c>
      <c r="I3" s="3">
        <v>0.98</v>
      </c>
      <c r="J3" s="3">
        <v>40</v>
      </c>
      <c r="K3" s="3" t="str">
        <f t="shared" ref="K3:K20" si="2">ROUND(J3*8760,0)&amp;"h"</f>
        <v>350400h</v>
      </c>
      <c r="L3" s="3">
        <v>0.5</v>
      </c>
      <c r="M3" s="3">
        <v>0.5</v>
      </c>
      <c r="N3" s="7"/>
      <c r="O3">
        <v>1500</v>
      </c>
      <c r="P3" s="2">
        <f t="shared" ref="P3:P21" si="3">O3*1000/J3</f>
        <v>37500</v>
      </c>
      <c r="Q3" s="3">
        <v>0</v>
      </c>
      <c r="R3" s="3">
        <v>1</v>
      </c>
      <c r="S3" s="3" t="s">
        <v>111</v>
      </c>
    </row>
    <row r="4" spans="1:19" s="3" customFormat="1" x14ac:dyDescent="0.25">
      <c r="A4" s="4" t="s">
        <v>11</v>
      </c>
      <c r="B4" s="3">
        <f>B5</f>
        <v>800</v>
      </c>
      <c r="C4" s="3">
        <f t="shared" si="0"/>
        <v>800000</v>
      </c>
      <c r="D4" s="3">
        <f>D5</f>
        <v>10</v>
      </c>
      <c r="E4" s="6">
        <f t="shared" si="1"/>
        <v>1.1415525114155252</v>
      </c>
      <c r="F4" s="3">
        <f>F5</f>
        <v>10</v>
      </c>
      <c r="G4" s="3">
        <f>G5</f>
        <v>23.2</v>
      </c>
      <c r="H4" s="3">
        <v>0.4</v>
      </c>
      <c r="I4" s="3">
        <v>0.6</v>
      </c>
      <c r="J4" s="3">
        <v>25</v>
      </c>
      <c r="K4" s="3" t="str">
        <f t="shared" si="2"/>
        <v>219000h</v>
      </c>
      <c r="L4" s="3">
        <v>0.5</v>
      </c>
      <c r="M4" s="3">
        <v>0.5</v>
      </c>
      <c r="N4" s="7"/>
      <c r="O4" s="3">
        <v>800</v>
      </c>
      <c r="P4" s="2">
        <f t="shared" si="3"/>
        <v>32000</v>
      </c>
      <c r="Q4" s="3">
        <v>0</v>
      </c>
      <c r="R4" s="3">
        <v>1</v>
      </c>
      <c r="S4" s="3" t="s">
        <v>111</v>
      </c>
    </row>
    <row r="5" spans="1:19" s="3" customFormat="1" x14ac:dyDescent="0.25">
      <c r="A5" s="5" t="s">
        <v>12</v>
      </c>
      <c r="B5" s="3">
        <v>800</v>
      </c>
      <c r="C5" s="3">
        <f t="shared" si="0"/>
        <v>800000</v>
      </c>
      <c r="D5" s="3">
        <v>10</v>
      </c>
      <c r="E5" s="6">
        <f t="shared" si="1"/>
        <v>1.1415525114155252</v>
      </c>
      <c r="F5" s="3">
        <v>10</v>
      </c>
      <c r="G5" s="3">
        <v>23.2</v>
      </c>
      <c r="H5" s="3">
        <v>0.4</v>
      </c>
      <c r="I5" s="3">
        <v>0.49</v>
      </c>
      <c r="J5" s="3">
        <v>25</v>
      </c>
      <c r="K5" s="3" t="str">
        <f t="shared" si="2"/>
        <v>219000h</v>
      </c>
      <c r="L5" s="3">
        <v>0.5</v>
      </c>
      <c r="M5" s="3">
        <v>0.5</v>
      </c>
      <c r="N5" s="7"/>
      <c r="O5">
        <v>800</v>
      </c>
      <c r="P5" s="2">
        <f t="shared" si="3"/>
        <v>32000</v>
      </c>
      <c r="Q5" s="3">
        <v>0</v>
      </c>
      <c r="R5" s="3">
        <v>1</v>
      </c>
      <c r="S5" s="3" t="s">
        <v>111</v>
      </c>
    </row>
    <row r="6" spans="1:19" s="3" customFormat="1" x14ac:dyDescent="0.25">
      <c r="A6" s="5" t="s">
        <v>13</v>
      </c>
      <c r="B6" s="3">
        <v>2000</v>
      </c>
      <c r="C6" s="3">
        <f t="shared" si="0"/>
        <v>2000000</v>
      </c>
      <c r="D6" s="3">
        <v>20</v>
      </c>
      <c r="E6" s="6">
        <f t="shared" si="1"/>
        <v>2.2831050228310503</v>
      </c>
      <c r="F6" s="3">
        <v>7</v>
      </c>
      <c r="G6" s="3">
        <v>11</v>
      </c>
      <c r="H6" s="3">
        <v>0.4</v>
      </c>
      <c r="I6" s="3">
        <v>0.82</v>
      </c>
      <c r="J6" s="3">
        <v>40</v>
      </c>
      <c r="K6" s="3" t="str">
        <f t="shared" si="2"/>
        <v>350400h</v>
      </c>
      <c r="L6" s="3">
        <v>0.5</v>
      </c>
      <c r="M6" s="3">
        <v>0.5</v>
      </c>
      <c r="N6" s="7"/>
      <c r="O6">
        <v>1800</v>
      </c>
      <c r="P6" s="2">
        <f t="shared" si="3"/>
        <v>45000</v>
      </c>
      <c r="Q6" s="3">
        <v>0</v>
      </c>
      <c r="R6" s="3">
        <v>1</v>
      </c>
      <c r="S6" s="3" t="s">
        <v>111</v>
      </c>
    </row>
    <row r="7" spans="1:19" s="3" customFormat="1" x14ac:dyDescent="0.25">
      <c r="A7" s="5" t="s">
        <v>14</v>
      </c>
      <c r="B7" s="3">
        <f>1000</f>
        <v>1000</v>
      </c>
      <c r="C7" s="3">
        <f t="shared" si="0"/>
        <v>1000000</v>
      </c>
      <c r="D7" s="3">
        <v>6</v>
      </c>
      <c r="E7" s="6">
        <f t="shared" si="1"/>
        <v>0.68493150684931503</v>
      </c>
      <c r="F7" s="3">
        <v>3</v>
      </c>
      <c r="G7" s="3">
        <v>30</v>
      </c>
      <c r="H7" s="3">
        <v>0.4</v>
      </c>
      <c r="I7" s="3">
        <v>0.78</v>
      </c>
      <c r="J7" s="3">
        <v>40</v>
      </c>
      <c r="K7" s="3" t="str">
        <f t="shared" si="2"/>
        <v>350400h</v>
      </c>
      <c r="L7" s="3">
        <v>1</v>
      </c>
      <c r="M7" s="3">
        <v>1</v>
      </c>
      <c r="N7" s="7"/>
      <c r="O7">
        <v>400</v>
      </c>
      <c r="P7" s="2">
        <f t="shared" si="3"/>
        <v>10000</v>
      </c>
      <c r="Q7" s="3">
        <v>0</v>
      </c>
      <c r="R7" s="3">
        <v>1</v>
      </c>
      <c r="S7" s="3" t="s">
        <v>111</v>
      </c>
    </row>
    <row r="8" spans="1:19" s="3" customFormat="1" x14ac:dyDescent="0.25">
      <c r="A8" s="5" t="s">
        <v>15</v>
      </c>
      <c r="B8" s="3">
        <f>1000</f>
        <v>1000</v>
      </c>
      <c r="C8" s="3">
        <f t="shared" si="0"/>
        <v>1000000</v>
      </c>
      <c r="D8" s="3">
        <v>6</v>
      </c>
      <c r="E8" s="6">
        <f t="shared" si="1"/>
        <v>0.68493150684931503</v>
      </c>
      <c r="F8" s="3">
        <v>3</v>
      </c>
      <c r="G8" s="3">
        <v>26.5</v>
      </c>
      <c r="H8" s="3">
        <v>0.33</v>
      </c>
      <c r="I8" s="3">
        <v>1.02</v>
      </c>
      <c r="J8" s="3">
        <v>40</v>
      </c>
      <c r="K8" s="3" t="str">
        <f t="shared" si="2"/>
        <v>350400h</v>
      </c>
      <c r="L8" s="3">
        <v>1</v>
      </c>
      <c r="M8" s="3">
        <v>1</v>
      </c>
      <c r="N8" s="7"/>
      <c r="O8" s="3">
        <v>1870</v>
      </c>
      <c r="P8" s="2">
        <f t="shared" si="3"/>
        <v>46750</v>
      </c>
      <c r="Q8" s="3">
        <v>0</v>
      </c>
      <c r="R8" s="3">
        <v>1</v>
      </c>
      <c r="S8" s="3" t="s">
        <v>111</v>
      </c>
    </row>
    <row r="9" spans="1:19" s="3" customFormat="1" x14ac:dyDescent="0.25">
      <c r="A9" s="5" t="s">
        <v>16</v>
      </c>
      <c r="B9" s="3">
        <v>1500</v>
      </c>
      <c r="C9" s="3">
        <f t="shared" si="0"/>
        <v>1500000</v>
      </c>
      <c r="D9" s="3">
        <v>15</v>
      </c>
      <c r="E9" s="6">
        <f t="shared" si="1"/>
        <v>1.7123287671232876</v>
      </c>
      <c r="F9" s="3">
        <v>10</v>
      </c>
      <c r="G9" s="3">
        <v>8.9</v>
      </c>
      <c r="H9" s="3">
        <v>0.4</v>
      </c>
      <c r="I9" s="3">
        <v>1.1000000000000001</v>
      </c>
      <c r="J9" s="3">
        <v>25</v>
      </c>
      <c r="K9" s="3" t="str">
        <f t="shared" si="2"/>
        <v>219000h</v>
      </c>
      <c r="L9" s="3">
        <v>1</v>
      </c>
      <c r="M9" s="3">
        <v>1</v>
      </c>
      <c r="N9" s="7"/>
      <c r="O9" s="3">
        <v>1500</v>
      </c>
      <c r="P9" s="2">
        <f t="shared" si="3"/>
        <v>60000</v>
      </c>
      <c r="Q9" s="3">
        <v>0</v>
      </c>
      <c r="R9" s="3">
        <v>1</v>
      </c>
      <c r="S9" s="3" t="s">
        <v>111</v>
      </c>
    </row>
    <row r="10" spans="1:19" s="3" customFormat="1" x14ac:dyDescent="0.25">
      <c r="A10" s="5" t="s">
        <v>17</v>
      </c>
      <c r="B10" s="3">
        <f>capital_cost!E7</f>
        <v>3775</v>
      </c>
      <c r="C10" s="3">
        <f t="shared" si="0"/>
        <v>3775000</v>
      </c>
      <c r="D10" s="3">
        <f>OM_cost!D7</f>
        <v>80</v>
      </c>
      <c r="E10" s="6">
        <f t="shared" si="1"/>
        <v>9.1324200913242013</v>
      </c>
      <c r="F10" s="3">
        <f>OM_cost!C7</f>
        <v>0</v>
      </c>
      <c r="G10" s="3">
        <v>0</v>
      </c>
      <c r="H10" s="3">
        <f>efficiency!E7/100</f>
        <v>0.23499999999999999</v>
      </c>
      <c r="I10" s="3">
        <v>0.04</v>
      </c>
      <c r="J10" s="3">
        <v>30</v>
      </c>
      <c r="K10" s="3" t="str">
        <f t="shared" si="2"/>
        <v>262800h</v>
      </c>
      <c r="L10" s="3">
        <v>1</v>
      </c>
      <c r="M10" s="3">
        <v>1</v>
      </c>
      <c r="N10" s="7"/>
      <c r="O10">
        <v>3775</v>
      </c>
      <c r="P10" s="2">
        <f t="shared" si="3"/>
        <v>125833.33333333333</v>
      </c>
      <c r="Q10" s="3">
        <v>0</v>
      </c>
      <c r="R10" s="3">
        <v>1</v>
      </c>
      <c r="S10" s="3" t="s">
        <v>111</v>
      </c>
    </row>
    <row r="11" spans="1:19" s="3" customFormat="1" x14ac:dyDescent="0.25">
      <c r="A11" s="5" t="s">
        <v>18</v>
      </c>
      <c r="B11" s="3">
        <f>capital_cost!E8</f>
        <v>2000</v>
      </c>
      <c r="C11" s="3">
        <f t="shared" si="0"/>
        <v>2000000</v>
      </c>
      <c r="D11" s="3">
        <f>OM_cost!D8</f>
        <v>20</v>
      </c>
      <c r="E11" s="6">
        <f t="shared" si="1"/>
        <v>2.2831050228310503</v>
      </c>
      <c r="F11" s="3">
        <f>OM_cost!C8</f>
        <v>0</v>
      </c>
      <c r="G11" s="3">
        <v>0</v>
      </c>
      <c r="H11" s="3">
        <f>efficiency!E8/100</f>
        <v>0.75</v>
      </c>
      <c r="I11" s="3">
        <v>0.02</v>
      </c>
      <c r="J11" s="3">
        <v>80</v>
      </c>
      <c r="K11" s="3" t="str">
        <f t="shared" si="2"/>
        <v>700800h</v>
      </c>
      <c r="L11" s="3">
        <v>1</v>
      </c>
      <c r="M11" s="3">
        <v>1</v>
      </c>
      <c r="N11" s="7"/>
      <c r="O11">
        <v>2000</v>
      </c>
      <c r="P11" s="2">
        <f t="shared" si="3"/>
        <v>25000</v>
      </c>
      <c r="Q11" s="3">
        <v>0</v>
      </c>
      <c r="R11" s="3">
        <v>1</v>
      </c>
      <c r="S11" s="3" t="s">
        <v>111</v>
      </c>
    </row>
    <row r="12" spans="1:19" s="3" customFormat="1" x14ac:dyDescent="0.25">
      <c r="A12" s="5" t="s">
        <v>19</v>
      </c>
      <c r="B12" s="3">
        <f>capital_cost!E9</f>
        <v>3000</v>
      </c>
      <c r="C12" s="3">
        <f t="shared" si="0"/>
        <v>3000000</v>
      </c>
      <c r="D12" s="3">
        <f>OM_cost!D9</f>
        <v>60</v>
      </c>
      <c r="E12" s="6">
        <f t="shared" si="1"/>
        <v>6.8493150684931505</v>
      </c>
      <c r="F12" s="3">
        <f>OM_cost!C9</f>
        <v>0</v>
      </c>
      <c r="G12" s="3">
        <v>0</v>
      </c>
      <c r="H12" s="3">
        <f>efficiency!E9/100</f>
        <v>0.9</v>
      </c>
      <c r="I12" s="3">
        <v>0.02</v>
      </c>
      <c r="J12" s="3">
        <v>80</v>
      </c>
      <c r="K12" s="3" t="str">
        <f t="shared" si="2"/>
        <v>700800h</v>
      </c>
      <c r="L12" s="3">
        <v>1</v>
      </c>
      <c r="M12" s="3">
        <v>1</v>
      </c>
      <c r="N12" s="7"/>
      <c r="O12">
        <v>3000</v>
      </c>
      <c r="P12" s="2">
        <f t="shared" si="3"/>
        <v>37500</v>
      </c>
      <c r="Q12" s="3">
        <v>0</v>
      </c>
      <c r="R12" s="3">
        <v>1</v>
      </c>
      <c r="S12" s="3" t="s">
        <v>111</v>
      </c>
    </row>
    <row r="13" spans="1:19" s="3" customFormat="1" x14ac:dyDescent="0.25">
      <c r="A13" s="5" t="s">
        <v>21</v>
      </c>
      <c r="B13" s="3">
        <f>capital_cost!E10</f>
        <v>4246</v>
      </c>
      <c r="C13" s="3">
        <f t="shared" si="0"/>
        <v>4246000</v>
      </c>
      <c r="D13" s="3">
        <f>OM_cost!D10</f>
        <v>150</v>
      </c>
      <c r="E13" s="6">
        <f t="shared" si="1"/>
        <v>17.123287671232877</v>
      </c>
      <c r="F13" s="3">
        <f>OM_cost!C10</f>
        <v>0</v>
      </c>
      <c r="G13" s="3">
        <v>0</v>
      </c>
      <c r="H13" s="3">
        <f>efficiency!E10/100</f>
        <v>1</v>
      </c>
      <c r="I13" s="3">
        <v>0.02</v>
      </c>
      <c r="J13" s="3">
        <v>30</v>
      </c>
      <c r="K13" s="3" t="str">
        <f t="shared" si="2"/>
        <v>262800h</v>
      </c>
      <c r="L13" s="3">
        <v>1</v>
      </c>
      <c r="M13" s="3">
        <v>1</v>
      </c>
      <c r="N13" s="7"/>
      <c r="O13">
        <v>4246</v>
      </c>
      <c r="P13" s="2">
        <f t="shared" si="3"/>
        <v>141533.33333333334</v>
      </c>
      <c r="Q13" s="3">
        <v>0</v>
      </c>
      <c r="R13" s="3">
        <v>1</v>
      </c>
      <c r="S13" s="3" t="s">
        <v>111</v>
      </c>
    </row>
    <row r="14" spans="1:19" s="3" customFormat="1" x14ac:dyDescent="0.25">
      <c r="A14" s="5" t="s">
        <v>22</v>
      </c>
      <c r="B14" s="3">
        <f>capital_cost!E11</f>
        <v>6000</v>
      </c>
      <c r="C14" s="3">
        <f t="shared" si="0"/>
        <v>6000000</v>
      </c>
      <c r="D14" s="3">
        <v>120</v>
      </c>
      <c r="E14" s="6">
        <f t="shared" si="1"/>
        <v>13.698630136986301</v>
      </c>
      <c r="F14" s="3">
        <f>OM_cost!C11</f>
        <v>10</v>
      </c>
      <c r="G14" s="3">
        <v>10</v>
      </c>
      <c r="H14" s="3">
        <f>efficiency!E11/100</f>
        <v>0.33299999999999996</v>
      </c>
      <c r="I14" s="3">
        <v>0.01</v>
      </c>
      <c r="J14" s="3">
        <v>60</v>
      </c>
      <c r="K14" s="3" t="str">
        <f t="shared" si="2"/>
        <v>525600h</v>
      </c>
      <c r="L14" s="3">
        <v>0.15</v>
      </c>
      <c r="M14" s="3">
        <v>0.15</v>
      </c>
      <c r="N14" s="7"/>
      <c r="O14">
        <v>6000</v>
      </c>
      <c r="P14" s="2">
        <f t="shared" si="3"/>
        <v>100000</v>
      </c>
      <c r="Q14" s="3">
        <v>0</v>
      </c>
      <c r="R14" s="3">
        <v>1</v>
      </c>
      <c r="S14" s="3" t="s">
        <v>111</v>
      </c>
    </row>
    <row r="15" spans="1:19" s="3" customFormat="1" x14ac:dyDescent="0.25">
      <c r="A15" s="4" t="s">
        <v>23</v>
      </c>
      <c r="B15" s="3">
        <v>2000</v>
      </c>
      <c r="C15" s="3">
        <f t="shared" si="0"/>
        <v>2000000</v>
      </c>
      <c r="D15" s="3">
        <v>40</v>
      </c>
      <c r="E15" s="6">
        <f t="shared" si="1"/>
        <v>4.5662100456621006</v>
      </c>
      <c r="F15" s="3">
        <v>10</v>
      </c>
      <c r="G15" s="3">
        <v>10</v>
      </c>
      <c r="H15" s="3">
        <v>0.5</v>
      </c>
      <c r="I15" s="3">
        <v>0.3</v>
      </c>
      <c r="J15" s="3">
        <v>25</v>
      </c>
      <c r="K15" s="3" t="str">
        <f t="shared" si="2"/>
        <v>219000h</v>
      </c>
      <c r="L15" s="3">
        <v>1</v>
      </c>
      <c r="M15" s="3">
        <v>1</v>
      </c>
      <c r="N15" s="7"/>
      <c r="O15" s="3">
        <v>3000</v>
      </c>
      <c r="P15" s="2">
        <f t="shared" si="3"/>
        <v>120000</v>
      </c>
      <c r="Q15" s="3">
        <v>0</v>
      </c>
      <c r="R15" s="3">
        <v>1</v>
      </c>
      <c r="S15" s="3" t="s">
        <v>111</v>
      </c>
    </row>
    <row r="16" spans="1:19" s="3" customFormat="1" x14ac:dyDescent="0.25">
      <c r="A16" s="4" t="s">
        <v>24</v>
      </c>
      <c r="B16" s="3">
        <v>1500</v>
      </c>
      <c r="C16" s="3">
        <f t="shared" si="0"/>
        <v>1500000</v>
      </c>
      <c r="D16" s="3">
        <v>40</v>
      </c>
      <c r="E16" s="6">
        <f t="shared" si="1"/>
        <v>4.5662100456621006</v>
      </c>
      <c r="F16" s="3">
        <v>0</v>
      </c>
      <c r="G16" s="3">
        <v>0</v>
      </c>
      <c r="H16" s="3">
        <v>1</v>
      </c>
      <c r="I16" s="3">
        <v>0.02</v>
      </c>
      <c r="J16" s="3">
        <v>25</v>
      </c>
      <c r="K16" s="3" t="str">
        <f t="shared" si="2"/>
        <v>219000h</v>
      </c>
      <c r="L16" s="3">
        <v>1</v>
      </c>
      <c r="M16" s="3">
        <v>1</v>
      </c>
      <c r="N16" s="7"/>
      <c r="O16" s="3">
        <v>2000</v>
      </c>
      <c r="P16" s="2">
        <f t="shared" si="3"/>
        <v>80000</v>
      </c>
      <c r="Q16" s="3">
        <v>0</v>
      </c>
      <c r="R16" s="3">
        <v>1</v>
      </c>
      <c r="S16" s="3" t="s">
        <v>111</v>
      </c>
    </row>
    <row r="17" spans="1:19" s="3" customFormat="1" x14ac:dyDescent="0.25">
      <c r="A17" s="5" t="s">
        <v>25</v>
      </c>
      <c r="B17" s="3">
        <f>capital_cost!E4</f>
        <v>750</v>
      </c>
      <c r="C17" s="3">
        <f t="shared" si="0"/>
        <v>750000</v>
      </c>
      <c r="D17" s="3">
        <f>OM_cost!D4</f>
        <v>25</v>
      </c>
      <c r="E17" s="6">
        <f t="shared" si="1"/>
        <v>2.8538812785388128</v>
      </c>
      <c r="F17" s="3">
        <f>OM_cost!C4</f>
        <v>0</v>
      </c>
      <c r="G17" s="3">
        <v>0</v>
      </c>
      <c r="H17" s="3">
        <f>efficiency!E4/100</f>
        <v>1</v>
      </c>
      <c r="I17" s="3">
        <v>0.04</v>
      </c>
      <c r="J17" s="3">
        <v>25</v>
      </c>
      <c r="K17" s="3" t="str">
        <f t="shared" si="2"/>
        <v>219000h</v>
      </c>
      <c r="L17" s="3">
        <v>1</v>
      </c>
      <c r="M17" s="3">
        <v>1</v>
      </c>
      <c r="N17" s="7"/>
      <c r="O17">
        <v>750</v>
      </c>
      <c r="P17" s="2">
        <f t="shared" si="3"/>
        <v>30000</v>
      </c>
      <c r="Q17" s="3">
        <v>0</v>
      </c>
      <c r="R17" s="3">
        <v>1</v>
      </c>
      <c r="S17" s="3" t="s">
        <v>111</v>
      </c>
    </row>
    <row r="18" spans="1:19" s="3" customFormat="1" x14ac:dyDescent="0.25">
      <c r="A18" s="4" t="s">
        <v>26</v>
      </c>
      <c r="B18" s="3">
        <f>B2</f>
        <v>2350</v>
      </c>
      <c r="C18" s="3">
        <f t="shared" si="0"/>
        <v>2350000</v>
      </c>
      <c r="D18" s="3">
        <f>D2</f>
        <v>100</v>
      </c>
      <c r="E18" s="6">
        <f t="shared" si="1"/>
        <v>11.415525114155251</v>
      </c>
      <c r="F18" s="3">
        <f>F2</f>
        <v>0</v>
      </c>
      <c r="G18" s="3">
        <v>0</v>
      </c>
      <c r="H18" s="3">
        <f>H2</f>
        <v>0.45899999999999996</v>
      </c>
      <c r="I18" s="3">
        <v>0.5</v>
      </c>
      <c r="J18" s="3">
        <v>25</v>
      </c>
      <c r="K18" s="3" t="str">
        <f t="shared" si="2"/>
        <v>219000h</v>
      </c>
      <c r="L18" s="3">
        <v>1</v>
      </c>
      <c r="M18" s="3">
        <v>1</v>
      </c>
      <c r="N18" s="7"/>
      <c r="O18" s="3">
        <f>O2</f>
        <v>2350</v>
      </c>
      <c r="P18" s="2">
        <f t="shared" si="3"/>
        <v>94000</v>
      </c>
      <c r="Q18" s="3">
        <v>0</v>
      </c>
      <c r="R18" s="3">
        <v>1</v>
      </c>
      <c r="S18" s="3" t="s">
        <v>111</v>
      </c>
    </row>
    <row r="19" spans="1:19" s="3" customFormat="1" x14ac:dyDescent="0.25">
      <c r="A19" s="5" t="s">
        <v>27</v>
      </c>
      <c r="B19" s="3">
        <f>capital_cost!E3</f>
        <v>2742</v>
      </c>
      <c r="C19" s="3">
        <f t="shared" si="0"/>
        <v>2742000</v>
      </c>
      <c r="D19" s="3">
        <f>OM_cost!D3</f>
        <v>80</v>
      </c>
      <c r="E19" s="6">
        <f t="shared" si="1"/>
        <v>9.1324200913242013</v>
      </c>
      <c r="F19" s="3">
        <f>OM_cost!C3</f>
        <v>0</v>
      </c>
      <c r="G19" s="3">
        <v>0</v>
      </c>
      <c r="H19" s="3">
        <f>efficiency!E3/100</f>
        <v>1</v>
      </c>
      <c r="I19" s="3">
        <v>0.01</v>
      </c>
      <c r="J19" s="3">
        <v>25</v>
      </c>
      <c r="K19" s="3" t="str">
        <f t="shared" si="2"/>
        <v>219000h</v>
      </c>
      <c r="L19" s="3">
        <v>1</v>
      </c>
      <c r="M19" s="3">
        <v>1</v>
      </c>
      <c r="N19" s="7"/>
      <c r="O19" s="3">
        <v>2742</v>
      </c>
      <c r="P19" s="2">
        <f t="shared" si="3"/>
        <v>109680</v>
      </c>
      <c r="Q19" s="3">
        <v>0</v>
      </c>
      <c r="R19" s="3">
        <v>1</v>
      </c>
      <c r="S19" s="3" t="s">
        <v>111</v>
      </c>
    </row>
    <row r="20" spans="1:19" s="3" customFormat="1" x14ac:dyDescent="0.25">
      <c r="A20" s="5" t="s">
        <v>28</v>
      </c>
      <c r="B20" s="3">
        <f>capital_cost!E2</f>
        <v>1240</v>
      </c>
      <c r="C20" s="3">
        <f t="shared" si="0"/>
        <v>1240000</v>
      </c>
      <c r="D20" s="3">
        <f>OM_cost!D2</f>
        <v>35</v>
      </c>
      <c r="E20" s="6">
        <f t="shared" si="1"/>
        <v>3.9954337899543377</v>
      </c>
      <c r="F20" s="3">
        <f>OM_cost!C2</f>
        <v>0</v>
      </c>
      <c r="G20" s="3">
        <v>0</v>
      </c>
      <c r="H20" s="3">
        <f>efficiency!E2/100</f>
        <v>1</v>
      </c>
      <c r="I20" s="3">
        <v>0.01</v>
      </c>
      <c r="J20" s="3">
        <v>25</v>
      </c>
      <c r="K20" s="3" t="str">
        <f t="shared" si="2"/>
        <v>219000h</v>
      </c>
      <c r="L20" s="3">
        <v>1</v>
      </c>
      <c r="M20" s="3">
        <v>1</v>
      </c>
      <c r="N20" s="7"/>
      <c r="O20" s="3">
        <v>1240</v>
      </c>
      <c r="P20" s="2">
        <f t="shared" si="3"/>
        <v>49600</v>
      </c>
      <c r="Q20" s="3">
        <v>0</v>
      </c>
      <c r="R20" s="3">
        <v>1</v>
      </c>
      <c r="S20" s="3" t="s">
        <v>111</v>
      </c>
    </row>
    <row r="21" spans="1:19" s="3" customFormat="1" x14ac:dyDescent="0.25">
      <c r="A21" s="5" t="s">
        <v>20</v>
      </c>
      <c r="B21" s="3">
        <f>capital_cost!E8</f>
        <v>2000</v>
      </c>
      <c r="C21" s="3">
        <f>B21*1000</f>
        <v>2000000</v>
      </c>
      <c r="D21" s="3">
        <f>OM_cost!D8</f>
        <v>20</v>
      </c>
      <c r="E21" s="6">
        <f>D21*1000/8760</f>
        <v>2.2831050228310503</v>
      </c>
      <c r="I21" s="3">
        <v>0.02</v>
      </c>
      <c r="J21" s="3">
        <v>80</v>
      </c>
      <c r="K21" s="3" t="str">
        <f>ROUND(J21*8760,0)&amp;"h"</f>
        <v>700800h</v>
      </c>
      <c r="L21" s="3">
        <v>1</v>
      </c>
      <c r="M21" s="3">
        <v>1</v>
      </c>
      <c r="N21" s="7"/>
      <c r="O21">
        <v>2000</v>
      </c>
      <c r="P21" s="2">
        <f t="shared" si="3"/>
        <v>25000</v>
      </c>
      <c r="Q21" s="3">
        <v>0</v>
      </c>
      <c r="R21" s="3">
        <v>1</v>
      </c>
      <c r="S21" s="3" t="s">
        <v>111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426AE-F1E0-4928-B4AA-E101BB5C7824}">
  <dimension ref="A1:K26"/>
  <sheetViews>
    <sheetView workbookViewId="0">
      <selection activeCell="F28" sqref="F28"/>
    </sheetView>
  </sheetViews>
  <sheetFormatPr baseColWidth="10" defaultRowHeight="15" x14ac:dyDescent="0.25"/>
  <cols>
    <col min="1" max="1" width="9.140625" bestFit="1" customWidth="1"/>
    <col min="2" max="2" width="35.7109375" bestFit="1" customWidth="1"/>
  </cols>
  <sheetData>
    <row r="1" spans="1:11" x14ac:dyDescent="0.25">
      <c r="A1" t="s">
        <v>67</v>
      </c>
      <c r="B1" t="s">
        <v>29</v>
      </c>
      <c r="C1">
        <v>2010</v>
      </c>
      <c r="D1">
        <v>2015</v>
      </c>
      <c r="E1" s="5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31</v>
      </c>
      <c r="B2" t="s">
        <v>30</v>
      </c>
      <c r="C2">
        <v>1300</v>
      </c>
      <c r="D2">
        <v>1269</v>
      </c>
      <c r="E2" s="5">
        <v>1240</v>
      </c>
      <c r="F2">
        <v>1210</v>
      </c>
      <c r="G2">
        <v>1182</v>
      </c>
      <c r="H2">
        <v>1154</v>
      </c>
      <c r="I2">
        <v>1127</v>
      </c>
      <c r="J2">
        <v>1101</v>
      </c>
      <c r="K2">
        <v>1075</v>
      </c>
    </row>
    <row r="3" spans="1:11" x14ac:dyDescent="0.25">
      <c r="A3" t="s">
        <v>31</v>
      </c>
      <c r="B3" t="s">
        <v>32</v>
      </c>
      <c r="C3">
        <v>3000</v>
      </c>
      <c r="D3">
        <v>2868</v>
      </c>
      <c r="E3" s="5">
        <v>2742</v>
      </c>
      <c r="F3">
        <v>2621</v>
      </c>
      <c r="G3">
        <v>2506</v>
      </c>
      <c r="H3">
        <v>2396</v>
      </c>
      <c r="I3">
        <v>2290</v>
      </c>
      <c r="J3">
        <v>2189</v>
      </c>
      <c r="K3">
        <v>2093</v>
      </c>
    </row>
    <row r="4" spans="1:11" x14ac:dyDescent="0.25">
      <c r="A4" t="s">
        <v>34</v>
      </c>
      <c r="B4" t="s">
        <v>33</v>
      </c>
      <c r="C4">
        <v>1560</v>
      </c>
      <c r="D4">
        <v>950</v>
      </c>
      <c r="E4" s="5">
        <v>750</v>
      </c>
      <c r="F4">
        <v>675</v>
      </c>
      <c r="G4">
        <v>600</v>
      </c>
      <c r="H4">
        <v>555</v>
      </c>
      <c r="I4">
        <v>472</v>
      </c>
      <c r="J4">
        <v>448</v>
      </c>
      <c r="K4">
        <v>425</v>
      </c>
    </row>
    <row r="5" spans="1:11" x14ac:dyDescent="0.25">
      <c r="A5" t="s">
        <v>34</v>
      </c>
      <c r="B5" t="s">
        <v>35</v>
      </c>
      <c r="C5">
        <v>3500</v>
      </c>
      <c r="D5">
        <v>3154</v>
      </c>
      <c r="E5" s="5">
        <v>2841</v>
      </c>
      <c r="F5">
        <v>2560</v>
      </c>
      <c r="G5">
        <v>2307</v>
      </c>
      <c r="H5">
        <v>2078</v>
      </c>
      <c r="I5">
        <v>1872</v>
      </c>
      <c r="J5">
        <v>1687</v>
      </c>
      <c r="K5">
        <v>1520</v>
      </c>
    </row>
    <row r="6" spans="1:11" x14ac:dyDescent="0.25">
      <c r="A6" t="s">
        <v>36</v>
      </c>
      <c r="B6" t="s">
        <v>9</v>
      </c>
      <c r="C6">
        <v>2500</v>
      </c>
      <c r="D6">
        <v>2424</v>
      </c>
      <c r="E6" s="5">
        <v>2350</v>
      </c>
      <c r="F6">
        <v>2278</v>
      </c>
      <c r="G6">
        <v>2209</v>
      </c>
      <c r="H6">
        <v>2141</v>
      </c>
      <c r="I6">
        <v>2076</v>
      </c>
      <c r="J6">
        <v>2013</v>
      </c>
      <c r="K6">
        <v>1951</v>
      </c>
    </row>
    <row r="7" spans="1:11" x14ac:dyDescent="0.25">
      <c r="A7" t="s">
        <v>37</v>
      </c>
      <c r="B7" t="s">
        <v>17</v>
      </c>
      <c r="C7">
        <v>4200</v>
      </c>
      <c r="D7">
        <v>3982</v>
      </c>
      <c r="E7" s="5">
        <v>3775</v>
      </c>
      <c r="F7">
        <v>3578</v>
      </c>
      <c r="G7">
        <v>3392</v>
      </c>
      <c r="H7">
        <v>3216</v>
      </c>
      <c r="I7">
        <v>3049</v>
      </c>
      <c r="J7">
        <v>2890</v>
      </c>
      <c r="K7">
        <v>2740</v>
      </c>
    </row>
    <row r="8" spans="1:11" x14ac:dyDescent="0.25">
      <c r="A8" t="s">
        <v>39</v>
      </c>
      <c r="B8" t="s">
        <v>38</v>
      </c>
      <c r="C8">
        <v>2000</v>
      </c>
      <c r="D8">
        <v>2000</v>
      </c>
      <c r="E8" s="5">
        <v>2000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</row>
    <row r="9" spans="1:11" x14ac:dyDescent="0.25">
      <c r="A9" t="s">
        <v>39</v>
      </c>
      <c r="B9" t="s">
        <v>40</v>
      </c>
      <c r="C9">
        <v>3000</v>
      </c>
      <c r="D9">
        <v>3000</v>
      </c>
      <c r="E9" s="5">
        <v>3000</v>
      </c>
      <c r="F9">
        <v>3000</v>
      </c>
      <c r="G9">
        <v>3000</v>
      </c>
      <c r="H9">
        <v>3000</v>
      </c>
      <c r="I9">
        <v>3000</v>
      </c>
      <c r="J9">
        <v>3000</v>
      </c>
      <c r="K9">
        <v>3000</v>
      </c>
    </row>
    <row r="10" spans="1:11" x14ac:dyDescent="0.25">
      <c r="A10" t="s">
        <v>41</v>
      </c>
      <c r="B10" t="s">
        <v>42</v>
      </c>
      <c r="C10">
        <v>5000</v>
      </c>
      <c r="D10">
        <v>4608</v>
      </c>
      <c r="E10" s="5">
        <v>4246</v>
      </c>
      <c r="F10">
        <v>3913</v>
      </c>
      <c r="G10">
        <v>3605</v>
      </c>
      <c r="H10">
        <v>3322</v>
      </c>
      <c r="I10">
        <v>3062</v>
      </c>
      <c r="J10">
        <v>2821</v>
      </c>
      <c r="K10">
        <v>2600</v>
      </c>
    </row>
    <row r="11" spans="1:11" x14ac:dyDescent="0.25">
      <c r="A11" t="s">
        <v>43</v>
      </c>
      <c r="B11" t="s">
        <v>44</v>
      </c>
      <c r="C11">
        <v>6000</v>
      </c>
      <c r="D11">
        <v>6000</v>
      </c>
      <c r="E11" s="5">
        <v>6000</v>
      </c>
      <c r="F11">
        <v>6000</v>
      </c>
      <c r="G11">
        <v>6000</v>
      </c>
      <c r="H11">
        <v>6000</v>
      </c>
      <c r="I11">
        <v>6000</v>
      </c>
      <c r="J11">
        <v>6000</v>
      </c>
      <c r="K11">
        <v>6000</v>
      </c>
    </row>
    <row r="12" spans="1:11" x14ac:dyDescent="0.25">
      <c r="A12" t="s">
        <v>49</v>
      </c>
      <c r="B12" t="s">
        <v>45</v>
      </c>
      <c r="C12">
        <v>1800</v>
      </c>
      <c r="D12">
        <v>1800</v>
      </c>
      <c r="E12" s="5">
        <v>1800</v>
      </c>
      <c r="F12">
        <v>1800</v>
      </c>
      <c r="G12">
        <v>1800</v>
      </c>
      <c r="H12">
        <v>1800</v>
      </c>
      <c r="I12">
        <v>1800</v>
      </c>
      <c r="J12">
        <v>1800</v>
      </c>
      <c r="K12">
        <v>1800</v>
      </c>
    </row>
    <row r="13" spans="1:11" x14ac:dyDescent="0.25">
      <c r="A13" t="s">
        <v>49</v>
      </c>
      <c r="B13" t="s">
        <v>46</v>
      </c>
      <c r="C13">
        <v>3200</v>
      </c>
      <c r="D13">
        <v>3162</v>
      </c>
      <c r="E13" s="5">
        <v>3124</v>
      </c>
      <c r="F13">
        <v>3088</v>
      </c>
      <c r="G13">
        <v>3052</v>
      </c>
      <c r="H13">
        <v>3018</v>
      </c>
      <c r="I13">
        <v>2984</v>
      </c>
      <c r="J13">
        <v>2952</v>
      </c>
      <c r="K13">
        <v>2920</v>
      </c>
    </row>
    <row r="14" spans="1:11" x14ac:dyDescent="0.25">
      <c r="A14" t="s">
        <v>49</v>
      </c>
      <c r="B14" t="s">
        <v>47</v>
      </c>
      <c r="C14">
        <v>1300</v>
      </c>
      <c r="D14">
        <v>1300</v>
      </c>
      <c r="E14" s="5">
        <v>1300</v>
      </c>
      <c r="F14">
        <v>1300</v>
      </c>
      <c r="G14">
        <v>1300</v>
      </c>
      <c r="H14">
        <v>1300</v>
      </c>
      <c r="I14">
        <v>1300</v>
      </c>
      <c r="J14">
        <v>1300</v>
      </c>
      <c r="K14">
        <v>1300</v>
      </c>
    </row>
    <row r="15" spans="1:11" x14ac:dyDescent="0.25">
      <c r="A15" t="s">
        <v>49</v>
      </c>
      <c r="B15" t="s">
        <v>48</v>
      </c>
      <c r="C15">
        <v>2700</v>
      </c>
      <c r="D15">
        <v>2662</v>
      </c>
      <c r="E15" s="5">
        <v>2624</v>
      </c>
      <c r="F15">
        <v>2588</v>
      </c>
      <c r="G15">
        <v>2552</v>
      </c>
      <c r="H15">
        <v>2518</v>
      </c>
      <c r="I15">
        <v>2484</v>
      </c>
      <c r="J15">
        <v>2452</v>
      </c>
      <c r="K15">
        <v>2420</v>
      </c>
    </row>
    <row r="16" spans="1:11" x14ac:dyDescent="0.25">
      <c r="A16" t="s">
        <v>49</v>
      </c>
      <c r="B16" t="s">
        <v>50</v>
      </c>
      <c r="C16">
        <v>1200</v>
      </c>
      <c r="D16">
        <v>1200</v>
      </c>
      <c r="E16" s="5">
        <v>1200</v>
      </c>
      <c r="F16">
        <v>1200</v>
      </c>
      <c r="G16">
        <v>1200</v>
      </c>
      <c r="H16">
        <v>1200</v>
      </c>
      <c r="I16">
        <v>1200</v>
      </c>
      <c r="J16">
        <v>1200</v>
      </c>
      <c r="K16">
        <v>1200</v>
      </c>
    </row>
    <row r="17" spans="1:11" x14ac:dyDescent="0.25">
      <c r="A17" t="s">
        <v>49</v>
      </c>
      <c r="B17" t="s">
        <v>51</v>
      </c>
      <c r="C17">
        <v>2600</v>
      </c>
      <c r="D17">
        <v>2562</v>
      </c>
      <c r="E17" s="5">
        <v>2524</v>
      </c>
      <c r="F17">
        <v>2488</v>
      </c>
      <c r="G17">
        <v>2452</v>
      </c>
      <c r="H17">
        <v>2418</v>
      </c>
      <c r="I17">
        <v>2384</v>
      </c>
      <c r="J17">
        <v>2352</v>
      </c>
      <c r="K17">
        <v>2320</v>
      </c>
    </row>
    <row r="18" spans="1:11" x14ac:dyDescent="0.25">
      <c r="A18" t="s">
        <v>49</v>
      </c>
      <c r="B18" t="s">
        <v>52</v>
      </c>
      <c r="C18">
        <v>1500</v>
      </c>
      <c r="D18">
        <v>1500</v>
      </c>
      <c r="E18" s="5">
        <v>1500</v>
      </c>
      <c r="F18">
        <v>1500</v>
      </c>
      <c r="G18">
        <v>1500</v>
      </c>
      <c r="H18">
        <v>1500</v>
      </c>
      <c r="I18">
        <v>1500</v>
      </c>
      <c r="J18">
        <v>1500</v>
      </c>
      <c r="K18">
        <v>1500</v>
      </c>
    </row>
    <row r="19" spans="1:11" x14ac:dyDescent="0.25">
      <c r="A19" t="s">
        <v>49</v>
      </c>
      <c r="B19" t="s">
        <v>53</v>
      </c>
      <c r="C19">
        <v>2900</v>
      </c>
      <c r="D19">
        <v>2862</v>
      </c>
      <c r="E19" s="5">
        <v>2824</v>
      </c>
      <c r="F19">
        <v>2788</v>
      </c>
      <c r="G19">
        <v>2752</v>
      </c>
      <c r="H19">
        <v>2718</v>
      </c>
      <c r="I19">
        <v>2684</v>
      </c>
      <c r="J19">
        <v>2652</v>
      </c>
      <c r="K19">
        <v>2620</v>
      </c>
    </row>
    <row r="20" spans="1:11" x14ac:dyDescent="0.25">
      <c r="A20" t="s">
        <v>56</v>
      </c>
      <c r="B20" t="s">
        <v>54</v>
      </c>
      <c r="C20">
        <v>800</v>
      </c>
      <c r="D20">
        <v>800</v>
      </c>
      <c r="E20" s="5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</row>
    <row r="21" spans="1:11" x14ac:dyDescent="0.25">
      <c r="A21" t="s">
        <v>56</v>
      </c>
      <c r="B21" t="s">
        <v>55</v>
      </c>
      <c r="C21">
        <v>1400</v>
      </c>
      <c r="D21">
        <v>1384</v>
      </c>
      <c r="E21" s="5">
        <v>1367</v>
      </c>
      <c r="F21">
        <v>1352</v>
      </c>
      <c r="G21">
        <v>1337</v>
      </c>
      <c r="H21">
        <v>1322</v>
      </c>
      <c r="I21">
        <v>1308</v>
      </c>
      <c r="J21">
        <v>1294</v>
      </c>
      <c r="K21">
        <v>1280</v>
      </c>
    </row>
    <row r="22" spans="1:11" x14ac:dyDescent="0.25">
      <c r="A22" t="s">
        <v>56</v>
      </c>
      <c r="B22" t="s">
        <v>57</v>
      </c>
      <c r="C22">
        <v>400</v>
      </c>
      <c r="D22">
        <v>400</v>
      </c>
      <c r="E22" s="5">
        <v>400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</row>
    <row r="23" spans="1:11" x14ac:dyDescent="0.25">
      <c r="A23" t="s">
        <v>56</v>
      </c>
      <c r="B23" t="s">
        <v>58</v>
      </c>
      <c r="C23">
        <v>1000</v>
      </c>
      <c r="D23">
        <v>984</v>
      </c>
      <c r="E23" s="5">
        <v>967</v>
      </c>
      <c r="F23">
        <v>952</v>
      </c>
      <c r="G23">
        <v>937</v>
      </c>
      <c r="H23">
        <v>922</v>
      </c>
      <c r="I23">
        <v>908</v>
      </c>
      <c r="J23">
        <v>894</v>
      </c>
      <c r="K23">
        <v>880</v>
      </c>
    </row>
    <row r="24" spans="1:11" x14ac:dyDescent="0.25">
      <c r="A24" t="s">
        <v>56</v>
      </c>
      <c r="B24" t="s">
        <v>59</v>
      </c>
      <c r="C24">
        <v>400</v>
      </c>
      <c r="D24">
        <v>400</v>
      </c>
      <c r="E24" s="5">
        <v>400</v>
      </c>
      <c r="F24">
        <v>400</v>
      </c>
      <c r="G24">
        <v>400</v>
      </c>
      <c r="H24">
        <v>400</v>
      </c>
      <c r="I24">
        <v>400</v>
      </c>
      <c r="J24">
        <v>400</v>
      </c>
      <c r="K24">
        <v>400</v>
      </c>
    </row>
    <row r="25" spans="1:11" x14ac:dyDescent="0.25">
      <c r="A25" t="s">
        <v>61</v>
      </c>
      <c r="B25" t="s">
        <v>60</v>
      </c>
      <c r="C25">
        <v>400</v>
      </c>
      <c r="D25">
        <v>400</v>
      </c>
      <c r="E25" s="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</row>
    <row r="26" spans="1:11" x14ac:dyDescent="0.25">
      <c r="A26" t="s">
        <v>61</v>
      </c>
      <c r="B26" t="s">
        <v>62</v>
      </c>
      <c r="C26">
        <v>400</v>
      </c>
      <c r="D26">
        <v>400</v>
      </c>
      <c r="E26" s="5">
        <v>400</v>
      </c>
      <c r="F26">
        <v>400</v>
      </c>
      <c r="G26">
        <v>400</v>
      </c>
      <c r="H26">
        <v>400</v>
      </c>
      <c r="I26">
        <v>400</v>
      </c>
      <c r="J26">
        <v>400</v>
      </c>
      <c r="K26">
        <v>400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21A08-5668-47F2-9931-2581EF34C7E3}">
  <dimension ref="A1:D26"/>
  <sheetViews>
    <sheetView workbookViewId="0">
      <selection activeCell="C12" sqref="C12"/>
    </sheetView>
  </sheetViews>
  <sheetFormatPr baseColWidth="10" defaultRowHeight="15" x14ac:dyDescent="0.25"/>
  <cols>
    <col min="1" max="1" width="9.140625" bestFit="1" customWidth="1"/>
    <col min="2" max="2" width="35.7109375" bestFit="1" customWidth="1"/>
    <col min="3" max="3" width="35" bestFit="1" customWidth="1"/>
    <col min="4" max="4" width="34.28515625" bestFit="1" customWidth="1"/>
  </cols>
  <sheetData>
    <row r="1" spans="1:4" x14ac:dyDescent="0.25">
      <c r="A1" t="s">
        <v>67</v>
      </c>
      <c r="C1" t="s">
        <v>63</v>
      </c>
      <c r="D1" t="s">
        <v>64</v>
      </c>
    </row>
    <row r="2" spans="1:4" x14ac:dyDescent="0.25">
      <c r="A2" t="s">
        <v>31</v>
      </c>
      <c r="B2" t="s">
        <v>30</v>
      </c>
      <c r="C2">
        <v>0</v>
      </c>
      <c r="D2">
        <v>35</v>
      </c>
    </row>
    <row r="3" spans="1:4" x14ac:dyDescent="0.25">
      <c r="A3" t="s">
        <v>31</v>
      </c>
      <c r="B3" t="s">
        <v>32</v>
      </c>
      <c r="C3">
        <v>0</v>
      </c>
      <c r="D3">
        <v>80</v>
      </c>
    </row>
    <row r="4" spans="1:4" x14ac:dyDescent="0.25">
      <c r="A4" t="s">
        <v>34</v>
      </c>
      <c r="B4" t="s">
        <v>33</v>
      </c>
      <c r="C4">
        <v>0</v>
      </c>
      <c r="D4">
        <v>25</v>
      </c>
    </row>
    <row r="5" spans="1:4" x14ac:dyDescent="0.25">
      <c r="A5" t="s">
        <v>34</v>
      </c>
      <c r="B5" t="s">
        <v>35</v>
      </c>
      <c r="C5">
        <v>0</v>
      </c>
      <c r="D5">
        <v>30</v>
      </c>
    </row>
    <row r="6" spans="1:4" x14ac:dyDescent="0.25">
      <c r="A6" t="s">
        <v>36</v>
      </c>
      <c r="B6" t="s">
        <v>9</v>
      </c>
      <c r="C6">
        <v>0</v>
      </c>
      <c r="D6">
        <v>100</v>
      </c>
    </row>
    <row r="7" spans="1:4" x14ac:dyDescent="0.25">
      <c r="A7" t="s">
        <v>37</v>
      </c>
      <c r="B7" t="s">
        <v>17</v>
      </c>
      <c r="C7">
        <v>0</v>
      </c>
      <c r="D7">
        <v>80</v>
      </c>
    </row>
    <row r="8" spans="1:4" x14ac:dyDescent="0.25">
      <c r="A8" t="s">
        <v>39</v>
      </c>
      <c r="B8" t="s">
        <v>38</v>
      </c>
      <c r="C8">
        <v>0</v>
      </c>
      <c r="D8">
        <v>20</v>
      </c>
    </row>
    <row r="9" spans="1:4" x14ac:dyDescent="0.25">
      <c r="A9" t="s">
        <v>39</v>
      </c>
      <c r="B9" t="s">
        <v>40</v>
      </c>
      <c r="C9">
        <v>0</v>
      </c>
      <c r="D9">
        <v>60</v>
      </c>
    </row>
    <row r="10" spans="1:4" x14ac:dyDescent="0.25">
      <c r="A10" t="s">
        <v>41</v>
      </c>
      <c r="B10" t="s">
        <v>42</v>
      </c>
      <c r="C10">
        <v>0</v>
      </c>
      <c r="D10">
        <v>150</v>
      </c>
    </row>
    <row r="11" spans="1:4" x14ac:dyDescent="0.25">
      <c r="A11" t="s">
        <v>43</v>
      </c>
      <c r="B11" t="s">
        <v>65</v>
      </c>
      <c r="C11">
        <v>10</v>
      </c>
      <c r="D11">
        <v>0</v>
      </c>
    </row>
    <row r="12" spans="1:4" x14ac:dyDescent="0.25">
      <c r="A12" t="s">
        <v>49</v>
      </c>
      <c r="B12" t="s">
        <v>45</v>
      </c>
      <c r="C12">
        <v>6</v>
      </c>
      <c r="D12">
        <v>60</v>
      </c>
    </row>
    <row r="13" spans="1:4" x14ac:dyDescent="0.25">
      <c r="A13" t="s">
        <v>49</v>
      </c>
      <c r="B13" t="s">
        <v>66</v>
      </c>
      <c r="C13">
        <f>13+10+7</f>
        <v>30</v>
      </c>
      <c r="D13">
        <v>0</v>
      </c>
    </row>
    <row r="14" spans="1:4" x14ac:dyDescent="0.25">
      <c r="A14" t="s">
        <v>49</v>
      </c>
      <c r="B14" t="s">
        <v>47</v>
      </c>
      <c r="C14">
        <v>6</v>
      </c>
      <c r="D14">
        <v>25</v>
      </c>
    </row>
    <row r="15" spans="1:4" x14ac:dyDescent="0.25">
      <c r="A15" t="s">
        <v>49</v>
      </c>
      <c r="B15" t="s">
        <v>48</v>
      </c>
      <c r="C15">
        <f>13+10+7</f>
        <v>30</v>
      </c>
      <c r="D15">
        <v>0</v>
      </c>
    </row>
    <row r="16" spans="1:4" x14ac:dyDescent="0.25">
      <c r="A16" t="s">
        <v>49</v>
      </c>
      <c r="B16" t="s">
        <v>50</v>
      </c>
      <c r="C16">
        <v>6</v>
      </c>
      <c r="D16">
        <v>30</v>
      </c>
    </row>
    <row r="17" spans="1:4" x14ac:dyDescent="0.25">
      <c r="A17" t="s">
        <v>49</v>
      </c>
      <c r="B17" t="s">
        <v>51</v>
      </c>
      <c r="C17">
        <f>13+10+7</f>
        <v>30</v>
      </c>
      <c r="D17">
        <v>0</v>
      </c>
    </row>
    <row r="18" spans="1:4" x14ac:dyDescent="0.25">
      <c r="A18" t="s">
        <v>49</v>
      </c>
      <c r="B18" t="s">
        <v>52</v>
      </c>
      <c r="C18">
        <v>7</v>
      </c>
      <c r="D18">
        <v>30</v>
      </c>
    </row>
    <row r="19" spans="1:4" x14ac:dyDescent="0.25">
      <c r="A19" t="s">
        <v>49</v>
      </c>
      <c r="B19" t="s">
        <v>53</v>
      </c>
      <c r="C19">
        <f>14+12+8</f>
        <v>34</v>
      </c>
      <c r="D19">
        <v>0</v>
      </c>
    </row>
    <row r="20" spans="1:4" x14ac:dyDescent="0.25">
      <c r="A20" t="s">
        <v>56</v>
      </c>
      <c r="B20" t="s">
        <v>54</v>
      </c>
      <c r="C20">
        <v>4</v>
      </c>
      <c r="D20">
        <v>20</v>
      </c>
    </row>
    <row r="21" spans="1:4" x14ac:dyDescent="0.25">
      <c r="A21" t="s">
        <v>56</v>
      </c>
      <c r="B21" t="s">
        <v>55</v>
      </c>
      <c r="C21">
        <f>12+4+3</f>
        <v>19</v>
      </c>
      <c r="D21">
        <v>0</v>
      </c>
    </row>
    <row r="22" spans="1:4" x14ac:dyDescent="0.25">
      <c r="A22" t="s">
        <v>56</v>
      </c>
      <c r="B22" t="s">
        <v>57</v>
      </c>
      <c r="C22">
        <v>3</v>
      </c>
      <c r="D22">
        <v>15</v>
      </c>
    </row>
    <row r="23" spans="1:4" x14ac:dyDescent="0.25">
      <c r="A23" t="s">
        <v>56</v>
      </c>
      <c r="B23" t="s">
        <v>58</v>
      </c>
      <c r="C23">
        <f>12+4+3</f>
        <v>19</v>
      </c>
      <c r="D23">
        <v>0</v>
      </c>
    </row>
    <row r="24" spans="1:4" x14ac:dyDescent="0.25">
      <c r="A24" t="s">
        <v>56</v>
      </c>
      <c r="B24" t="s">
        <v>59</v>
      </c>
      <c r="C24">
        <v>3</v>
      </c>
      <c r="D24">
        <v>15</v>
      </c>
    </row>
    <row r="25" spans="1:4" x14ac:dyDescent="0.25">
      <c r="A25" t="s">
        <v>61</v>
      </c>
      <c r="B25" t="s">
        <v>60</v>
      </c>
      <c r="C25">
        <v>3</v>
      </c>
      <c r="D25">
        <v>6</v>
      </c>
    </row>
    <row r="26" spans="1:4" x14ac:dyDescent="0.25">
      <c r="A26" t="s">
        <v>61</v>
      </c>
      <c r="B26" t="s">
        <v>62</v>
      </c>
      <c r="C26">
        <v>3</v>
      </c>
      <c r="D26">
        <v>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740C-1E12-483F-A889-B6461648BBBC}">
  <dimension ref="A1:M26"/>
  <sheetViews>
    <sheetView workbookViewId="0">
      <selection activeCell="E2" sqref="E2"/>
    </sheetView>
  </sheetViews>
  <sheetFormatPr baseColWidth="10" defaultRowHeight="15" x14ac:dyDescent="0.25"/>
  <cols>
    <col min="1" max="1" width="9.140625" bestFit="1" customWidth="1"/>
    <col min="2" max="2" width="35.7109375" bestFit="1" customWidth="1"/>
  </cols>
  <sheetData>
    <row r="1" spans="1:13" x14ac:dyDescent="0.25">
      <c r="A1" s="3" t="s">
        <v>67</v>
      </c>
      <c r="B1" s="3" t="s">
        <v>68</v>
      </c>
      <c r="C1" s="3" t="s">
        <v>77</v>
      </c>
      <c r="D1" s="3" t="s">
        <v>78</v>
      </c>
      <c r="E1" s="5" t="s">
        <v>79</v>
      </c>
      <c r="F1" s="3" t="s">
        <v>80</v>
      </c>
      <c r="G1" s="3" t="s">
        <v>81</v>
      </c>
      <c r="H1" s="3" t="s">
        <v>82</v>
      </c>
      <c r="I1" s="3" t="s">
        <v>83</v>
      </c>
      <c r="J1" s="3" t="s">
        <v>84</v>
      </c>
      <c r="K1" s="3" t="s">
        <v>85</v>
      </c>
    </row>
    <row r="2" spans="1:13" x14ac:dyDescent="0.25">
      <c r="A2" s="3" t="s">
        <v>31</v>
      </c>
      <c r="B2" s="3" t="s">
        <v>30</v>
      </c>
      <c r="C2">
        <v>100</v>
      </c>
      <c r="D2" s="3">
        <v>100</v>
      </c>
      <c r="E2" s="5">
        <v>100</v>
      </c>
      <c r="F2" s="3">
        <v>100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</row>
    <row r="3" spans="1:13" x14ac:dyDescent="0.25">
      <c r="A3" s="3" t="s">
        <v>31</v>
      </c>
      <c r="B3" s="3" t="s">
        <v>32</v>
      </c>
      <c r="C3" s="3">
        <v>100</v>
      </c>
      <c r="D3" s="3">
        <v>100</v>
      </c>
      <c r="E3" s="5">
        <v>100</v>
      </c>
      <c r="F3" s="3">
        <v>100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spans="1:13" x14ac:dyDescent="0.25">
      <c r="A4" s="3" t="s">
        <v>34</v>
      </c>
      <c r="B4" s="3" t="s">
        <v>33</v>
      </c>
      <c r="C4" s="3">
        <v>100</v>
      </c>
      <c r="D4" s="3">
        <v>100</v>
      </c>
      <c r="E4" s="5">
        <v>100</v>
      </c>
      <c r="F4" s="3">
        <v>100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spans="1:13" x14ac:dyDescent="0.25">
      <c r="A5" s="3" t="s">
        <v>34</v>
      </c>
      <c r="B5" s="3" t="s">
        <v>35</v>
      </c>
      <c r="C5" s="3">
        <v>100</v>
      </c>
      <c r="D5" s="3">
        <v>100</v>
      </c>
      <c r="E5" s="5">
        <v>100</v>
      </c>
      <c r="F5" s="3">
        <v>100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spans="1:13" x14ac:dyDescent="0.25">
      <c r="A6" s="3" t="s">
        <v>36</v>
      </c>
      <c r="B6" s="3" t="s">
        <v>9</v>
      </c>
      <c r="C6" s="1">
        <v>45</v>
      </c>
      <c r="D6" s="3">
        <v>45.5</v>
      </c>
      <c r="E6" s="5">
        <v>45.9</v>
      </c>
      <c r="F6" s="3">
        <v>46.4</v>
      </c>
      <c r="G6" s="3">
        <v>46.8</v>
      </c>
      <c r="H6" s="3">
        <v>47.3</v>
      </c>
      <c r="I6" s="3">
        <v>47.8</v>
      </c>
      <c r="J6" s="3">
        <v>48.2</v>
      </c>
      <c r="K6" s="3">
        <v>48.7</v>
      </c>
      <c r="L6" s="3"/>
      <c r="M6" s="3"/>
    </row>
    <row r="7" spans="1:13" x14ac:dyDescent="0.25">
      <c r="A7" s="3" t="s">
        <v>37</v>
      </c>
      <c r="B7" s="3" t="s">
        <v>17</v>
      </c>
      <c r="C7" s="3">
        <v>23</v>
      </c>
      <c r="D7" s="3">
        <v>23.2</v>
      </c>
      <c r="E7" s="5">
        <v>23.5</v>
      </c>
      <c r="F7" s="3">
        <v>23.7</v>
      </c>
      <c r="G7" s="3">
        <v>23.9</v>
      </c>
      <c r="H7" s="3">
        <v>24.2</v>
      </c>
      <c r="I7" s="3">
        <v>24.4</v>
      </c>
      <c r="J7" s="3">
        <v>24.7</v>
      </c>
      <c r="K7" s="3">
        <v>24.9</v>
      </c>
      <c r="L7" s="3"/>
      <c r="M7" s="3"/>
    </row>
    <row r="8" spans="1:13" x14ac:dyDescent="0.25">
      <c r="A8" s="3" t="s">
        <v>39</v>
      </c>
      <c r="B8" s="3" t="s">
        <v>69</v>
      </c>
      <c r="C8" s="3">
        <v>75</v>
      </c>
      <c r="D8" s="3">
        <v>75</v>
      </c>
      <c r="E8" s="5">
        <v>75</v>
      </c>
      <c r="F8" s="3">
        <v>75</v>
      </c>
      <c r="G8" s="3">
        <v>75</v>
      </c>
      <c r="H8" s="3">
        <v>75</v>
      </c>
      <c r="I8" s="3">
        <v>75</v>
      </c>
      <c r="J8" s="3">
        <v>75</v>
      </c>
      <c r="K8" s="3">
        <v>75</v>
      </c>
      <c r="L8" s="3"/>
      <c r="M8" s="3"/>
    </row>
    <row r="9" spans="1:13" x14ac:dyDescent="0.25">
      <c r="A9" s="3" t="s">
        <v>39</v>
      </c>
      <c r="B9" s="3" t="s">
        <v>70</v>
      </c>
      <c r="C9" s="3">
        <v>90</v>
      </c>
      <c r="D9" s="3">
        <v>90</v>
      </c>
      <c r="E9" s="5">
        <v>90</v>
      </c>
      <c r="F9" s="3">
        <v>90</v>
      </c>
      <c r="G9" s="3">
        <v>90</v>
      </c>
      <c r="H9" s="3">
        <v>90</v>
      </c>
      <c r="I9" s="3">
        <v>90</v>
      </c>
      <c r="J9" s="3">
        <v>90</v>
      </c>
      <c r="K9" s="3">
        <v>90</v>
      </c>
      <c r="L9" s="3"/>
      <c r="M9" s="3"/>
    </row>
    <row r="10" spans="1:13" x14ac:dyDescent="0.25">
      <c r="A10" s="3" t="s">
        <v>41</v>
      </c>
      <c r="B10" s="3" t="s">
        <v>42</v>
      </c>
      <c r="C10">
        <v>100</v>
      </c>
      <c r="D10" s="3">
        <v>100</v>
      </c>
      <c r="E10" s="5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3" x14ac:dyDescent="0.25">
      <c r="A11" s="3" t="s">
        <v>43</v>
      </c>
      <c r="B11" s="3" t="s">
        <v>65</v>
      </c>
      <c r="C11" s="3">
        <v>33</v>
      </c>
      <c r="D11" s="3">
        <v>33.200000000000003</v>
      </c>
      <c r="E11" s="5">
        <v>33.299999999999997</v>
      </c>
      <c r="F11" s="3">
        <v>33.5</v>
      </c>
      <c r="G11" s="3">
        <v>33.700000000000003</v>
      </c>
      <c r="H11" s="3">
        <v>33.799999999999997</v>
      </c>
      <c r="I11" s="3">
        <v>34</v>
      </c>
      <c r="J11" s="3">
        <v>34.200000000000003</v>
      </c>
      <c r="K11" s="3">
        <v>34.299999999999997</v>
      </c>
      <c r="L11" s="3"/>
      <c r="M11" s="3"/>
    </row>
    <row r="12" spans="1:13" x14ac:dyDescent="0.25">
      <c r="A12" s="3" t="s">
        <v>49</v>
      </c>
      <c r="B12" s="3" t="s">
        <v>45</v>
      </c>
      <c r="C12" s="3">
        <v>48</v>
      </c>
      <c r="D12" s="3">
        <v>48.5</v>
      </c>
      <c r="E12" s="5">
        <v>49</v>
      </c>
      <c r="F12" s="3">
        <v>49.5</v>
      </c>
      <c r="G12" s="3">
        <v>49.9</v>
      </c>
      <c r="H12" s="3">
        <v>50.4</v>
      </c>
      <c r="I12" s="3">
        <v>51</v>
      </c>
      <c r="J12" s="3">
        <v>51.5</v>
      </c>
      <c r="K12" s="3">
        <v>52</v>
      </c>
      <c r="L12" s="3"/>
      <c r="M12" s="3"/>
    </row>
    <row r="13" spans="1:13" x14ac:dyDescent="0.25">
      <c r="A13" s="3" t="s">
        <v>49</v>
      </c>
      <c r="B13" s="3" t="s">
        <v>71</v>
      </c>
      <c r="C13" s="3">
        <v>38</v>
      </c>
      <c r="D13" s="3">
        <v>38.4</v>
      </c>
      <c r="E13" s="5">
        <v>38.799999999999997</v>
      </c>
      <c r="F13" s="3">
        <v>39.200000000000003</v>
      </c>
      <c r="G13" s="3">
        <v>39.5</v>
      </c>
      <c r="H13" s="3">
        <v>39.9</v>
      </c>
      <c r="I13" s="3">
        <v>40.299999999999997</v>
      </c>
      <c r="J13" s="3">
        <v>40.700000000000003</v>
      </c>
      <c r="K13" s="3">
        <v>41.1</v>
      </c>
      <c r="L13" s="3"/>
      <c r="M13" s="3"/>
    </row>
    <row r="14" spans="1:13" x14ac:dyDescent="0.25">
      <c r="A14" s="3" t="s">
        <v>49</v>
      </c>
      <c r="B14" s="3" t="s">
        <v>47</v>
      </c>
      <c r="C14" s="3">
        <v>46</v>
      </c>
      <c r="D14" s="3">
        <v>46.1</v>
      </c>
      <c r="E14" s="5">
        <v>46.2</v>
      </c>
      <c r="F14" s="3">
        <v>46.3</v>
      </c>
      <c r="G14" s="3">
        <v>46.4</v>
      </c>
      <c r="H14" s="3">
        <v>46.5</v>
      </c>
      <c r="I14" s="3">
        <v>46.6</v>
      </c>
      <c r="J14" s="3">
        <v>46.6</v>
      </c>
      <c r="K14" s="3">
        <v>46.7</v>
      </c>
      <c r="L14" s="3"/>
      <c r="M14" s="3"/>
    </row>
    <row r="15" spans="1:13" x14ac:dyDescent="0.25">
      <c r="A15" s="3" t="s">
        <v>49</v>
      </c>
      <c r="B15" s="3" t="s">
        <v>72</v>
      </c>
      <c r="C15" s="3">
        <v>31</v>
      </c>
      <c r="D15" s="3">
        <v>31.3</v>
      </c>
      <c r="E15" s="5">
        <v>31.6</v>
      </c>
      <c r="F15" s="3">
        <v>31.9</v>
      </c>
      <c r="G15" s="3">
        <v>32.299999999999997</v>
      </c>
      <c r="H15" s="3">
        <v>32.6</v>
      </c>
      <c r="I15" s="3">
        <v>32.9</v>
      </c>
      <c r="J15" s="3">
        <v>33.200000000000003</v>
      </c>
      <c r="K15" s="3">
        <v>33.6</v>
      </c>
      <c r="L15" s="3"/>
      <c r="M15" s="3"/>
    </row>
    <row r="16" spans="1:13" x14ac:dyDescent="0.25">
      <c r="A16" s="3" t="s">
        <v>49</v>
      </c>
      <c r="B16" s="3" t="s">
        <v>50</v>
      </c>
      <c r="C16" s="3">
        <v>39</v>
      </c>
      <c r="D16" s="3">
        <v>39</v>
      </c>
      <c r="E16" s="5">
        <v>39</v>
      </c>
      <c r="F16" s="3">
        <v>39</v>
      </c>
      <c r="G16" s="3">
        <v>39</v>
      </c>
      <c r="H16" s="3">
        <v>39</v>
      </c>
      <c r="I16" s="3">
        <v>39</v>
      </c>
      <c r="J16" s="3">
        <v>39</v>
      </c>
      <c r="K16" s="3">
        <v>39</v>
      </c>
      <c r="L16" s="3"/>
      <c r="M16" s="3"/>
    </row>
    <row r="17" spans="1:13" x14ac:dyDescent="0.25">
      <c r="A17" s="3" t="s">
        <v>49</v>
      </c>
      <c r="B17" s="3" t="s">
        <v>73</v>
      </c>
      <c r="C17" s="3">
        <v>28</v>
      </c>
      <c r="D17" s="3">
        <v>28.3</v>
      </c>
      <c r="E17" s="5">
        <v>28.6</v>
      </c>
      <c r="F17" s="3">
        <v>28.8</v>
      </c>
      <c r="G17" s="3">
        <v>29.1</v>
      </c>
      <c r="H17" s="3">
        <v>29.4</v>
      </c>
      <c r="I17" s="3">
        <v>29.7</v>
      </c>
      <c r="J17" s="3">
        <v>30</v>
      </c>
      <c r="K17" s="3">
        <v>30.3</v>
      </c>
      <c r="L17" s="3"/>
      <c r="M17" s="3"/>
    </row>
    <row r="18" spans="1:13" x14ac:dyDescent="0.25">
      <c r="A18" s="3" t="s">
        <v>49</v>
      </c>
      <c r="B18" s="3" t="s">
        <v>52</v>
      </c>
      <c r="C18" s="3">
        <v>43</v>
      </c>
      <c r="D18" s="3">
        <v>43.4</v>
      </c>
      <c r="E18" s="5">
        <v>43.9</v>
      </c>
      <c r="F18" s="3">
        <v>44.3</v>
      </c>
      <c r="G18" s="3">
        <v>44.7</v>
      </c>
      <c r="H18" s="3">
        <v>45.2</v>
      </c>
      <c r="I18" s="3">
        <v>45.6</v>
      </c>
      <c r="J18" s="3">
        <v>46.1</v>
      </c>
      <c r="K18" s="3">
        <v>46.6</v>
      </c>
      <c r="L18" s="3"/>
      <c r="M18" s="3"/>
    </row>
    <row r="19" spans="1:13" x14ac:dyDescent="0.25">
      <c r="A19" s="3" t="s">
        <v>49</v>
      </c>
      <c r="B19" s="3" t="s">
        <v>74</v>
      </c>
      <c r="C19" s="3">
        <v>30</v>
      </c>
      <c r="D19" s="3">
        <v>30.3</v>
      </c>
      <c r="E19" s="5">
        <v>30.6</v>
      </c>
      <c r="F19" s="3">
        <v>30.9</v>
      </c>
      <c r="G19" s="3">
        <v>31.2</v>
      </c>
      <c r="H19" s="3">
        <v>31.5</v>
      </c>
      <c r="I19" s="3">
        <v>31.8</v>
      </c>
      <c r="J19" s="3">
        <v>32.200000000000003</v>
      </c>
      <c r="K19" s="3">
        <v>32.5</v>
      </c>
      <c r="L19" s="3"/>
      <c r="M19" s="3"/>
    </row>
    <row r="20" spans="1:13" x14ac:dyDescent="0.25">
      <c r="A20" s="3" t="s">
        <v>56</v>
      </c>
      <c r="B20" s="3" t="s">
        <v>54</v>
      </c>
      <c r="C20" s="3">
        <v>60</v>
      </c>
      <c r="D20" s="3">
        <v>60.2</v>
      </c>
      <c r="E20" s="5">
        <v>60.5</v>
      </c>
      <c r="F20" s="3">
        <v>60.7</v>
      </c>
      <c r="G20" s="3">
        <v>61</v>
      </c>
      <c r="H20" s="3">
        <v>61.2</v>
      </c>
      <c r="I20" s="3">
        <v>61.5</v>
      </c>
      <c r="J20" s="3">
        <v>61.7</v>
      </c>
      <c r="K20" s="3">
        <v>61.9</v>
      </c>
      <c r="L20" s="3"/>
      <c r="M20" s="3"/>
    </row>
    <row r="21" spans="1:13" x14ac:dyDescent="0.25">
      <c r="A21" s="3" t="s">
        <v>56</v>
      </c>
      <c r="B21" s="3" t="s">
        <v>75</v>
      </c>
      <c r="C21" s="3">
        <v>48</v>
      </c>
      <c r="D21" s="3">
        <v>48.5</v>
      </c>
      <c r="E21" s="5">
        <v>49</v>
      </c>
      <c r="F21" s="3">
        <v>49.5</v>
      </c>
      <c r="G21" s="3">
        <v>49.9</v>
      </c>
      <c r="H21" s="3">
        <v>50.4</v>
      </c>
      <c r="I21" s="3">
        <v>51</v>
      </c>
      <c r="J21" s="3">
        <v>51.5</v>
      </c>
      <c r="K21" s="3">
        <v>52</v>
      </c>
      <c r="L21" s="3"/>
      <c r="M21" s="3"/>
    </row>
    <row r="22" spans="1:13" x14ac:dyDescent="0.25">
      <c r="A22" s="3" t="s">
        <v>56</v>
      </c>
      <c r="B22" s="3" t="s">
        <v>57</v>
      </c>
      <c r="C22" s="3">
        <v>39</v>
      </c>
      <c r="D22" s="3">
        <v>39.1</v>
      </c>
      <c r="E22" s="5">
        <v>39.200000000000003</v>
      </c>
      <c r="F22" s="3">
        <v>39.200000000000003</v>
      </c>
      <c r="G22" s="3">
        <v>39.299999999999997</v>
      </c>
      <c r="H22" s="3">
        <v>39.4</v>
      </c>
      <c r="I22" s="3">
        <v>39.5</v>
      </c>
      <c r="J22" s="3">
        <v>39.5</v>
      </c>
      <c r="K22" s="3">
        <v>39.6</v>
      </c>
      <c r="L22" s="3"/>
      <c r="M22" s="3"/>
    </row>
    <row r="23" spans="1:13" x14ac:dyDescent="0.25">
      <c r="A23" s="3" t="s">
        <v>56</v>
      </c>
      <c r="B23" s="3" t="s">
        <v>76</v>
      </c>
      <c r="C23" s="3">
        <v>31</v>
      </c>
      <c r="D23" s="3">
        <v>31.3</v>
      </c>
      <c r="E23" s="5">
        <v>31.6</v>
      </c>
      <c r="F23" s="3">
        <v>31.9</v>
      </c>
      <c r="G23" s="3">
        <v>32.299999999999997</v>
      </c>
      <c r="H23" s="3">
        <v>32.6</v>
      </c>
      <c r="I23" s="3">
        <v>32.9</v>
      </c>
      <c r="J23" s="3">
        <v>33.200000000000003</v>
      </c>
      <c r="K23" s="3">
        <v>33.6</v>
      </c>
      <c r="L23" s="3"/>
      <c r="M23" s="3"/>
    </row>
    <row r="24" spans="1:13" x14ac:dyDescent="0.25">
      <c r="A24" s="3" t="s">
        <v>56</v>
      </c>
      <c r="B24" s="3" t="s">
        <v>59</v>
      </c>
      <c r="C24" s="3">
        <v>41</v>
      </c>
      <c r="D24" s="3">
        <v>41.1</v>
      </c>
      <c r="E24" s="5">
        <v>41.2</v>
      </c>
      <c r="F24" s="3">
        <v>41.2</v>
      </c>
      <c r="G24" s="3">
        <v>41.3</v>
      </c>
      <c r="H24" s="3">
        <v>41.4</v>
      </c>
      <c r="I24" s="3">
        <v>41.5</v>
      </c>
      <c r="J24" s="3">
        <v>41.6</v>
      </c>
      <c r="K24" s="3">
        <v>41.7</v>
      </c>
      <c r="L24" s="3"/>
      <c r="M24" s="3"/>
    </row>
    <row r="25" spans="1:13" x14ac:dyDescent="0.25">
      <c r="A25" s="3" t="s">
        <v>61</v>
      </c>
      <c r="B25" s="3" t="s">
        <v>60</v>
      </c>
      <c r="C25" s="3">
        <v>39</v>
      </c>
      <c r="D25" s="3">
        <v>39.1</v>
      </c>
      <c r="E25" s="5">
        <v>39.200000000000003</v>
      </c>
      <c r="F25" s="3">
        <v>39.200000000000003</v>
      </c>
      <c r="G25" s="3">
        <v>39.299999999999997</v>
      </c>
      <c r="H25" s="3">
        <v>39.4</v>
      </c>
      <c r="I25" s="3">
        <v>39.5</v>
      </c>
      <c r="J25" s="3">
        <v>39.5</v>
      </c>
      <c r="K25" s="3">
        <v>39.6</v>
      </c>
      <c r="L25" s="3"/>
      <c r="M25" s="3"/>
    </row>
    <row r="26" spans="1:13" x14ac:dyDescent="0.25">
      <c r="A26" s="3" t="s">
        <v>61</v>
      </c>
      <c r="B26" s="3" t="s">
        <v>62</v>
      </c>
      <c r="C26" s="3">
        <v>41</v>
      </c>
      <c r="D26" s="3">
        <v>41</v>
      </c>
      <c r="E26" s="5">
        <v>41</v>
      </c>
      <c r="F26" s="3">
        <v>41</v>
      </c>
      <c r="G26" s="3">
        <v>41</v>
      </c>
      <c r="H26" s="3">
        <v>41</v>
      </c>
      <c r="I26" s="3">
        <v>41</v>
      </c>
      <c r="J26" s="3">
        <v>41</v>
      </c>
      <c r="K26" s="3">
        <v>41</v>
      </c>
      <c r="L26" s="3"/>
      <c r="M26" s="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070A-9BD7-438B-8F69-5C6DD87B384B}">
  <dimension ref="A1:T20"/>
  <sheetViews>
    <sheetView workbookViewId="0">
      <selection activeCell="B1" sqref="B1"/>
    </sheetView>
  </sheetViews>
  <sheetFormatPr baseColWidth="10" defaultRowHeight="15" x14ac:dyDescent="0.25"/>
  <cols>
    <col min="1" max="1" width="22.2851562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16.85546875" bestFit="1" customWidth="1"/>
    <col min="14" max="14" width="14" bestFit="1" customWidth="1"/>
    <col min="15" max="15" width="23.7109375" bestFit="1" customWidth="1"/>
    <col min="16" max="16" width="34.28515625" bestFit="1" customWidth="1"/>
    <col min="19" max="19" width="15.140625" bestFit="1" customWidth="1"/>
    <col min="20" max="20" width="40.42578125" bestFit="1" customWidth="1"/>
  </cols>
  <sheetData>
    <row r="1" spans="1:20" x14ac:dyDescent="0.25">
      <c r="A1" s="3" t="s">
        <v>5</v>
      </c>
      <c r="B1" t="str" cm="1">
        <f t="array" ref="B1:T20">IF(ISBLANK(gen_technology!A1:S20),"",gen_technology!A1:S20)</f>
        <v>Technology</v>
      </c>
      <c r="C1" t="str">
        <v>capital_cost 2020 [€/kW]</v>
      </c>
      <c r="D1" t="str">
        <v>capital_cost 2020 [€/MW]</v>
      </c>
      <c r="E1" t="str">
        <v>fixedOM 2010 [€/kW/year]</v>
      </c>
      <c r="F1" t="str">
        <v>fixedOM 2010 [€/MW/hour]</v>
      </c>
      <c r="G1" t="str">
        <v>varOM 2010 [€/MWh]</v>
      </c>
      <c r="H1" t="str">
        <v>fuel_cost [€/MWh fuel]</v>
      </c>
      <c r="I1" t="str">
        <v>efficiency 2020</v>
      </c>
      <c r="J1" t="str">
        <v>emissions [CO2 tons / MWh of fuel]</v>
      </c>
      <c r="K1" t="str">
        <v>lifetime [years]</v>
      </c>
      <c r="L1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BAL_biomass</v>
      </c>
      <c r="B2" t="str">
        <v>Biomass</v>
      </c>
      <c r="C2" s="1">
        <v>2350</v>
      </c>
      <c r="D2">
        <v>2350000</v>
      </c>
      <c r="E2" s="2">
        <v>100</v>
      </c>
      <c r="F2">
        <v>11.415525114155251</v>
      </c>
      <c r="G2">
        <v>0</v>
      </c>
      <c r="H2">
        <v>31</v>
      </c>
      <c r="I2">
        <v>0.45899999999999996</v>
      </c>
      <c r="J2">
        <v>0.23</v>
      </c>
      <c r="K2">
        <v>25</v>
      </c>
      <c r="L2" t="str">
        <v>219000h</v>
      </c>
      <c r="M2">
        <v>1</v>
      </c>
      <c r="N2">
        <v>1</v>
      </c>
      <c r="O2" s="1" t="str">
        <v/>
      </c>
      <c r="P2" s="1">
        <v>2350</v>
      </c>
      <c r="Q2" s="1">
        <v>94000</v>
      </c>
      <c r="R2" s="1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BAL_brown-coal_lignite</v>
      </c>
      <c r="B3" t="str">
        <v>Fossil Brown coal/Lignite</v>
      </c>
      <c r="C3" s="1">
        <v>1500</v>
      </c>
      <c r="D3">
        <v>1500000</v>
      </c>
      <c r="E3" s="2">
        <v>30</v>
      </c>
      <c r="F3">
        <v>3.4246575342465753</v>
      </c>
      <c r="G3">
        <v>7</v>
      </c>
      <c r="H3">
        <v>8</v>
      </c>
      <c r="I3">
        <v>0.439</v>
      </c>
      <c r="J3">
        <v>0.98</v>
      </c>
      <c r="K3">
        <v>40</v>
      </c>
      <c r="L3" t="str">
        <v>350400h</v>
      </c>
      <c r="M3">
        <v>0.5</v>
      </c>
      <c r="N3">
        <v>0.5</v>
      </c>
      <c r="O3" s="1" t="str">
        <v/>
      </c>
      <c r="P3" s="1">
        <v>1500</v>
      </c>
      <c r="Q3" s="1">
        <v>37500</v>
      </c>
      <c r="R3" s="1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BAL_gas-coal-derived</v>
      </c>
      <c r="B4" t="str">
        <v>Fossil Coal-derived gas</v>
      </c>
      <c r="C4" s="1">
        <v>800</v>
      </c>
      <c r="D4">
        <v>800000</v>
      </c>
      <c r="E4" s="2">
        <v>10</v>
      </c>
      <c r="F4">
        <v>1.1415525114155252</v>
      </c>
      <c r="G4">
        <v>10</v>
      </c>
      <c r="H4">
        <v>23.2</v>
      </c>
      <c r="I4">
        <v>0.4</v>
      </c>
      <c r="J4">
        <v>0.6</v>
      </c>
      <c r="K4">
        <v>25</v>
      </c>
      <c r="L4" t="str">
        <v>219000h</v>
      </c>
      <c r="M4">
        <v>0.5</v>
      </c>
      <c r="N4">
        <v>0.5</v>
      </c>
      <c r="O4" s="1" t="str">
        <v/>
      </c>
      <c r="P4" s="1">
        <v>800</v>
      </c>
      <c r="Q4" s="1">
        <v>32000</v>
      </c>
      <c r="R4" s="1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BAL_gas</v>
      </c>
      <c r="B5" t="str">
        <v>Fossil Gas</v>
      </c>
      <c r="C5" s="1">
        <v>800</v>
      </c>
      <c r="D5">
        <v>800000</v>
      </c>
      <c r="E5" s="2">
        <v>10</v>
      </c>
      <c r="F5">
        <v>1.1415525114155252</v>
      </c>
      <c r="G5">
        <v>10</v>
      </c>
      <c r="H5">
        <v>23.2</v>
      </c>
      <c r="I5">
        <v>0.4</v>
      </c>
      <c r="J5">
        <v>0.49</v>
      </c>
      <c r="K5">
        <v>25</v>
      </c>
      <c r="L5" t="str">
        <v>219000h</v>
      </c>
      <c r="M5">
        <v>0.5</v>
      </c>
      <c r="N5">
        <v>0.5</v>
      </c>
      <c r="O5" s="1" t="str">
        <v/>
      </c>
      <c r="P5" s="1">
        <v>800</v>
      </c>
      <c r="Q5" s="1">
        <v>32000</v>
      </c>
      <c r="R5" s="1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BAL_hard-coal</v>
      </c>
      <c r="B6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>
        <v>7</v>
      </c>
      <c r="H6">
        <v>11</v>
      </c>
      <c r="I6" s="6">
        <v>0.4</v>
      </c>
      <c r="J6">
        <v>0.82</v>
      </c>
      <c r="K6">
        <v>40</v>
      </c>
      <c r="L6" t="str">
        <v>350400h</v>
      </c>
      <c r="M6">
        <v>0.5</v>
      </c>
      <c r="N6">
        <v>0.5</v>
      </c>
      <c r="O6" s="1" t="str">
        <v/>
      </c>
      <c r="P6" s="1">
        <v>1800</v>
      </c>
      <c r="Q6" s="1">
        <v>45000</v>
      </c>
      <c r="R6" s="1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BAL_oil</v>
      </c>
      <c r="B7" t="str">
        <v>Fossil Oil</v>
      </c>
      <c r="C7" s="1">
        <v>1000</v>
      </c>
      <c r="D7">
        <v>1000000</v>
      </c>
      <c r="E7" s="2">
        <v>6</v>
      </c>
      <c r="F7">
        <v>0.68493150684931503</v>
      </c>
      <c r="G7">
        <v>3</v>
      </c>
      <c r="H7">
        <v>30</v>
      </c>
      <c r="I7">
        <v>0.4</v>
      </c>
      <c r="J7">
        <v>0.78</v>
      </c>
      <c r="K7">
        <v>40</v>
      </c>
      <c r="L7" t="str">
        <v>350400h</v>
      </c>
      <c r="M7">
        <v>1</v>
      </c>
      <c r="N7">
        <v>1</v>
      </c>
      <c r="O7" s="1" t="str">
        <v/>
      </c>
      <c r="P7" s="1">
        <v>400</v>
      </c>
      <c r="Q7" s="1">
        <v>10000</v>
      </c>
      <c r="R7" s="1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BAL_oil-shale</v>
      </c>
      <c r="B8" t="str">
        <v>Fossil Oil shale</v>
      </c>
      <c r="C8" s="1">
        <v>1000</v>
      </c>
      <c r="D8">
        <v>1000000</v>
      </c>
      <c r="E8" s="2">
        <v>6</v>
      </c>
      <c r="F8">
        <v>0.68493150684931503</v>
      </c>
      <c r="G8">
        <v>3</v>
      </c>
      <c r="H8">
        <v>26.5</v>
      </c>
      <c r="I8">
        <v>0.33</v>
      </c>
      <c r="J8">
        <v>1.02</v>
      </c>
      <c r="K8">
        <v>40</v>
      </c>
      <c r="L8" t="str">
        <v>350400h</v>
      </c>
      <c r="M8">
        <v>1</v>
      </c>
      <c r="N8">
        <v>1</v>
      </c>
      <c r="O8" s="1" t="str">
        <v/>
      </c>
      <c r="P8" s="1">
        <v>1870</v>
      </c>
      <c r="Q8" s="1">
        <v>46750</v>
      </c>
      <c r="R8" s="1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BAL_peat</v>
      </c>
      <c r="B9" t="str">
        <v>Fossil Peat</v>
      </c>
      <c r="C9" s="1">
        <v>1500</v>
      </c>
      <c r="D9">
        <v>1500000</v>
      </c>
      <c r="E9" s="2">
        <v>15</v>
      </c>
      <c r="F9">
        <v>1.7123287671232876</v>
      </c>
      <c r="G9">
        <v>10</v>
      </c>
      <c r="H9">
        <v>8.9</v>
      </c>
      <c r="I9">
        <v>0.4</v>
      </c>
      <c r="J9">
        <v>1.1000000000000001</v>
      </c>
      <c r="K9">
        <v>25</v>
      </c>
      <c r="L9" t="str">
        <v>219000h</v>
      </c>
      <c r="M9">
        <v>1</v>
      </c>
      <c r="N9">
        <v>1</v>
      </c>
      <c r="O9" s="1" t="str">
        <v/>
      </c>
      <c r="P9" s="1">
        <v>1500</v>
      </c>
      <c r="Q9" s="1">
        <v>60000</v>
      </c>
      <c r="R9" s="1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BAL_geothermal</v>
      </c>
      <c r="B10" t="str">
        <v>Geothermal</v>
      </c>
      <c r="C10" s="1">
        <v>3775</v>
      </c>
      <c r="D10">
        <v>3775000</v>
      </c>
      <c r="E10">
        <v>80</v>
      </c>
      <c r="F10">
        <v>9.1324200913242013</v>
      </c>
      <c r="G10">
        <v>0</v>
      </c>
      <c r="H10">
        <v>0</v>
      </c>
      <c r="I10">
        <v>0.23499999999999999</v>
      </c>
      <c r="J10">
        <v>0.04</v>
      </c>
      <c r="K10">
        <v>30</v>
      </c>
      <c r="L10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BAL_hydro-pumped</v>
      </c>
      <c r="B11" t="str">
        <v>Hydro Pumped Storage</v>
      </c>
      <c r="C11">
        <v>2000</v>
      </c>
      <c r="D11">
        <v>2000000</v>
      </c>
      <c r="E11">
        <v>20</v>
      </c>
      <c r="F11">
        <v>2.2831050228310503</v>
      </c>
      <c r="G11">
        <v>0</v>
      </c>
      <c r="H11">
        <v>0</v>
      </c>
      <c r="I11">
        <v>0.75</v>
      </c>
      <c r="J11">
        <v>0.02</v>
      </c>
      <c r="K11">
        <v>80</v>
      </c>
      <c r="L11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BAL_hydro-ror</v>
      </c>
      <c r="B12" t="str">
        <v>Hydro Run-of-river and poundage</v>
      </c>
      <c r="C12">
        <v>3000</v>
      </c>
      <c r="D12">
        <v>3000000</v>
      </c>
      <c r="E12">
        <v>60</v>
      </c>
      <c r="F12">
        <v>6.8493150684931505</v>
      </c>
      <c r="G12">
        <v>0</v>
      </c>
      <c r="H12">
        <v>0</v>
      </c>
      <c r="I12">
        <v>0.9</v>
      </c>
      <c r="J12">
        <v>0.02</v>
      </c>
      <c r="K12">
        <v>80</v>
      </c>
      <c r="L12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BAL_marine</v>
      </c>
      <c r="B13" t="str">
        <v>Marine</v>
      </c>
      <c r="C13">
        <v>4246</v>
      </c>
      <c r="D13">
        <v>4246000</v>
      </c>
      <c r="E13">
        <v>150</v>
      </c>
      <c r="F13">
        <v>17.123287671232877</v>
      </c>
      <c r="G13">
        <v>0</v>
      </c>
      <c r="H13">
        <v>0</v>
      </c>
      <c r="I13">
        <v>1</v>
      </c>
      <c r="J13">
        <v>0.02</v>
      </c>
      <c r="K13">
        <v>30</v>
      </c>
      <c r="L1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BAL_nuclear</v>
      </c>
      <c r="B14" t="str">
        <v>Nuclear</v>
      </c>
      <c r="C14">
        <v>6000</v>
      </c>
      <c r="D14">
        <v>6000000</v>
      </c>
      <c r="E14">
        <v>120</v>
      </c>
      <c r="F14">
        <v>13.698630136986301</v>
      </c>
      <c r="G14">
        <v>10</v>
      </c>
      <c r="H14">
        <v>10</v>
      </c>
      <c r="I14">
        <v>0.33299999999999996</v>
      </c>
      <c r="J14">
        <v>0.01</v>
      </c>
      <c r="K14">
        <v>60</v>
      </c>
      <c r="L14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BAL_other</v>
      </c>
      <c r="B15" t="str">
        <v>Other</v>
      </c>
      <c r="C15">
        <v>2000</v>
      </c>
      <c r="D15">
        <v>2000000</v>
      </c>
      <c r="E15">
        <v>40</v>
      </c>
      <c r="F15">
        <v>4.5662100456621006</v>
      </c>
      <c r="G15">
        <v>10</v>
      </c>
      <c r="H15">
        <v>10</v>
      </c>
      <c r="I15">
        <v>0.5</v>
      </c>
      <c r="J15">
        <v>0.3</v>
      </c>
      <c r="K15">
        <v>25</v>
      </c>
      <c r="L15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BAL_other-ren</v>
      </c>
      <c r="B16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>
        <v>0.02</v>
      </c>
      <c r="K16">
        <v>25</v>
      </c>
      <c r="L16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BAL_solar</v>
      </c>
      <c r="B17" t="str">
        <v>Solar</v>
      </c>
      <c r="C17">
        <v>750</v>
      </c>
      <c r="D17">
        <v>750000</v>
      </c>
      <c r="E17">
        <v>25</v>
      </c>
      <c r="F17">
        <v>2.8538812785388128</v>
      </c>
      <c r="G17">
        <v>0</v>
      </c>
      <c r="H17">
        <v>0</v>
      </c>
      <c r="I17">
        <v>1</v>
      </c>
      <c r="J17">
        <v>0.04</v>
      </c>
      <c r="K17">
        <v>25</v>
      </c>
      <c r="L17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BAL_waste</v>
      </c>
      <c r="B18" t="str">
        <v>Waste</v>
      </c>
      <c r="C18">
        <v>2350</v>
      </c>
      <c r="D18">
        <v>2350000</v>
      </c>
      <c r="E18">
        <v>100</v>
      </c>
      <c r="F18">
        <v>11.415525114155251</v>
      </c>
      <c r="G18">
        <v>0</v>
      </c>
      <c r="H18">
        <v>0</v>
      </c>
      <c r="I18">
        <v>0.45899999999999996</v>
      </c>
      <c r="J18">
        <v>0.5</v>
      </c>
      <c r="K18">
        <v>25</v>
      </c>
      <c r="L18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BAL_wind-off</v>
      </c>
      <c r="B19" t="str">
        <v>Wind Offshore</v>
      </c>
      <c r="C19">
        <v>2742</v>
      </c>
      <c r="D19">
        <v>2742000</v>
      </c>
      <c r="E19">
        <v>80</v>
      </c>
      <c r="F19">
        <v>9.1324200913242013</v>
      </c>
      <c r="G19">
        <v>0</v>
      </c>
      <c r="H19">
        <v>0</v>
      </c>
      <c r="I19">
        <v>1</v>
      </c>
      <c r="J19">
        <v>0.01</v>
      </c>
      <c r="K19">
        <v>25</v>
      </c>
      <c r="L19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BAL_wind-on</v>
      </c>
      <c r="B20" t="str">
        <v>Wind Onshore</v>
      </c>
      <c r="C20">
        <v>1240</v>
      </c>
      <c r="D20">
        <v>1240000</v>
      </c>
      <c r="E20">
        <v>35</v>
      </c>
      <c r="F20">
        <v>3.9954337899543377</v>
      </c>
      <c r="G20">
        <v>0</v>
      </c>
      <c r="H20">
        <v>0</v>
      </c>
      <c r="I20">
        <v>1</v>
      </c>
      <c r="J20">
        <v>0.01</v>
      </c>
      <c r="K20">
        <v>25</v>
      </c>
      <c r="L20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F1E0-9747-4357-8D5A-A7D3CC7547FB}">
  <dimension ref="A1:T21"/>
  <sheetViews>
    <sheetView workbookViewId="0">
      <selection activeCell="B2" sqref="B2"/>
    </sheetView>
  </sheetViews>
  <sheetFormatPr baseColWidth="10" defaultRowHeight="15" x14ac:dyDescent="0.25"/>
  <cols>
    <col min="1" max="1" width="22.71093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4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DEN_biomass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DEN_brown-coal_lignite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DEN_gas-coal-derived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DEN_gas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DEN_hard-coal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DEN_oil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DEN_oil-shale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DEN_peat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DEN_geothermal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DEN_hydro-pumped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DEN_hydro-ror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DEN_marine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DEN_nuclear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DEN_other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DEN_other-ren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DEN_solar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DEN_waste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DEN_wind-off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DEN_wind-on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5E63-FE78-4977-BF11-BB06A432590F}">
  <dimension ref="A1:T21"/>
  <sheetViews>
    <sheetView workbookViewId="0">
      <selection activeCell="B2" sqref="B2"/>
    </sheetView>
  </sheetViews>
  <sheetFormatPr baseColWidth="10" defaultRowHeight="15" x14ac:dyDescent="0.25"/>
  <cols>
    <col min="1" max="1" width="22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1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FIN_biomass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FIN_brown-coal_lignite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FIN_gas-coal-derived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FIN_gas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FIN_hard-coal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FIN_oil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FIN_oil-shale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FIN_peat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FIN_geothermal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FIN_hydro-pumped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FIN_hydro-ror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FIN_marine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FIN_nuclear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FIN_other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FIN_other-ren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6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FIN_solar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FIN_waste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FIN_wind-off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FIN_wind-on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ED2E-ACC2-4B22-B399-C1D8678EE4FE}">
  <dimension ref="A1:T21"/>
  <sheetViews>
    <sheetView workbookViewId="0">
      <selection activeCell="B2" sqref="B2"/>
    </sheetView>
  </sheetViews>
  <sheetFormatPr baseColWidth="10" defaultRowHeight="15" x14ac:dyDescent="0.25"/>
  <cols>
    <col min="1" max="1" width="23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2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NOR_biomass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NOR_brown-coal_lignite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NOR_gas-coal-derived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NOR_gas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NOR_hard-coal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NOR_oil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NOR_oil-shale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NOR_peat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NOR_geothermal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NOR_hydro-pumped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NOR_hydro-ror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NOR_marine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NOR_nuclear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NOR_other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NOR_other-ren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NOR_solar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NOR_waste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NOR_wind-off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NOR_wind-on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7500A-7855-4F55-9167-2EF1839BB711}">
  <dimension ref="A1:T21"/>
  <sheetViews>
    <sheetView workbookViewId="0">
      <selection activeCell="B2" sqref="B2"/>
    </sheetView>
  </sheetViews>
  <sheetFormatPr baseColWidth="10" defaultRowHeight="15" x14ac:dyDescent="0.25"/>
  <cols>
    <col min="1" max="1" width="22.85546875" bestFit="1" customWidth="1"/>
    <col min="2" max="2" width="31" bestFit="1" customWidth="1"/>
    <col min="3" max="3" width="22.7109375" bestFit="1" customWidth="1"/>
    <col min="4" max="4" width="23.42578125" bestFit="1" customWidth="1"/>
    <col min="5" max="5" width="24.7109375" bestFit="1" customWidth="1"/>
    <col min="6" max="6" width="25.42578125" bestFit="1" customWidth="1"/>
    <col min="7" max="7" width="19.85546875" bestFit="1" customWidth="1"/>
    <col min="8" max="8" width="21.85546875" bestFit="1" customWidth="1"/>
    <col min="9" max="9" width="14.140625" bestFit="1" customWidth="1"/>
    <col min="10" max="10" width="32.85546875" bestFit="1" customWidth="1"/>
    <col min="11" max="11" width="14.7109375" bestFit="1" customWidth="1"/>
    <col min="12" max="12" width="15" bestFit="1" customWidth="1"/>
    <col min="13" max="13" width="6.42578125" bestFit="1" customWidth="1"/>
    <col min="14" max="14" width="13" bestFit="1" customWidth="1"/>
    <col min="15" max="15" width="14" bestFit="1" customWidth="1"/>
    <col min="16" max="16" width="13.85546875" bestFit="1" customWidth="1"/>
  </cols>
  <sheetData>
    <row r="1" spans="1:20" x14ac:dyDescent="0.25">
      <c r="A1" s="3" t="s">
        <v>3</v>
      </c>
      <c r="B1" s="3" t="str" cm="1">
        <f t="array" ref="B1:T20">IF(ISBLANK(gen_technology!A1:S20),"",gen_technology!A1:S20)</f>
        <v>Technology</v>
      </c>
      <c r="C1" s="3" t="str">
        <v>capital_cost 2020 [€/kW]</v>
      </c>
      <c r="D1" s="3" t="str">
        <v>capital_cost 2020 [€/MW]</v>
      </c>
      <c r="E1" s="3" t="str">
        <v>fixedOM 2010 [€/kW/year]</v>
      </c>
      <c r="F1" s="3" t="str">
        <v>fixedOM 2010 [€/MW/hour]</v>
      </c>
      <c r="G1" s="3" t="str">
        <v>varOM 2010 [€/MWh]</v>
      </c>
      <c r="H1" s="3" t="str">
        <v>fuel_cost [€/MWh fuel]</v>
      </c>
      <c r="I1" s="3" t="str">
        <v>efficiency 2020</v>
      </c>
      <c r="J1" s="3" t="str">
        <v>emissions [CO2 tons / MWh of fuel]</v>
      </c>
      <c r="K1" s="3" t="str">
        <v>lifetime [years]</v>
      </c>
      <c r="L1" s="3" t="str">
        <v>lifetime [hours]</v>
      </c>
      <c r="M1" t="str">
        <v>ramp_down_limit</v>
      </c>
      <c r="N1" t="str">
        <v>ramp_up_limit</v>
      </c>
      <c r="O1" t="str">
        <v>investment_optimization</v>
      </c>
      <c r="P1" t="str">
        <v>unit_investment_cost 2020 [EUR/kW]</v>
      </c>
      <c r="Q1" t="str">
        <v>unit_investment_cost 2020 [EUR/MW/year]</v>
      </c>
      <c r="R1" t="str">
        <v>number_of_units</v>
      </c>
      <c r="S1" t="str">
        <v>candidate_units</v>
      </c>
      <c r="T1" t="str">
        <v>unit_investment_variable_type</v>
      </c>
    </row>
    <row r="2" spans="1:20" x14ac:dyDescent="0.25">
      <c r="A2" s="3" t="str">
        <f>$A$1&amp;"_biomass"</f>
        <v>SWE_biomass</v>
      </c>
      <c r="B2" s="3" t="str">
        <v>Biomass</v>
      </c>
      <c r="C2" s="1">
        <v>2350</v>
      </c>
      <c r="D2" s="3">
        <v>2350000</v>
      </c>
      <c r="E2" s="2">
        <v>100</v>
      </c>
      <c r="F2" s="3">
        <v>11.415525114155251</v>
      </c>
      <c r="G2" s="3">
        <v>0</v>
      </c>
      <c r="H2" s="3">
        <v>31</v>
      </c>
      <c r="I2" s="3">
        <v>0.45899999999999996</v>
      </c>
      <c r="J2" s="3">
        <v>0.23</v>
      </c>
      <c r="K2" s="3">
        <v>25</v>
      </c>
      <c r="L2" s="3" t="str">
        <v>219000h</v>
      </c>
      <c r="M2">
        <v>1</v>
      </c>
      <c r="N2" s="1">
        <v>1</v>
      </c>
      <c r="O2" s="1" t="str">
        <v/>
      </c>
      <c r="P2" s="1">
        <v>2350</v>
      </c>
      <c r="Q2" s="1">
        <v>94000</v>
      </c>
      <c r="R2">
        <v>0</v>
      </c>
      <c r="S2">
        <v>1</v>
      </c>
      <c r="T2" t="str">
        <v>unit_investment_variable_type_integer</v>
      </c>
    </row>
    <row r="3" spans="1:20" x14ac:dyDescent="0.25">
      <c r="A3" s="3" t="str">
        <f>$A$1&amp;"_brown-coal_lignite"</f>
        <v>SWE_brown-coal_lignite</v>
      </c>
      <c r="B3" s="3" t="str">
        <v>Fossil Brown coal/Lignite</v>
      </c>
      <c r="C3" s="1">
        <v>1500</v>
      </c>
      <c r="D3" s="3">
        <v>1500000</v>
      </c>
      <c r="E3" s="2">
        <v>30</v>
      </c>
      <c r="F3" s="3">
        <v>3.4246575342465753</v>
      </c>
      <c r="G3" s="3">
        <v>7</v>
      </c>
      <c r="H3" s="3">
        <v>8</v>
      </c>
      <c r="I3" s="3">
        <v>0.439</v>
      </c>
      <c r="J3" s="3">
        <v>0.98</v>
      </c>
      <c r="K3" s="3">
        <v>40</v>
      </c>
      <c r="L3" s="3" t="str">
        <v>350400h</v>
      </c>
      <c r="M3">
        <v>0.5</v>
      </c>
      <c r="N3" s="1">
        <v>0.5</v>
      </c>
      <c r="O3" s="1" t="str">
        <v/>
      </c>
      <c r="P3" s="1">
        <v>1500</v>
      </c>
      <c r="Q3" s="1">
        <v>37500</v>
      </c>
      <c r="R3">
        <v>0</v>
      </c>
      <c r="S3">
        <v>1</v>
      </c>
      <c r="T3" t="str">
        <v>unit_investment_variable_type_integer</v>
      </c>
    </row>
    <row r="4" spans="1:20" x14ac:dyDescent="0.25">
      <c r="A4" s="3" t="str">
        <f>$A$1&amp;"_gas-coal-derived"</f>
        <v>SWE_gas-coal-derived</v>
      </c>
      <c r="B4" s="3" t="str">
        <v>Fossil Coal-derived gas</v>
      </c>
      <c r="C4" s="1">
        <v>800</v>
      </c>
      <c r="D4" s="3">
        <v>800000</v>
      </c>
      <c r="E4" s="2">
        <v>10</v>
      </c>
      <c r="F4" s="3">
        <v>1.1415525114155252</v>
      </c>
      <c r="G4" s="3">
        <v>10</v>
      </c>
      <c r="H4" s="3">
        <v>23.2</v>
      </c>
      <c r="I4" s="3">
        <v>0.4</v>
      </c>
      <c r="J4" s="3">
        <v>0.6</v>
      </c>
      <c r="K4" s="3">
        <v>25</v>
      </c>
      <c r="L4" s="3" t="str">
        <v>219000h</v>
      </c>
      <c r="M4">
        <v>0.5</v>
      </c>
      <c r="N4" s="1">
        <v>0.5</v>
      </c>
      <c r="O4" s="1" t="str">
        <v/>
      </c>
      <c r="P4" s="1">
        <v>800</v>
      </c>
      <c r="Q4" s="1">
        <v>32000</v>
      </c>
      <c r="R4">
        <v>0</v>
      </c>
      <c r="S4">
        <v>1</v>
      </c>
      <c r="T4" t="str">
        <v>unit_investment_variable_type_integer</v>
      </c>
    </row>
    <row r="5" spans="1:20" x14ac:dyDescent="0.25">
      <c r="A5" s="3" t="str">
        <f>$A$1&amp;"_gas"</f>
        <v>SWE_gas</v>
      </c>
      <c r="B5" s="3" t="str">
        <v>Fossil Gas</v>
      </c>
      <c r="C5" s="1">
        <v>800</v>
      </c>
      <c r="D5" s="3">
        <v>800000</v>
      </c>
      <c r="E5" s="2">
        <v>10</v>
      </c>
      <c r="F5" s="3">
        <v>1.1415525114155252</v>
      </c>
      <c r="G5" s="3">
        <v>10</v>
      </c>
      <c r="H5" s="3">
        <v>23.2</v>
      </c>
      <c r="I5" s="3">
        <v>0.4</v>
      </c>
      <c r="J5" s="3">
        <v>0.49</v>
      </c>
      <c r="K5" s="3">
        <v>25</v>
      </c>
      <c r="L5" s="3" t="str">
        <v>219000h</v>
      </c>
      <c r="M5">
        <v>0.5</v>
      </c>
      <c r="N5" s="1">
        <v>0.5</v>
      </c>
      <c r="O5" s="1" t="str">
        <v/>
      </c>
      <c r="P5" s="1">
        <v>800</v>
      </c>
      <c r="Q5" s="1">
        <v>32000</v>
      </c>
      <c r="R5">
        <v>0</v>
      </c>
      <c r="S5">
        <v>1</v>
      </c>
      <c r="T5" t="str">
        <v>unit_investment_variable_type_integer</v>
      </c>
    </row>
    <row r="6" spans="1:20" x14ac:dyDescent="0.25">
      <c r="A6" s="3" t="str">
        <f>$A$1&amp;"_hard-coal"</f>
        <v>SWE_hard-coal</v>
      </c>
      <c r="B6" s="3" t="str">
        <v>Fossil Hard coal</v>
      </c>
      <c r="C6" s="6">
        <v>2000</v>
      </c>
      <c r="D6" s="6">
        <v>2000000</v>
      </c>
      <c r="E6" s="2">
        <v>20</v>
      </c>
      <c r="F6" s="6">
        <v>2.2831050228310503</v>
      </c>
      <c r="G6" s="3">
        <v>7</v>
      </c>
      <c r="H6" s="3">
        <v>11</v>
      </c>
      <c r="I6" s="6">
        <v>0.4</v>
      </c>
      <c r="J6" s="3">
        <v>0.82</v>
      </c>
      <c r="K6" s="3">
        <v>40</v>
      </c>
      <c r="L6" s="3" t="str">
        <v>350400h</v>
      </c>
      <c r="M6">
        <v>0.5</v>
      </c>
      <c r="N6" s="1">
        <v>0.5</v>
      </c>
      <c r="O6" s="1" t="str">
        <v/>
      </c>
      <c r="P6" s="1">
        <v>1800</v>
      </c>
      <c r="Q6" s="1">
        <v>45000</v>
      </c>
      <c r="R6">
        <v>0</v>
      </c>
      <c r="S6">
        <v>1</v>
      </c>
      <c r="T6" t="str">
        <v>unit_investment_variable_type_integer</v>
      </c>
    </row>
    <row r="7" spans="1:20" x14ac:dyDescent="0.25">
      <c r="A7" s="3" t="str">
        <f>$A$1&amp;"_oil"</f>
        <v>SWE_oil</v>
      </c>
      <c r="B7" s="3" t="str">
        <v>Fossil Oil</v>
      </c>
      <c r="C7" s="1">
        <v>1000</v>
      </c>
      <c r="D7" s="3">
        <v>1000000</v>
      </c>
      <c r="E7" s="2">
        <v>6</v>
      </c>
      <c r="F7" s="3">
        <v>0.68493150684931503</v>
      </c>
      <c r="G7" s="3">
        <v>3</v>
      </c>
      <c r="H7" s="3">
        <v>30</v>
      </c>
      <c r="I7" s="3">
        <v>0.4</v>
      </c>
      <c r="J7" s="3">
        <v>0.78</v>
      </c>
      <c r="K7" s="3">
        <v>40</v>
      </c>
      <c r="L7" s="3" t="str">
        <v>350400h</v>
      </c>
      <c r="M7">
        <v>1</v>
      </c>
      <c r="N7" s="1">
        <v>1</v>
      </c>
      <c r="O7" s="1" t="str">
        <v/>
      </c>
      <c r="P7" s="1">
        <v>400</v>
      </c>
      <c r="Q7" s="1">
        <v>10000</v>
      </c>
      <c r="R7">
        <v>0</v>
      </c>
      <c r="S7">
        <v>1</v>
      </c>
      <c r="T7" t="str">
        <v>unit_investment_variable_type_integer</v>
      </c>
    </row>
    <row r="8" spans="1:20" x14ac:dyDescent="0.25">
      <c r="A8" s="3" t="str">
        <f>$A$1&amp;"_oil-shale"</f>
        <v>SWE_oil-shale</v>
      </c>
      <c r="B8" s="3" t="str">
        <v>Fossil Oil shale</v>
      </c>
      <c r="C8" s="1">
        <v>1000</v>
      </c>
      <c r="D8" s="3">
        <v>1000000</v>
      </c>
      <c r="E8" s="2">
        <v>6</v>
      </c>
      <c r="F8" s="3">
        <v>0.68493150684931503</v>
      </c>
      <c r="G8" s="3">
        <v>3</v>
      </c>
      <c r="H8" s="3">
        <v>26.5</v>
      </c>
      <c r="I8" s="3">
        <v>0.33</v>
      </c>
      <c r="J8" s="3">
        <v>1.02</v>
      </c>
      <c r="K8" s="3">
        <v>40</v>
      </c>
      <c r="L8" s="3" t="str">
        <v>350400h</v>
      </c>
      <c r="M8">
        <v>1</v>
      </c>
      <c r="N8" s="1">
        <v>1</v>
      </c>
      <c r="O8" s="1" t="str">
        <v/>
      </c>
      <c r="P8" s="1">
        <v>1870</v>
      </c>
      <c r="Q8" s="1">
        <v>46750</v>
      </c>
      <c r="R8">
        <v>0</v>
      </c>
      <c r="S8">
        <v>1</v>
      </c>
      <c r="T8" t="str">
        <v>unit_investment_variable_type_integer</v>
      </c>
    </row>
    <row r="9" spans="1:20" x14ac:dyDescent="0.25">
      <c r="A9" s="3" t="str">
        <f>$A$1&amp;"_peat"</f>
        <v>SWE_peat</v>
      </c>
      <c r="B9" s="3" t="str">
        <v>Fossil Peat</v>
      </c>
      <c r="C9" s="1">
        <v>1500</v>
      </c>
      <c r="D9" s="3">
        <v>1500000</v>
      </c>
      <c r="E9" s="2">
        <v>15</v>
      </c>
      <c r="F9" s="3">
        <v>1.7123287671232876</v>
      </c>
      <c r="G9" s="3">
        <v>10</v>
      </c>
      <c r="H9" s="3">
        <v>8.9</v>
      </c>
      <c r="I9" s="3">
        <v>0.4</v>
      </c>
      <c r="J9" s="3">
        <v>1.1000000000000001</v>
      </c>
      <c r="K9" s="3">
        <v>25</v>
      </c>
      <c r="L9" s="3" t="str">
        <v>219000h</v>
      </c>
      <c r="M9">
        <v>1</v>
      </c>
      <c r="N9" s="1">
        <v>1</v>
      </c>
      <c r="O9" s="1" t="str">
        <v/>
      </c>
      <c r="P9" s="1">
        <v>1500</v>
      </c>
      <c r="Q9" s="1">
        <v>60000</v>
      </c>
      <c r="R9">
        <v>0</v>
      </c>
      <c r="S9">
        <v>1</v>
      </c>
      <c r="T9" t="str">
        <v>unit_investment_variable_type_integer</v>
      </c>
    </row>
    <row r="10" spans="1:20" x14ac:dyDescent="0.25">
      <c r="A10" s="3" t="str">
        <f>$A$1&amp;"_geothermal"</f>
        <v>SWE_geothermal</v>
      </c>
      <c r="B10" s="3" t="str">
        <v>Geothermal</v>
      </c>
      <c r="C10" s="1">
        <v>3775</v>
      </c>
      <c r="D10" s="3">
        <v>3775000</v>
      </c>
      <c r="E10" s="3">
        <v>80</v>
      </c>
      <c r="F10" s="3">
        <v>9.1324200913242013</v>
      </c>
      <c r="G10" s="3">
        <v>0</v>
      </c>
      <c r="H10" s="3">
        <v>0</v>
      </c>
      <c r="I10" s="3">
        <v>0.23499999999999999</v>
      </c>
      <c r="J10" s="3">
        <v>0.04</v>
      </c>
      <c r="K10" s="3">
        <v>30</v>
      </c>
      <c r="L10" s="3" t="str">
        <v>262800h</v>
      </c>
      <c r="M10">
        <v>1</v>
      </c>
      <c r="N10">
        <v>1</v>
      </c>
      <c r="O10" t="str">
        <v/>
      </c>
      <c r="P10">
        <v>3775</v>
      </c>
      <c r="Q10">
        <v>125833.33333333333</v>
      </c>
      <c r="R10">
        <v>0</v>
      </c>
      <c r="S10">
        <v>1</v>
      </c>
      <c r="T10" t="str">
        <v>unit_investment_variable_type_integer</v>
      </c>
    </row>
    <row r="11" spans="1:20" x14ac:dyDescent="0.25">
      <c r="A11" s="3" t="str">
        <f>$A$1&amp;"_hydro-pumped"</f>
        <v>SWE_hydro-pumped</v>
      </c>
      <c r="B11" s="3" t="str">
        <v>Hydro Pumped Storage</v>
      </c>
      <c r="C11" s="3">
        <v>2000</v>
      </c>
      <c r="D11" s="3">
        <v>2000000</v>
      </c>
      <c r="E11" s="3">
        <v>20</v>
      </c>
      <c r="F11" s="3">
        <v>2.2831050228310503</v>
      </c>
      <c r="G11" s="3">
        <v>0</v>
      </c>
      <c r="H11" s="3">
        <v>0</v>
      </c>
      <c r="I11" s="3">
        <v>0.75</v>
      </c>
      <c r="J11" s="3">
        <v>0.02</v>
      </c>
      <c r="K11" s="3">
        <v>80</v>
      </c>
      <c r="L11" s="3" t="str">
        <v>700800h</v>
      </c>
      <c r="M11">
        <v>1</v>
      </c>
      <c r="N11">
        <v>1</v>
      </c>
      <c r="O11" t="str">
        <v/>
      </c>
      <c r="P11">
        <v>2000</v>
      </c>
      <c r="Q11">
        <v>25000</v>
      </c>
      <c r="R11">
        <v>0</v>
      </c>
      <c r="S11">
        <v>1</v>
      </c>
      <c r="T11" t="str">
        <v>unit_investment_variable_type_integer</v>
      </c>
    </row>
    <row r="12" spans="1:20" x14ac:dyDescent="0.25">
      <c r="A12" s="3" t="str">
        <f>$A$1&amp;"_hydro-ror"</f>
        <v>SWE_hydro-ror</v>
      </c>
      <c r="B12" s="3" t="str">
        <v>Hydro Run-of-river and poundage</v>
      </c>
      <c r="C12" s="3">
        <v>3000</v>
      </c>
      <c r="D12" s="3">
        <v>3000000</v>
      </c>
      <c r="E12" s="3">
        <v>60</v>
      </c>
      <c r="F12" s="3">
        <v>6.8493150684931505</v>
      </c>
      <c r="G12" s="3">
        <v>0</v>
      </c>
      <c r="H12" s="3">
        <v>0</v>
      </c>
      <c r="I12" s="3">
        <v>0.9</v>
      </c>
      <c r="J12" s="3">
        <v>0.02</v>
      </c>
      <c r="K12" s="3">
        <v>80</v>
      </c>
      <c r="L12" s="3" t="str">
        <v>700800h</v>
      </c>
      <c r="M12">
        <v>1</v>
      </c>
      <c r="N12">
        <v>1</v>
      </c>
      <c r="O12" t="str">
        <v/>
      </c>
      <c r="P12">
        <v>3000</v>
      </c>
      <c r="Q12">
        <v>37500</v>
      </c>
      <c r="R12">
        <v>0</v>
      </c>
      <c r="S12">
        <v>1</v>
      </c>
      <c r="T12" t="str">
        <v>unit_investment_variable_type_integer</v>
      </c>
    </row>
    <row r="13" spans="1:20" x14ac:dyDescent="0.25">
      <c r="A13" s="3" t="str">
        <f>$A$1&amp;"_marine"</f>
        <v>SWE_marine</v>
      </c>
      <c r="B13" s="3" t="str">
        <v>Marine</v>
      </c>
      <c r="C13" s="3">
        <v>4246</v>
      </c>
      <c r="D13" s="3">
        <v>4246000</v>
      </c>
      <c r="E13" s="3">
        <v>150</v>
      </c>
      <c r="F13" s="3">
        <v>17.123287671232877</v>
      </c>
      <c r="G13" s="3">
        <v>0</v>
      </c>
      <c r="H13" s="3">
        <v>0</v>
      </c>
      <c r="I13" s="3">
        <v>1</v>
      </c>
      <c r="J13" s="3">
        <v>0.02</v>
      </c>
      <c r="K13" s="3">
        <v>30</v>
      </c>
      <c r="L13" s="3" t="str">
        <v>262800h</v>
      </c>
      <c r="M13">
        <v>1</v>
      </c>
      <c r="N13">
        <v>1</v>
      </c>
      <c r="O13" t="str">
        <v/>
      </c>
      <c r="P13">
        <v>4246</v>
      </c>
      <c r="Q13">
        <v>141533.33333333334</v>
      </c>
      <c r="R13">
        <v>0</v>
      </c>
      <c r="S13">
        <v>1</v>
      </c>
      <c r="T13" t="str">
        <v>unit_investment_variable_type_integer</v>
      </c>
    </row>
    <row r="14" spans="1:20" x14ac:dyDescent="0.25">
      <c r="A14" s="3" t="str">
        <f>$A$1&amp;"_nuclear"</f>
        <v>SWE_nuclear</v>
      </c>
      <c r="B14" s="3" t="str">
        <v>Nuclear</v>
      </c>
      <c r="C14" s="3">
        <v>6000</v>
      </c>
      <c r="D14" s="3">
        <v>6000000</v>
      </c>
      <c r="E14" s="3">
        <v>120</v>
      </c>
      <c r="F14" s="3">
        <v>13.698630136986301</v>
      </c>
      <c r="G14" s="3">
        <v>10</v>
      </c>
      <c r="H14" s="3">
        <v>10</v>
      </c>
      <c r="I14" s="3">
        <v>0.33299999999999996</v>
      </c>
      <c r="J14" s="3">
        <v>0.01</v>
      </c>
      <c r="K14" s="3">
        <v>60</v>
      </c>
      <c r="L14" s="3" t="str">
        <v>525600h</v>
      </c>
      <c r="M14">
        <v>0.15</v>
      </c>
      <c r="N14">
        <v>0.15</v>
      </c>
      <c r="O14" t="str">
        <v/>
      </c>
      <c r="P14">
        <v>6000</v>
      </c>
      <c r="Q14">
        <v>100000</v>
      </c>
      <c r="R14">
        <v>0</v>
      </c>
      <c r="S14">
        <v>1</v>
      </c>
      <c r="T14" t="str">
        <v>unit_investment_variable_type_integer</v>
      </c>
    </row>
    <row r="15" spans="1:20" x14ac:dyDescent="0.25">
      <c r="A15" s="3" t="str">
        <f>$A$1&amp;"_other"</f>
        <v>SWE_other</v>
      </c>
      <c r="B15" s="3" t="str">
        <v>Other</v>
      </c>
      <c r="C15" s="3">
        <v>2000</v>
      </c>
      <c r="D15" s="3">
        <v>2000000</v>
      </c>
      <c r="E15" s="3">
        <v>40</v>
      </c>
      <c r="F15" s="3">
        <v>4.5662100456621006</v>
      </c>
      <c r="G15" s="3">
        <v>10</v>
      </c>
      <c r="H15" s="3">
        <v>10</v>
      </c>
      <c r="I15" s="3">
        <v>0.5</v>
      </c>
      <c r="J15" s="3">
        <v>0.3</v>
      </c>
      <c r="K15" s="3">
        <v>25</v>
      </c>
      <c r="L15" s="3" t="str">
        <v>219000h</v>
      </c>
      <c r="M15">
        <v>1</v>
      </c>
      <c r="N15">
        <v>1</v>
      </c>
      <c r="O15" t="str">
        <v/>
      </c>
      <c r="P15">
        <v>3000</v>
      </c>
      <c r="Q15">
        <v>120000</v>
      </c>
      <c r="R15">
        <v>0</v>
      </c>
      <c r="S15">
        <v>1</v>
      </c>
      <c r="T15" t="str">
        <v>unit_investment_variable_type_integer</v>
      </c>
    </row>
    <row r="16" spans="1:20" x14ac:dyDescent="0.25">
      <c r="A16" s="3" t="str">
        <f>$A$1&amp;"_other-ren"</f>
        <v>SWE_other-ren</v>
      </c>
      <c r="B16" s="3" t="str">
        <v>Other renewable</v>
      </c>
      <c r="C16" s="6">
        <v>1500</v>
      </c>
      <c r="D16" s="6">
        <v>1500000</v>
      </c>
      <c r="E16" s="6">
        <v>40</v>
      </c>
      <c r="F16" s="6">
        <v>4.5662100456621006</v>
      </c>
      <c r="G16" s="3">
        <v>0</v>
      </c>
      <c r="H16" s="6">
        <v>0</v>
      </c>
      <c r="I16" s="6">
        <v>1</v>
      </c>
      <c r="J16" s="3">
        <v>0.02</v>
      </c>
      <c r="K16" s="3">
        <v>25</v>
      </c>
      <c r="L16" s="3" t="str">
        <v>219000h</v>
      </c>
      <c r="M16">
        <v>1</v>
      </c>
      <c r="N16">
        <v>1</v>
      </c>
      <c r="O16" t="str">
        <v/>
      </c>
      <c r="P16">
        <v>2000</v>
      </c>
      <c r="Q16">
        <v>80000</v>
      </c>
      <c r="R16">
        <v>0</v>
      </c>
      <c r="S16">
        <v>1</v>
      </c>
      <c r="T16" t="str">
        <v>unit_investment_variable_type_integer</v>
      </c>
    </row>
    <row r="17" spans="1:20" x14ac:dyDescent="0.25">
      <c r="A17" s="3" t="str">
        <f>$A$1&amp;"_solar"</f>
        <v>SWE_solar</v>
      </c>
      <c r="B17" s="3" t="str">
        <v>Solar</v>
      </c>
      <c r="C17" s="3">
        <v>750</v>
      </c>
      <c r="D17" s="3">
        <v>750000</v>
      </c>
      <c r="E17" s="3">
        <v>25</v>
      </c>
      <c r="F17" s="3">
        <v>2.8538812785388128</v>
      </c>
      <c r="G17" s="3">
        <v>0</v>
      </c>
      <c r="H17" s="3">
        <v>0</v>
      </c>
      <c r="I17" s="3">
        <v>1</v>
      </c>
      <c r="J17" s="3">
        <v>0.04</v>
      </c>
      <c r="K17" s="3">
        <v>25</v>
      </c>
      <c r="L17" s="3" t="str">
        <v>219000h</v>
      </c>
      <c r="M17">
        <v>1</v>
      </c>
      <c r="N17">
        <v>1</v>
      </c>
      <c r="O17" t="str">
        <v/>
      </c>
      <c r="P17">
        <v>750</v>
      </c>
      <c r="Q17">
        <v>30000</v>
      </c>
      <c r="R17">
        <v>0</v>
      </c>
      <c r="S17">
        <v>1</v>
      </c>
      <c r="T17" t="str">
        <v>unit_investment_variable_type_integer</v>
      </c>
    </row>
    <row r="18" spans="1:20" x14ac:dyDescent="0.25">
      <c r="A18" s="3" t="str">
        <f>$A$1&amp;"_waste"</f>
        <v>SWE_waste</v>
      </c>
      <c r="B18" s="3" t="str">
        <v>Waste</v>
      </c>
      <c r="C18" s="3">
        <v>2350</v>
      </c>
      <c r="D18" s="3">
        <v>2350000</v>
      </c>
      <c r="E18" s="3">
        <v>100</v>
      </c>
      <c r="F18" s="3">
        <v>11.415525114155251</v>
      </c>
      <c r="G18" s="3">
        <v>0</v>
      </c>
      <c r="H18" s="3">
        <v>0</v>
      </c>
      <c r="I18" s="3">
        <v>0.45899999999999996</v>
      </c>
      <c r="J18" s="3">
        <v>0.5</v>
      </c>
      <c r="K18" s="3">
        <v>25</v>
      </c>
      <c r="L18" s="3" t="str">
        <v>219000h</v>
      </c>
      <c r="M18">
        <v>1</v>
      </c>
      <c r="N18">
        <v>1</v>
      </c>
      <c r="O18" t="str">
        <v/>
      </c>
      <c r="P18">
        <v>2350</v>
      </c>
      <c r="Q18">
        <v>94000</v>
      </c>
      <c r="R18">
        <v>0</v>
      </c>
      <c r="S18">
        <v>1</v>
      </c>
      <c r="T18" t="str">
        <v>unit_investment_variable_type_integer</v>
      </c>
    </row>
    <row r="19" spans="1:20" x14ac:dyDescent="0.25">
      <c r="A19" s="3" t="str">
        <f>$A$1&amp;"_wind-off"</f>
        <v>SWE_wind-off</v>
      </c>
      <c r="B19" s="3" t="str">
        <v>Wind Offshore</v>
      </c>
      <c r="C19" s="3">
        <v>2742</v>
      </c>
      <c r="D19" s="3">
        <v>2742000</v>
      </c>
      <c r="E19" s="3">
        <v>80</v>
      </c>
      <c r="F19" s="3">
        <v>9.1324200913242013</v>
      </c>
      <c r="G19" s="3">
        <v>0</v>
      </c>
      <c r="H19" s="3">
        <v>0</v>
      </c>
      <c r="I19" s="3">
        <v>1</v>
      </c>
      <c r="J19" s="3">
        <v>0.01</v>
      </c>
      <c r="K19" s="3">
        <v>25</v>
      </c>
      <c r="L19" s="3" t="str">
        <v>219000h</v>
      </c>
      <c r="M19">
        <v>1</v>
      </c>
      <c r="N19">
        <v>1</v>
      </c>
      <c r="O19" t="str">
        <v/>
      </c>
      <c r="P19">
        <v>2742</v>
      </c>
      <c r="Q19">
        <v>109680</v>
      </c>
      <c r="R19">
        <v>0</v>
      </c>
      <c r="S19">
        <v>1</v>
      </c>
      <c r="T19" t="str">
        <v>unit_investment_variable_type_integer</v>
      </c>
    </row>
    <row r="20" spans="1:20" x14ac:dyDescent="0.25">
      <c r="A20" s="3" t="str">
        <f>$A$1&amp;"_wind-on"</f>
        <v>SWE_wind-on</v>
      </c>
      <c r="B20" s="3" t="str">
        <v>Wind Onshore</v>
      </c>
      <c r="C20" s="3">
        <v>1240</v>
      </c>
      <c r="D20" s="3">
        <v>1240000</v>
      </c>
      <c r="E20" s="3">
        <v>35</v>
      </c>
      <c r="F20" s="3">
        <v>3.9954337899543377</v>
      </c>
      <c r="G20" s="3">
        <v>0</v>
      </c>
      <c r="H20" s="3">
        <v>0</v>
      </c>
      <c r="I20" s="3">
        <v>1</v>
      </c>
      <c r="J20" s="3">
        <v>0.01</v>
      </c>
      <c r="K20" s="3">
        <v>25</v>
      </c>
      <c r="L20" s="3" t="str">
        <v>219000h</v>
      </c>
      <c r="M20">
        <v>1</v>
      </c>
      <c r="N20">
        <v>1</v>
      </c>
      <c r="O20" t="str">
        <v/>
      </c>
      <c r="P20">
        <v>1240</v>
      </c>
      <c r="Q20">
        <v>49600</v>
      </c>
      <c r="R20">
        <v>0</v>
      </c>
      <c r="S20">
        <v>1</v>
      </c>
      <c r="T20" t="str">
        <v>unit_investment_variable_type_integer</v>
      </c>
    </row>
    <row r="21" spans="1:2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C39-4BF9-4176-96D9-6E49B264B29A}">
  <dimension ref="A1:R3"/>
  <sheetViews>
    <sheetView workbookViewId="0">
      <selection activeCell="N4" sqref="N4"/>
    </sheetView>
  </sheetViews>
  <sheetFormatPr baseColWidth="10" defaultRowHeight="15" x14ac:dyDescent="0.25"/>
  <cols>
    <col min="1" max="1" width="5.5703125" bestFit="1" customWidth="1"/>
    <col min="2" max="3" width="20" bestFit="1" customWidth="1"/>
    <col min="4" max="4" width="9.42578125" bestFit="1" customWidth="1"/>
    <col min="5" max="5" width="11" bestFit="1" customWidth="1"/>
    <col min="6" max="6" width="23.5703125" bestFit="1" customWidth="1"/>
    <col min="7" max="7" width="22.42578125" bestFit="1" customWidth="1"/>
    <col min="8" max="8" width="31.28515625" bestFit="1" customWidth="1"/>
    <col min="10" max="10" width="22.7109375" bestFit="1" customWidth="1"/>
    <col min="11" max="11" width="23.42578125" bestFit="1" customWidth="1"/>
    <col min="12" max="12" width="24.7109375" bestFit="1" customWidth="1"/>
    <col min="13" max="13" width="25.7109375" bestFit="1" customWidth="1"/>
    <col min="14" max="14" width="32.85546875" bestFit="1" customWidth="1"/>
    <col min="15" max="15" width="14.7109375" bestFit="1" customWidth="1"/>
    <col min="16" max="16" width="15" bestFit="1" customWidth="1"/>
    <col min="17" max="17" width="16.85546875" bestFit="1" customWidth="1"/>
    <col min="18" max="18" width="14" bestFit="1" customWidth="1"/>
  </cols>
  <sheetData>
    <row r="1" spans="1:18" x14ac:dyDescent="0.25">
      <c r="A1" s="3" t="s">
        <v>94</v>
      </c>
      <c r="B1" t="s">
        <v>95</v>
      </c>
      <c r="C1" s="3" t="s">
        <v>94</v>
      </c>
      <c r="D1" t="s">
        <v>96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tr" cm="1">
        <f t="array" ref="J1:M1">gen_technology!B1:E1</f>
        <v>capital_cost 2020 [€/kW]</v>
      </c>
      <c r="K1" t="str">
        <v>capital_cost 2020 [€/MW]</v>
      </c>
      <c r="L1" t="str">
        <v>fixedOM 2010 [€/kW/year]</v>
      </c>
      <c r="M1" t="str">
        <v>fixedOM 2010 [€/MW/hour]</v>
      </c>
      <c r="N1" t="str" cm="1">
        <f t="array" ref="N1:R1">gen_technology!I1:M1</f>
        <v>emissions [CO2 tons / MWh of fuel]</v>
      </c>
      <c r="O1" t="str">
        <v>lifetime [years]</v>
      </c>
      <c r="P1" t="str">
        <v>lifetime [hours]</v>
      </c>
      <c r="Q1" t="str">
        <v>ramp_down_limit</v>
      </c>
      <c r="R1" t="str">
        <v>ramp_up_limit</v>
      </c>
    </row>
    <row r="2" spans="1:18" x14ac:dyDescent="0.25">
      <c r="A2" s="3" t="s">
        <v>2</v>
      </c>
      <c r="B2" s="3" t="str">
        <f t="shared" ref="B2:B3" si="0">A2&amp;"_hydro-reservoir"</f>
        <v>NOR_hydro-reservoir</v>
      </c>
      <c r="C2" s="3" t="str">
        <f t="shared" ref="C2:C3" si="1">A2&amp;"_hydro-reservoir"</f>
        <v>NOR_hydro-reservoir</v>
      </c>
      <c r="D2" s="3" t="s">
        <v>97</v>
      </c>
      <c r="E2" s="3">
        <v>1</v>
      </c>
      <c r="F2">
        <v>28185</v>
      </c>
      <c r="G2">
        <v>87000000</v>
      </c>
      <c r="H2">
        <v>1</v>
      </c>
      <c r="I2" t="s">
        <v>97</v>
      </c>
      <c r="J2" cm="1">
        <f t="array" ref="J2:M2">gen_technology!B21:E21</f>
        <v>2000</v>
      </c>
      <c r="K2">
        <v>2000000</v>
      </c>
      <c r="L2">
        <v>20</v>
      </c>
      <c r="M2">
        <v>2.2831050228310503</v>
      </c>
      <c r="N2" cm="1">
        <f t="array" ref="N2:R2">gen_technology!I21:M21</f>
        <v>0.02</v>
      </c>
      <c r="O2">
        <v>80</v>
      </c>
      <c r="P2" t="str">
        <v>700800h</v>
      </c>
      <c r="Q2">
        <v>1</v>
      </c>
      <c r="R2">
        <v>1</v>
      </c>
    </row>
    <row r="3" spans="1:18" x14ac:dyDescent="0.25">
      <c r="A3" s="3" t="s">
        <v>3</v>
      </c>
      <c r="B3" s="3" t="str">
        <f t="shared" si="0"/>
        <v>SWE_hydro-reservoir</v>
      </c>
      <c r="C3" s="3" t="str">
        <f t="shared" si="1"/>
        <v>SWE_hydro-reservoir</v>
      </c>
      <c r="D3" s="3" t="s">
        <v>97</v>
      </c>
      <c r="E3" s="3">
        <v>1</v>
      </c>
      <c r="F3">
        <v>16318</v>
      </c>
      <c r="G3">
        <v>33600000</v>
      </c>
      <c r="H3">
        <v>1</v>
      </c>
      <c r="I3" t="s">
        <v>97</v>
      </c>
      <c r="J3" cm="1">
        <f t="array" ref="J3:M3">gen_technology!B21:E21</f>
        <v>2000</v>
      </c>
      <c r="K3">
        <v>2000000</v>
      </c>
      <c r="L3">
        <v>20</v>
      </c>
      <c r="M3">
        <v>2.2831050228310503</v>
      </c>
      <c r="N3" cm="1">
        <f t="array" ref="N3:R3">gen_technology!I21:M21</f>
        <v>0.02</v>
      </c>
      <c r="O3">
        <v>80</v>
      </c>
      <c r="P3" t="str">
        <v>700800h</v>
      </c>
      <c r="Q3">
        <v>1</v>
      </c>
      <c r="R3">
        <v>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AE15-38DE-4A26-A8A0-CD1B88C207F2}">
  <dimension ref="A1:C6"/>
  <sheetViews>
    <sheetView workbookViewId="0">
      <selection activeCell="C1" sqref="C1"/>
    </sheetView>
  </sheetViews>
  <sheetFormatPr baseColWidth="10" defaultRowHeight="15" x14ac:dyDescent="0.25"/>
  <cols>
    <col min="1" max="1" width="14.5703125" bestFit="1" customWidth="1"/>
    <col min="2" max="2" width="14.85546875" bestFit="1" customWidth="1"/>
    <col min="3" max="3" width="27.28515625" bestFit="1" customWidth="1"/>
  </cols>
  <sheetData>
    <row r="1" spans="1:3" x14ac:dyDescent="0.25">
      <c r="A1" t="s">
        <v>94</v>
      </c>
      <c r="B1" t="s">
        <v>94</v>
      </c>
      <c r="C1" t="s">
        <v>103</v>
      </c>
    </row>
    <row r="2" spans="1:3" x14ac:dyDescent="0.25">
      <c r="A2" t="s">
        <v>5</v>
      </c>
      <c r="B2" t="str">
        <f>A2&amp;"_emissions"</f>
        <v>BAL_emissions</v>
      </c>
      <c r="C2">
        <v>0</v>
      </c>
    </row>
    <row r="3" spans="1:3" x14ac:dyDescent="0.25">
      <c r="A3" t="s">
        <v>4</v>
      </c>
      <c r="B3" s="3" t="str">
        <f t="shared" ref="B3:B6" si="0">A3&amp;"_emissions"</f>
        <v>DEN_emissions</v>
      </c>
      <c r="C3">
        <v>0</v>
      </c>
    </row>
    <row r="4" spans="1:3" x14ac:dyDescent="0.25">
      <c r="A4" t="s">
        <v>1</v>
      </c>
      <c r="B4" s="3" t="str">
        <f t="shared" si="0"/>
        <v>FIN_emissions</v>
      </c>
      <c r="C4">
        <v>0</v>
      </c>
    </row>
    <row r="5" spans="1:3" x14ac:dyDescent="0.25">
      <c r="A5" t="s">
        <v>2</v>
      </c>
      <c r="B5" s="3" t="str">
        <f t="shared" si="0"/>
        <v>NOR_emissions</v>
      </c>
      <c r="C5">
        <v>0</v>
      </c>
    </row>
    <row r="6" spans="1:3" x14ac:dyDescent="0.25">
      <c r="A6" t="s">
        <v>3</v>
      </c>
      <c r="B6" s="3" t="str">
        <f t="shared" si="0"/>
        <v>SWE_emissions</v>
      </c>
      <c r="C6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2E5A1-E2D9-4788-8100-C471010118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gen_technology</vt:lpstr>
      <vt:lpstr>capital_cost</vt:lpstr>
      <vt:lpstr>OM_cost</vt:lpstr>
      <vt:lpstr>efficiency</vt:lpstr>
      <vt:lpstr>gen_technology BAL</vt:lpstr>
      <vt:lpstr>gen_technology DEN</vt:lpstr>
      <vt:lpstr>gen_technology FIN</vt:lpstr>
      <vt:lpstr>gen_technology NOR</vt:lpstr>
      <vt:lpstr>gen_technology SWE</vt:lpstr>
      <vt:lpstr>hydro_reservoir</vt:lpstr>
      <vt:lpstr>carbon_tax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Oei</dc:creator>
  <cp:lastModifiedBy>Victor Oei</cp:lastModifiedBy>
  <dcterms:created xsi:type="dcterms:W3CDTF">2022-05-31T11:27:08Z</dcterms:created>
  <dcterms:modified xsi:type="dcterms:W3CDTF">2022-08-02T10:29:23Z</dcterms:modified>
</cp:coreProperties>
</file>