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omments6.xml" ContentType="application/vnd.openxmlformats-officedocument.spreadsheetml.comments+xml"/>
  <Override PartName="/xl/tables/table2.xml" ContentType="application/vnd.openxmlformats-officedocument.spreadsheetml.table+xml"/>
  <Override PartName="/xl/comments7.xml" ContentType="application/vnd.openxmlformats-officedocument.spreadsheetml.comments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0AC64D67-C213-4CAB-B95B-B7AC1A252C69}" xr6:coauthVersionLast="47" xr6:coauthVersionMax="47" xr10:uidLastSave="{00000000-0000-0000-0000-000000000000}"/>
  <bookViews>
    <workbookView xWindow="-120" yWindow="-120" windowWidth="29040" windowHeight="17520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  <sheet name="hydro_pumped_storage" sheetId="13" r:id="rId9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6" l="1"/>
  <c r="J15" i="6"/>
  <c r="J14" i="6"/>
  <c r="J10" i="6"/>
  <c r="J9" i="6"/>
  <c r="J6" i="6"/>
  <c r="J3" i="6"/>
  <c r="J2" i="6"/>
  <c r="J18" i="7"/>
  <c r="J15" i="7"/>
  <c r="J14" i="7"/>
  <c r="J10" i="7"/>
  <c r="J9" i="7"/>
  <c r="J6" i="7"/>
  <c r="J3" i="7"/>
  <c r="J2" i="7"/>
  <c r="H21" i="5"/>
  <c r="I21" i="5" s="1"/>
  <c r="I21" i="9"/>
  <c r="H21" i="9"/>
  <c r="J18" i="8"/>
  <c r="J15" i="8"/>
  <c r="J14" i="8"/>
  <c r="J10" i="8"/>
  <c r="J9" i="8"/>
  <c r="J6" i="8"/>
  <c r="J3" i="8"/>
  <c r="J2" i="8"/>
  <c r="J18" i="9"/>
  <c r="J15" i="9"/>
  <c r="J14" i="9"/>
  <c r="J10" i="9"/>
  <c r="J9" i="9"/>
  <c r="J6" i="9"/>
  <c r="J3" i="9"/>
  <c r="J2" i="9"/>
  <c r="J18" i="5"/>
  <c r="J15" i="5"/>
  <c r="J14" i="5"/>
  <c r="J10" i="5"/>
  <c r="J9" i="5"/>
  <c r="J6" i="5"/>
  <c r="J3" i="5"/>
  <c r="J2" i="5"/>
  <c r="B22" i="11" l="1"/>
  <c r="B22" i="10"/>
  <c r="B22" i="12"/>
  <c r="C7" i="13" l="1"/>
  <c r="C8" i="13"/>
  <c r="C9" i="13"/>
  <c r="C10" i="13"/>
  <c r="C11" i="13"/>
  <c r="C12" i="13"/>
  <c r="C13" i="13"/>
  <c r="C14" i="13"/>
  <c r="C15" i="13"/>
  <c r="C6" i="13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7" i="13"/>
  <c r="Q17" i="13" s="1"/>
  <c r="P16" i="13"/>
  <c r="Q16" i="13" s="1"/>
  <c r="J5" i="13" l="1"/>
  <c r="B11" i="7" s="1"/>
  <c r="B23" i="7" s="1"/>
  <c r="F5" i="13"/>
  <c r="M5" i="13"/>
  <c r="O4" i="13"/>
  <c r="L4" i="13"/>
  <c r="H3" i="13"/>
  <c r="A3" i="13"/>
  <c r="M2" i="13"/>
  <c r="E21" i="5"/>
  <c r="D21" i="5"/>
  <c r="C21" i="5"/>
  <c r="B23" i="9"/>
  <c r="E21" i="9"/>
  <c r="D21" i="9"/>
  <c r="C21" i="9"/>
  <c r="B23" i="8"/>
  <c r="E21" i="8"/>
  <c r="D21" i="8"/>
  <c r="H21" i="8" s="1"/>
  <c r="I21" i="8" s="1"/>
  <c r="C21" i="8"/>
  <c r="E21" i="7"/>
  <c r="D21" i="7"/>
  <c r="H21" i="7" s="1"/>
  <c r="I21" i="7" s="1"/>
  <c r="C21" i="7"/>
  <c r="B23" i="6"/>
  <c r="E20" i="6"/>
  <c r="E21" i="6"/>
  <c r="M3" i="13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D19" i="9"/>
  <c r="D18" i="9"/>
  <c r="H18" i="9" s="1"/>
  <c r="D17" i="9"/>
  <c r="D16" i="9"/>
  <c r="D15" i="9"/>
  <c r="H15" i="9" s="1"/>
  <c r="D14" i="9"/>
  <c r="H14" i="9" s="1"/>
  <c r="D13" i="9"/>
  <c r="H13" i="9" s="1"/>
  <c r="D12" i="9"/>
  <c r="D11" i="9"/>
  <c r="H11" i="9" s="1"/>
  <c r="I11" i="9" s="1"/>
  <c r="D10" i="9"/>
  <c r="H10" i="9" s="1"/>
  <c r="D9" i="9"/>
  <c r="H9" i="9" s="1"/>
  <c r="D8" i="9"/>
  <c r="H8" i="9" s="1"/>
  <c r="I8" i="9" s="1"/>
  <c r="D7" i="9"/>
  <c r="H7" i="9" s="1"/>
  <c r="I7" i="9" s="1"/>
  <c r="D6" i="9"/>
  <c r="H6" i="9" s="1"/>
  <c r="D5" i="9"/>
  <c r="H5" i="9" s="1"/>
  <c r="I5" i="9" s="1"/>
  <c r="D4" i="9"/>
  <c r="H4" i="9" s="1"/>
  <c r="D3" i="9"/>
  <c r="H3" i="9" s="1"/>
  <c r="D2" i="9"/>
  <c r="H2" i="9" s="1"/>
  <c r="D20" i="8"/>
  <c r="D19" i="8"/>
  <c r="D18" i="8"/>
  <c r="H18" i="8" s="1"/>
  <c r="D17" i="8"/>
  <c r="D16" i="8"/>
  <c r="H16" i="8" s="1"/>
  <c r="D15" i="8"/>
  <c r="H15" i="8" s="1"/>
  <c r="D14" i="8"/>
  <c r="H14" i="8" s="1"/>
  <c r="D13" i="8"/>
  <c r="H13" i="8" s="1"/>
  <c r="D12" i="8"/>
  <c r="H12" i="8" s="1"/>
  <c r="I12" i="8" s="1"/>
  <c r="D11" i="8"/>
  <c r="H11" i="8" s="1"/>
  <c r="I11" i="8" s="1"/>
  <c r="D10" i="8"/>
  <c r="H10" i="8" s="1"/>
  <c r="D9" i="8"/>
  <c r="H9" i="8" s="1"/>
  <c r="D8" i="8"/>
  <c r="H8" i="8" s="1"/>
  <c r="I8" i="8" s="1"/>
  <c r="D7" i="8"/>
  <c r="H7" i="8" s="1"/>
  <c r="I7" i="8" s="1"/>
  <c r="D6" i="8"/>
  <c r="H6" i="8" s="1"/>
  <c r="D5" i="8"/>
  <c r="H5" i="8" s="1"/>
  <c r="I5" i="8" s="1"/>
  <c r="D4" i="8"/>
  <c r="H4" i="8" s="1"/>
  <c r="D3" i="8"/>
  <c r="H3" i="8" s="1"/>
  <c r="D2" i="8"/>
  <c r="H2" i="8" s="1"/>
  <c r="D20" i="7"/>
  <c r="D19" i="7"/>
  <c r="D18" i="7"/>
  <c r="H18" i="7" s="1"/>
  <c r="D17" i="7"/>
  <c r="D16" i="7"/>
  <c r="H16" i="7" s="1"/>
  <c r="D15" i="7"/>
  <c r="H15" i="7" s="1"/>
  <c r="D14" i="7"/>
  <c r="H14" i="7" s="1"/>
  <c r="D13" i="7"/>
  <c r="H13" i="7" s="1"/>
  <c r="D12" i="7"/>
  <c r="D11" i="7"/>
  <c r="H11" i="7" s="1"/>
  <c r="I11" i="7" s="1"/>
  <c r="D10" i="7"/>
  <c r="H10" i="7" s="1"/>
  <c r="D9" i="7"/>
  <c r="H9" i="7" s="1"/>
  <c r="D8" i="7"/>
  <c r="H8" i="7" s="1"/>
  <c r="I8" i="7" s="1"/>
  <c r="D7" i="7"/>
  <c r="H7" i="7" s="1"/>
  <c r="I7" i="7" s="1"/>
  <c r="D6" i="7"/>
  <c r="H6" i="7" s="1"/>
  <c r="D5" i="7"/>
  <c r="H5" i="7" s="1"/>
  <c r="I5" i="7" s="1"/>
  <c r="D4" i="7"/>
  <c r="H4" i="7" s="1"/>
  <c r="D3" i="7"/>
  <c r="H3" i="7" s="1"/>
  <c r="D2" i="7"/>
  <c r="H2" i="7" s="1"/>
  <c r="D3" i="6"/>
  <c r="H3" i="6" s="1"/>
  <c r="D4" i="6"/>
  <c r="H4" i="6" s="1"/>
  <c r="D5" i="6"/>
  <c r="H5" i="6" s="1"/>
  <c r="I5" i="6" s="1"/>
  <c r="D6" i="6"/>
  <c r="H6" i="6" s="1"/>
  <c r="D7" i="6"/>
  <c r="H7" i="6" s="1"/>
  <c r="I7" i="6" s="1"/>
  <c r="D8" i="6"/>
  <c r="H8" i="6" s="1"/>
  <c r="I8" i="6" s="1"/>
  <c r="D9" i="6"/>
  <c r="H9" i="6" s="1"/>
  <c r="D10" i="6"/>
  <c r="H10" i="6" s="1"/>
  <c r="D11" i="6"/>
  <c r="H11" i="6" s="1"/>
  <c r="I11" i="6" s="1"/>
  <c r="D12" i="6"/>
  <c r="D21" i="6"/>
  <c r="H21" i="6" s="1"/>
  <c r="I21" i="6" s="1"/>
  <c r="D13" i="6"/>
  <c r="H13" i="6" s="1"/>
  <c r="D14" i="6"/>
  <c r="H14" i="6" s="1"/>
  <c r="D15" i="6"/>
  <c r="H15" i="6" s="1"/>
  <c r="D16" i="6"/>
  <c r="D17" i="6"/>
  <c r="D18" i="6"/>
  <c r="H18" i="6" s="1"/>
  <c r="D19" i="6"/>
  <c r="D20" i="6"/>
  <c r="D2" i="6"/>
  <c r="H2" i="6" s="1"/>
  <c r="I15" i="9" l="1"/>
  <c r="I13" i="9"/>
  <c r="I6" i="9"/>
  <c r="K6" i="9"/>
  <c r="I9" i="9"/>
  <c r="K9" i="9"/>
  <c r="K18" i="9"/>
  <c r="I18" i="9"/>
  <c r="I10" i="9"/>
  <c r="K10" i="9"/>
  <c r="K3" i="9"/>
  <c r="I3" i="9"/>
  <c r="I14" i="9"/>
  <c r="I2" i="9"/>
  <c r="K2" i="9"/>
  <c r="I4" i="9"/>
  <c r="K18" i="8"/>
  <c r="I18" i="8"/>
  <c r="K3" i="8"/>
  <c r="I3" i="8"/>
  <c r="I16" i="8"/>
  <c r="K2" i="8"/>
  <c r="I2" i="8"/>
  <c r="I4" i="8"/>
  <c r="I13" i="8"/>
  <c r="K9" i="8"/>
  <c r="I9" i="8"/>
  <c r="K10" i="8"/>
  <c r="I10" i="8"/>
  <c r="K6" i="8"/>
  <c r="I6" i="8"/>
  <c r="K14" i="8"/>
  <c r="I14" i="8"/>
  <c r="K15" i="8"/>
  <c r="I15" i="8"/>
  <c r="I13" i="7"/>
  <c r="I6" i="7"/>
  <c r="K6" i="7"/>
  <c r="I14" i="7"/>
  <c r="I15" i="7"/>
  <c r="I16" i="7"/>
  <c r="K3" i="7"/>
  <c r="I3" i="7"/>
  <c r="I4" i="7"/>
  <c r="K9" i="7"/>
  <c r="I9" i="7"/>
  <c r="I2" i="7"/>
  <c r="K2" i="7"/>
  <c r="I10" i="7"/>
  <c r="K10" i="7"/>
  <c r="K18" i="7"/>
  <c r="I18" i="7"/>
  <c r="K9" i="6"/>
  <c r="I9" i="6"/>
  <c r="K15" i="6"/>
  <c r="I15" i="6"/>
  <c r="I14" i="6"/>
  <c r="K14" i="6"/>
  <c r="K2" i="6"/>
  <c r="I2" i="6"/>
  <c r="I13" i="6"/>
  <c r="K6" i="6"/>
  <c r="I6" i="6"/>
  <c r="I4" i="6"/>
  <c r="K18" i="6"/>
  <c r="I18" i="6"/>
  <c r="K3" i="6"/>
  <c r="I3" i="6"/>
  <c r="K10" i="6"/>
  <c r="I10" i="6"/>
  <c r="C20" i="6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B2" i="13" s="1"/>
  <c r="C10" i="5"/>
  <c r="C9" i="5"/>
  <c r="C8" i="5"/>
  <c r="C7" i="5"/>
  <c r="C6" i="5"/>
  <c r="C5" i="5"/>
  <c r="C4" i="5"/>
  <c r="C3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3" i="5" l="1"/>
  <c r="H13" i="5" s="1"/>
  <c r="E13" i="5"/>
  <c r="D6" i="5"/>
  <c r="H6" i="5" s="1"/>
  <c r="E6" i="5"/>
  <c r="D8" i="5"/>
  <c r="H8" i="5" s="1"/>
  <c r="I8" i="5" s="1"/>
  <c r="E8" i="5"/>
  <c r="D16" i="5"/>
  <c r="E16" i="5"/>
  <c r="C2" i="13"/>
  <c r="B3" i="13"/>
  <c r="C3" i="13" s="1"/>
  <c r="D9" i="5"/>
  <c r="H9" i="5" s="1"/>
  <c r="E9" i="5"/>
  <c r="D10" i="5"/>
  <c r="H10" i="5" s="1"/>
  <c r="E10" i="5"/>
  <c r="D18" i="5"/>
  <c r="H18" i="5" s="1"/>
  <c r="E18" i="5"/>
  <c r="D5" i="5"/>
  <c r="H5" i="5" s="1"/>
  <c r="I5" i="5" s="1"/>
  <c r="E5" i="5"/>
  <c r="D15" i="5"/>
  <c r="H15" i="5" s="1"/>
  <c r="E15" i="5"/>
  <c r="D17" i="5"/>
  <c r="E17" i="5"/>
  <c r="D2" i="5"/>
  <c r="H2" i="5" s="1"/>
  <c r="B23" i="5"/>
  <c r="E2" i="5"/>
  <c r="D3" i="5"/>
  <c r="H3" i="5" s="1"/>
  <c r="E3" i="5"/>
  <c r="D11" i="5"/>
  <c r="H11" i="5" s="1"/>
  <c r="I11" i="5" s="1"/>
  <c r="J2" i="13"/>
  <c r="E11" i="5"/>
  <c r="D19" i="5"/>
  <c r="E19" i="5"/>
  <c r="D14" i="5"/>
  <c r="H14" i="5" s="1"/>
  <c r="E14" i="5"/>
  <c r="D7" i="5"/>
  <c r="H7" i="5" s="1"/>
  <c r="I7" i="5" s="1"/>
  <c r="E7" i="5"/>
  <c r="D4" i="5"/>
  <c r="H4" i="5" s="1"/>
  <c r="E4" i="5"/>
  <c r="D12" i="5"/>
  <c r="E12" i="5"/>
  <c r="D20" i="5"/>
  <c r="E20" i="5"/>
  <c r="I2" i="5" l="1"/>
  <c r="K2" i="5"/>
  <c r="I18" i="5"/>
  <c r="K18" i="5"/>
  <c r="I14" i="5"/>
  <c r="K14" i="5"/>
  <c r="I4" i="5"/>
  <c r="I10" i="5"/>
  <c r="K10" i="5"/>
  <c r="I15" i="5"/>
  <c r="K15" i="5"/>
  <c r="I9" i="5"/>
  <c r="K9" i="5"/>
  <c r="I6" i="5"/>
  <c r="K6" i="5"/>
  <c r="I3" i="5"/>
  <c r="K3" i="5"/>
  <c r="I13" i="5"/>
  <c r="F2" i="13"/>
  <c r="J3" i="13"/>
  <c r="L3" i="13" s="1"/>
  <c r="F4" i="13" l="1"/>
  <c r="G4" i="13" s="1"/>
  <c r="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EFC29815-4B08-47FD-AC76-F1E4ACAA5B5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464524C6-98C5-4F0A-8427-16CCD95FCF4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hydro-ror</t>
        </r>
      </text>
    </comment>
    <comment ref="E11" authorId="0" shapeId="0" xr:uid="{6F65A76D-BD65-4F8E-B10F-85786819626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With ramping details, we model specific individual plants for Norway. See table "hydro_pumped_storage"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BF961F9-1295-4E9B-AC05-9C52F82843A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Solar</t>
        </r>
      </text>
    </comment>
    <comment ref="B17" authorId="0" shapeId="0" xr:uid="{0112396E-ADE9-4402-909D-CA03CFA745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IEA PVPS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CA6C0BE3-65F0-4DFE-84A4-D885B6E01E0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3043CA6-DC54-47DF-A6DF-340F2BE7122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4E48853-6BE1-4A28-8A18-32273C9F2C4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61C6B917-0F06-4CB0-8435-42039BACA69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80100F21-93ED-44B1-AB04-7DB1F7FF50C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  <author>Seppi Koell</author>
  </authors>
  <commentList>
    <comment ref="F1" authorId="0" shapeId="0" xr:uid="{FAB34CD7-B981-4297-B950-5865FE12923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Storage Capacity [MWh]</t>
        </r>
      </text>
    </comment>
    <comment ref="G1" authorId="0" shapeId="0" xr:uid="{AA8B4640-A15D-4B7F-9FED-3A34CB3C6B8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simple assumption</t>
        </r>
      </text>
    </comment>
    <comment ref="J1" authorId="0" shapeId="0" xr:uid="{39906744-4BF3-4492-A986-E85367B2CC4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More details about generating mode can be found in:
1) the country's sheets of this workbook
2) gen_technology.xlsx
3) ramping_detail</t>
        </r>
      </text>
    </comment>
    <comment ref="L1" authorId="0" shapeId="0" xr:uid="{BE75A802-EA98-4C3E-9E23-9DB673BF909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generating mode</t>
        </r>
      </text>
    </comment>
    <comment ref="O1" authorId="0" shapeId="0" xr:uid="{BE7078FF-8AD8-4203-853C-02E1CA96BD55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mode</t>
        </r>
      </text>
    </comment>
    <comment ref="T1" authorId="0" shapeId="0" xr:uid="{0B001A76-B421-4DC7-BBB7-505279F179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varOM 2010 [€/MWh], for pumping mode</t>
        </r>
      </text>
    </comment>
    <comment ref="U1" authorId="0" shapeId="0" xr:uid="{88C36894-A8BF-4E6E-89C4-31642D78027A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node, if available</t>
        </r>
      </text>
    </comment>
    <comment ref="F2" authorId="0" shapeId="0" xr:uid="{492099CD-8FB9-402B-9B95-D91B2B8DEF7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12-hour storage volume for full generator mode operation (mentioned in the vedio in source 1)</t>
        </r>
      </text>
    </comment>
    <comment ref="L2" authorId="0" shapeId="0" xr:uid="{B2F8D1F7-7349-4390-AE00-8DBCF4857B09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It does not make sense for aggregated unit to have min opt level</t>
        </r>
      </text>
    </comment>
    <comment ref="L3" authorId="0" shapeId="0" xr:uid="{B735D12B-3C4C-43F7-BE1F-CA6850C66EC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official introduction (source 1&amp;4) claim opt range to be 0-225, while the more serious extension contract info. (source 2&amp;3) shows a min opt level at 160MW</t>
        </r>
      </text>
    </comment>
    <comment ref="F4" authorId="0" shapeId="0" xr:uid="{9684D7C1-62B6-41F5-9739-19B9B839014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additional 8.2GWh storage capacity</t>
        </r>
      </text>
    </comment>
    <comment ref="H4" authorId="1" shapeId="0" xr:uid="{0A3B0834-2CF8-AE4C-8A08-EF940CAFEE8B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Unit number 5 with more flexibility see source 3</t>
        </r>
      </text>
    </comment>
    <comment ref="I4" authorId="0" shapeId="0" xr:uid="{F48592AE-D7B7-4E53-944D-AE9CE3E0EE3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plan to commission in 2024 (source 2)</t>
        </r>
      </text>
    </comment>
    <comment ref="F5" authorId="0" shapeId="0" xr:uid="{931B08B3-AF40-406A-AA87-5AA2D92D212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values here are only Only use the lower reservoir. Most of
the PSPs in NO were designed for pumping of inflow during flood season (see source 1).</t>
        </r>
      </text>
    </comment>
    <comment ref="K5" authorId="0" shapeId="0" xr:uid="{9C007590-AF60-4F89-9888-F119FDB9884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range of 0.65-0.8</t>
        </r>
      </text>
    </comment>
    <comment ref="B6" authorId="1" shapeId="0" xr:uid="{8B89C5E2-519C-B44E-B1E8-A3AF873FA20F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Big and small plants are analyzed</t>
        </r>
      </text>
    </comment>
  </commentList>
</comments>
</file>

<file path=xl/sharedStrings.xml><?xml version="1.0" encoding="utf-8"?>
<sst xmlns="http://schemas.openxmlformats.org/spreadsheetml/2006/main" count="521" uniqueCount="80">
  <si>
    <t>Production Type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</si>
  <si>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</si>
  <si>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</si>
  <si>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</si>
  <si>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</si>
  <si>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</si>
  <si>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</si>
  <si>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</si>
  <si>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</si>
  <si>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</si>
  <si>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</si>
  <si>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</si>
  <si>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</si>
  <si>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</si>
  <si>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</si>
  <si>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</si>
  <si>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</si>
  <si>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</si>
  <si>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</si>
  <si>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</si>
  <si>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</si>
  <si>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</si>
  <si>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</si>
  <si>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</si>
  <si>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</si>
  <si>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</si>
  <si>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</si>
  <si>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</si>
  <si>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Generation unit capacity 2020 [MW]</t>
  </si>
  <si>
    <t>number_of_units</t>
  </si>
  <si>
    <t>alternative</t>
  </si>
  <si>
    <t>RampBase</t>
  </si>
  <si>
    <t>online_variable_type</t>
  </si>
  <si>
    <t>node</t>
  </si>
  <si>
    <t>unit</t>
  </si>
  <si>
    <t>has_state</t>
  </si>
  <si>
    <t>True</t>
  </si>
  <si>
    <t>Base</t>
  </si>
  <si>
    <t>minimum_operating_point</t>
  </si>
  <si>
    <t>Generator Capacity [MW]</t>
  </si>
  <si>
    <t>Pump Capacity</t>
  </si>
  <si>
    <t>Generator Efficiency</t>
  </si>
  <si>
    <t>Pump Efficiency</t>
  </si>
  <si>
    <t>metadata</t>
  </si>
  <si>
    <t>source 1</t>
  </si>
  <si>
    <t>source 2</t>
  </si>
  <si>
    <t>emissions [CO2 tons / MWh of electricity]</t>
  </si>
  <si>
    <t>node_state_cap</t>
  </si>
  <si>
    <t>vom_cost</t>
  </si>
  <si>
    <t>Future</t>
  </si>
  <si>
    <t>Source 1</t>
  </si>
  <si>
    <t>source 3</t>
  </si>
  <si>
    <t>source 4</t>
  </si>
  <si>
    <t>BAL_hydro-pumped_ext</t>
  </si>
  <si>
    <t>False</t>
  </si>
  <si>
    <t>NOR_hydro-pumped_storage</t>
  </si>
  <si>
    <t>NOR_hydro-pumped_Øljusjøen</t>
  </si>
  <si>
    <t>NOR_hydro-pumped_Tevla</t>
  </si>
  <si>
    <t>NOR_hydro-pumped_Stølsdal</t>
  </si>
  <si>
    <t>NOR_hydro-pumped_Saurdal</t>
  </si>
  <si>
    <t>NOR_hydro-pumped_Nygard</t>
  </si>
  <si>
    <t>NOR_hydro-pumped_Jukla</t>
  </si>
  <si>
    <t>NOR_hydro-pumped_Herva</t>
  </si>
  <si>
    <t>NOR_hydro-pumped_Duge</t>
  </si>
  <si>
    <t>NOR_hydro-pumped_Brattingfoss</t>
  </si>
  <si>
    <t>NOR_hydro-pumped_Aurland_III</t>
  </si>
  <si>
    <t>Source 2</t>
  </si>
  <si>
    <t>NOR_hydro-pumped</t>
  </si>
  <si>
    <t>initial_node_state</t>
  </si>
  <si>
    <t>unit_online_variable_type_integer</t>
  </si>
  <si>
    <t>IntegerVariables</t>
  </si>
  <si>
    <t>Aggregated capacity 2018 [MW]</t>
  </si>
  <si>
    <t>units_on_non_anticipativity_time</t>
  </si>
  <si>
    <t>units_on__temporal_block</t>
  </si>
  <si>
    <t>false_active_alternative</t>
  </si>
  <si>
    <t>active_alternative</t>
  </si>
  <si>
    <t>RollingHorizon</t>
  </si>
  <si>
    <t>BAL_hydro-pumped_storage</t>
  </si>
  <si>
    <t>rolling_lookahead_ST</t>
  </si>
  <si>
    <t>rolling_lookahead_ST_nuclear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</si>
</sst>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1" applyAlignment="1">
      <alignment vertical="center"/>
    </xf>
    <xf numFmtId="164" fontId="0" fillId="0" borderId="0" xfId="0" applyNumberFormat="1"/>
    <xf numFmtId="0" fontId="0" fillId="0" borderId="0" xfId="0" quotePrefix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5"/>
    <tableColumn id="2" xr3:uid="{67FCF6A7-4FA0-4798-8738-666C0485936C}" name="Column2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3"/>
    <tableColumn id="2" xr3:uid="{A7ED2011-89A3-40B8-A6B9-074B2E11D50C}" name="Column2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 headerRowDxfId="1">
  <tableColumns count="2">
    <tableColumn id="1" xr3:uid="{8C8DBC5A-09EF-421D-BF32-CD05BEBEA452}" name="Production Type" dataDxfId="0"/>
    <tableColumn id="2" xr3:uid="{77FC7614-6DE9-4319-A68C-535FC721080E}" name="Aggregated capacity 2018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hyperlink" Target="https://eepublicdownloads.entsoe.eu/clean-documents/tyndp-documents/TYNDP%202016/projects/P1009.pdf" TargetMode="External"/><Relationship Id="rId7" Type="http://schemas.openxmlformats.org/officeDocument/2006/relationships/hyperlink" Target="https://www.hydropower.org/country-profiles/norway" TargetMode="External"/><Relationship Id="rId2" Type="http://schemas.openxmlformats.org/officeDocument/2006/relationships/hyperlink" Target="https://tyndp.entsoe.eu/tyndp2018/projects/storage_projects/1009" TargetMode="External"/><Relationship Id="rId1" Type="http://schemas.openxmlformats.org/officeDocument/2006/relationships/hyperlink" Target="https://ignitisgamyba.lt/en/our-activities/electricity-generation/kruonis-pumped-storage-hydroelectric-plant-the-kpshp/4188" TargetMode="External"/><Relationship Id="rId6" Type="http://schemas.openxmlformats.org/officeDocument/2006/relationships/hyperlink" Target="https://www.mdpi.com/2071-1050/14/11/6939" TargetMode="External"/><Relationship Id="rId5" Type="http://schemas.openxmlformats.org/officeDocument/2006/relationships/hyperlink" Target="https://mdpi-res.com/d_attachment/energies/energies-13-04918/article_deploy/energies-13-04918-v2.pdf?version=1601001709" TargetMode="External"/><Relationship Id="rId4" Type="http://schemas.openxmlformats.org/officeDocument/2006/relationships/hyperlink" Target="https://enmin.lrv.lt/en/strategic-projects/electricity-sector/pumped-storage-hydroelectricity-plant-kruonis-5th-block" TargetMode="External"/><Relationship Id="rId9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O23"/>
  <sheetViews>
    <sheetView tabSelected="1" workbookViewId="0">
      <selection activeCell="K4" sqref="K4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  <col min="12" max="12" width="29.140625" bestFit="1" customWidth="1"/>
    <col min="13" max="13" width="22.7109375" bestFit="1" customWidth="1"/>
    <col min="14" max="14" width="17.28515625" bestFit="1" customWidth="1"/>
  </cols>
  <sheetData>
    <row r="1" spans="1:15" x14ac:dyDescent="0.25">
      <c r="A1" s="1" t="s">
        <v>0</v>
      </c>
      <c r="B1" s="1" t="s">
        <v>71</v>
      </c>
      <c r="C1" s="1" t="s">
        <v>24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72</v>
      </c>
      <c r="K1" s="1" t="s">
        <v>30</v>
      </c>
      <c r="L1" s="1" t="s">
        <v>73</v>
      </c>
      <c r="M1" s="1" t="s">
        <v>74</v>
      </c>
      <c r="N1" s="1" t="s">
        <v>75</v>
      </c>
    </row>
    <row r="2" spans="1:15" x14ac:dyDescent="0.25">
      <c r="A2" s="1" t="s">
        <v>1</v>
      </c>
      <c r="B2" s="1">
        <v>1813</v>
      </c>
      <c r="C2" t="str">
        <f>$C$1&amp;"_biomass"</f>
        <v>FIN_biomass</v>
      </c>
      <c r="D2" t="str">
        <f>IF(B2&gt;0,"True","False")</f>
        <v>True</v>
      </c>
      <c r="E2" s="2">
        <f>B2/F2</f>
        <v>86.333333333333329</v>
      </c>
      <c r="F2">
        <v>21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IF(J2="",J2,"RollingFixDispatch")</f>
        <v>RollingFixDispatch</v>
      </c>
      <c r="L2" t="s">
        <v>78</v>
      </c>
      <c r="M2" t="s">
        <v>37</v>
      </c>
      <c r="O2" t="s">
        <v>76</v>
      </c>
    </row>
    <row r="3" spans="1:15" x14ac:dyDescent="0.25">
      <c r="A3" s="1" t="s">
        <v>2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  <c r="E3" s="2">
        <f t="shared" ref="E3:E21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6" si="3">IF(H3="unit_online_variable_type_integer","30D","")</f>
        <v/>
      </c>
      <c r="K3" t="str">
        <f t="shared" ref="K3:K16" si="4">IF(J3="",J3,"RollingFixDispatch")</f>
        <v/>
      </c>
    </row>
    <row r="4" spans="1:15" x14ac:dyDescent="0.25">
      <c r="A4" s="1" t="s">
        <v>3</v>
      </c>
      <c r="B4" s="1">
        <v>0</v>
      </c>
      <c r="C4" t="str">
        <f>$C$1&amp;"_gas-coal-derived"</f>
        <v>FIN_gas-coal-derived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</row>
    <row r="5" spans="1:15" x14ac:dyDescent="0.25">
      <c r="A5" s="1" t="s">
        <v>4</v>
      </c>
      <c r="B5" s="1">
        <v>1865</v>
      </c>
      <c r="C5" t="str">
        <f>$C$1&amp;"_gas"</f>
        <v>FIN_gas</v>
      </c>
      <c r="D5" t="str">
        <f t="shared" si="0"/>
        <v>True</v>
      </c>
      <c r="E5" s="2">
        <f t="shared" si="1"/>
        <v>109.70588235294117</v>
      </c>
      <c r="F5">
        <v>17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</row>
    <row r="6" spans="1:15" x14ac:dyDescent="0.25">
      <c r="A6" s="1" t="s">
        <v>5</v>
      </c>
      <c r="B6" s="1">
        <v>2278</v>
      </c>
      <c r="C6" t="str">
        <f>$C$1&amp;"_hard-coal"</f>
        <v>FIN_hard-coal</v>
      </c>
      <c r="D6" t="str">
        <f t="shared" si="0"/>
        <v>True</v>
      </c>
      <c r="E6" s="2">
        <f t="shared" si="1"/>
        <v>284.75</v>
      </c>
      <c r="F6">
        <v>8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30D</v>
      </c>
      <c r="K6" t="str">
        <f t="shared" si="4"/>
        <v>RollingFixDispatch</v>
      </c>
      <c r="L6" t="s">
        <v>78</v>
      </c>
      <c r="M6" t="s">
        <v>37</v>
      </c>
      <c r="O6" t="s">
        <v>76</v>
      </c>
    </row>
    <row r="7" spans="1:15" x14ac:dyDescent="0.25">
      <c r="A7" s="1" t="s">
        <v>6</v>
      </c>
      <c r="B7" s="1">
        <v>1386</v>
      </c>
      <c r="C7" t="str">
        <f>$C$1&amp;"_oil"</f>
        <v>FIN_oil</v>
      </c>
      <c r="D7" t="str">
        <f t="shared" si="0"/>
        <v>True</v>
      </c>
      <c r="E7" s="2">
        <f t="shared" si="1"/>
        <v>81.529411764705884</v>
      </c>
      <c r="F7">
        <v>17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</row>
    <row r="8" spans="1:15" x14ac:dyDescent="0.25">
      <c r="A8" s="1" t="s">
        <v>7</v>
      </c>
      <c r="B8" s="1">
        <v>0</v>
      </c>
      <c r="C8" t="str">
        <f>$C$1&amp;"_oil-shale"</f>
        <v>FIN_oil-shale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</row>
    <row r="9" spans="1:15" x14ac:dyDescent="0.25">
      <c r="A9" s="1" t="s">
        <v>8</v>
      </c>
      <c r="B9" s="1">
        <v>1135</v>
      </c>
      <c r="C9" t="str">
        <f>$C$1&amp;"_peat"</f>
        <v>FIN_peat</v>
      </c>
      <c r="D9" t="str">
        <f t="shared" si="0"/>
        <v>True</v>
      </c>
      <c r="E9" s="2">
        <f t="shared" si="1"/>
        <v>227</v>
      </c>
      <c r="F9">
        <v>5</v>
      </c>
      <c r="G9" t="s">
        <v>31</v>
      </c>
      <c r="H9" s="7" t="str">
        <f t="shared" si="5"/>
        <v>unit_online_variable_type_integer</v>
      </c>
      <c r="I9" t="str">
        <f t="shared" si="2"/>
        <v>IntegerVariables</v>
      </c>
      <c r="J9" t="str">
        <f t="shared" ref="J9:J10" si="6">IF(H9="unit_online_variable_type_integer","30D","")</f>
        <v>30D</v>
      </c>
      <c r="K9" t="str">
        <f t="shared" si="4"/>
        <v>RollingFixDispatch</v>
      </c>
      <c r="L9" t="s">
        <v>78</v>
      </c>
      <c r="M9" t="s">
        <v>37</v>
      </c>
      <c r="O9" t="s">
        <v>76</v>
      </c>
    </row>
    <row r="10" spans="1:15" x14ac:dyDescent="0.25">
      <c r="A10" s="1" t="s">
        <v>9</v>
      </c>
      <c r="B10" s="1">
        <v>0</v>
      </c>
      <c r="C10" t="str">
        <f>$C$1&amp;"_geothermal"</f>
        <v>FIN_geothermal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6"/>
        <v/>
      </c>
      <c r="K10" t="str">
        <f t="shared" si="4"/>
        <v/>
      </c>
    </row>
    <row r="11" spans="1:15" x14ac:dyDescent="0.25">
      <c r="A11" s="1" t="s">
        <v>10</v>
      </c>
      <c r="B11" s="1">
        <v>0</v>
      </c>
      <c r="C11" t="str">
        <f>$C$1&amp;"_hydro-pumped"</f>
        <v>FIN_hydro-pumped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</row>
    <row r="12" spans="1:15" x14ac:dyDescent="0.25">
      <c r="A12" s="1" t="s">
        <v>11</v>
      </c>
      <c r="B12" s="1">
        <v>3149</v>
      </c>
      <c r="C12" t="str">
        <f>$C$1&amp;"_hydro-ror"</f>
        <v>FIN_hydro-ror</v>
      </c>
      <c r="D12" t="str">
        <f t="shared" si="0"/>
        <v>True</v>
      </c>
      <c r="E12" s="2">
        <f t="shared" si="1"/>
        <v>64.265306122448976</v>
      </c>
      <c r="F12">
        <v>49</v>
      </c>
      <c r="G12" t="s">
        <v>31</v>
      </c>
      <c r="H12" s="7"/>
    </row>
    <row r="13" spans="1:15" x14ac:dyDescent="0.25">
      <c r="A13" s="1" t="s">
        <v>13</v>
      </c>
      <c r="B13" s="1">
        <v>0</v>
      </c>
      <c r="C13" t="str">
        <f>$C$1&amp;"_marine"</f>
        <v>FIN_marine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</row>
    <row r="14" spans="1:15" x14ac:dyDescent="0.25">
      <c r="A14" s="1" t="s">
        <v>14</v>
      </c>
      <c r="B14" s="1">
        <v>2782</v>
      </c>
      <c r="C14" t="str">
        <f>$C$1&amp;"_nuclear"</f>
        <v>FIN_nuclear</v>
      </c>
      <c r="D14" t="str">
        <f t="shared" si="0"/>
        <v>True</v>
      </c>
      <c r="E14" s="2">
        <f t="shared" si="1"/>
        <v>556.4</v>
      </c>
      <c r="F14">
        <v>5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ref="J14:J18" si="7">IF(H14="unit_online_variable_type_integer","30D","")</f>
        <v>30D</v>
      </c>
      <c r="K14" t="str">
        <f t="shared" si="4"/>
        <v>RollingFixDispatch</v>
      </c>
      <c r="L14" t="s">
        <v>79</v>
      </c>
      <c r="M14" t="s">
        <v>37</v>
      </c>
      <c r="O14" t="s">
        <v>76</v>
      </c>
    </row>
    <row r="15" spans="1:15" x14ac:dyDescent="0.25">
      <c r="A15" s="1" t="s">
        <v>15</v>
      </c>
      <c r="B15" s="1">
        <v>362</v>
      </c>
      <c r="C15" t="str">
        <f>$C$1&amp;"_other"</f>
        <v>FIN_other</v>
      </c>
      <c r="D15" t="str">
        <f t="shared" si="0"/>
        <v>True</v>
      </c>
      <c r="E15" s="2">
        <f t="shared" si="1"/>
        <v>181</v>
      </c>
      <c r="F15">
        <v>2</v>
      </c>
      <c r="G15" t="s">
        <v>31</v>
      </c>
      <c r="H15" s="7" t="str">
        <f t="shared" si="5"/>
        <v>unit_online_variable_type_integer</v>
      </c>
      <c r="I15" t="str">
        <f t="shared" si="2"/>
        <v>IntegerVariables</v>
      </c>
      <c r="J15" t="str">
        <f t="shared" si="7"/>
        <v>30D</v>
      </c>
      <c r="K15" t="str">
        <f t="shared" si="4"/>
        <v>RollingFixDispatch</v>
      </c>
      <c r="L15" t="s">
        <v>78</v>
      </c>
      <c r="M15" t="s">
        <v>37</v>
      </c>
      <c r="O15" t="s">
        <v>76</v>
      </c>
    </row>
    <row r="16" spans="1:15" x14ac:dyDescent="0.25">
      <c r="A16" s="1" t="s">
        <v>16</v>
      </c>
      <c r="B16" s="1">
        <v>257</v>
      </c>
      <c r="C16" t="str">
        <f>$C$1&amp;"_other-ren"</f>
        <v>FIN_other-ren</v>
      </c>
      <c r="D16" t="str">
        <f t="shared" si="0"/>
        <v>True</v>
      </c>
      <c r="E16" s="2">
        <f t="shared" si="1"/>
        <v>257</v>
      </c>
      <c r="F16">
        <v>1</v>
      </c>
      <c r="G16" t="s">
        <v>31</v>
      </c>
      <c r="H16" s="7"/>
    </row>
    <row r="17" spans="1:15" x14ac:dyDescent="0.25">
      <c r="A17" s="1" t="s">
        <v>17</v>
      </c>
      <c r="B17" s="1">
        <v>0</v>
      </c>
      <c r="C17" t="str">
        <f>$C$1&amp;"_solar"</f>
        <v>FIN_solar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/>
    </row>
    <row r="18" spans="1:15" x14ac:dyDescent="0.25">
      <c r="A18" s="1" t="s">
        <v>18</v>
      </c>
      <c r="B18" s="1">
        <v>157</v>
      </c>
      <c r="C18" t="str">
        <f>$C$1&amp;"_waste"</f>
        <v>FIN_waste</v>
      </c>
      <c r="D18" t="str">
        <f t="shared" si="0"/>
        <v>True</v>
      </c>
      <c r="E18" s="2">
        <f t="shared" si="1"/>
        <v>52.333333333333336</v>
      </c>
      <c r="F18">
        <v>3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si="7"/>
        <v>30D</v>
      </c>
      <c r="K18" t="str">
        <f t="shared" ref="K18" si="8">IF(J18="",J18,"RollingFixDispatch")</f>
        <v>RollingFixDispatch</v>
      </c>
      <c r="L18" t="s">
        <v>78</v>
      </c>
      <c r="M18" t="s">
        <v>37</v>
      </c>
      <c r="O18" t="s">
        <v>76</v>
      </c>
    </row>
    <row r="19" spans="1:15" x14ac:dyDescent="0.25">
      <c r="A19" s="1" t="s">
        <v>19</v>
      </c>
      <c r="B19" s="1">
        <v>0</v>
      </c>
      <c r="C19" t="str">
        <f>$C$1&amp;"_wind-off"</f>
        <v>FIN_wind-off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5" x14ac:dyDescent="0.25">
      <c r="A20" s="1" t="s">
        <v>20</v>
      </c>
      <c r="B20" s="1">
        <v>1908</v>
      </c>
      <c r="C20" t="str">
        <f>$C$1&amp;"_wind-on"</f>
        <v>FIN_wind-on</v>
      </c>
      <c r="D20" t="str">
        <f t="shared" si="0"/>
        <v>True</v>
      </c>
      <c r="E20" s="2">
        <f>B20/F20</f>
        <v>1908</v>
      </c>
      <c r="F20">
        <v>1</v>
      </c>
      <c r="G20" t="s">
        <v>31</v>
      </c>
      <c r="H20" s="7"/>
    </row>
    <row r="21" spans="1:15" x14ac:dyDescent="0.25">
      <c r="A21" s="1" t="s">
        <v>12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1"/>
        <v>0</v>
      </c>
      <c r="F21">
        <v>1</v>
      </c>
      <c r="G21" t="s">
        <v>31</v>
      </c>
      <c r="H21" s="7" t="str">
        <f t="shared" si="5"/>
        <v/>
      </c>
      <c r="I21" t="str">
        <f t="shared" si="2"/>
        <v/>
      </c>
    </row>
    <row r="22" spans="1:15" x14ac:dyDescent="0.25">
      <c r="A22" s="1"/>
      <c r="B22" s="1"/>
      <c r="C22" s="1"/>
      <c r="D22" s="1"/>
      <c r="E22" s="1"/>
    </row>
    <row r="23" spans="1:15" x14ac:dyDescent="0.25">
      <c r="A23" s="1" t="s">
        <v>21</v>
      </c>
      <c r="B23" s="1">
        <f>SUM(B2:B21)</f>
        <v>17092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N24"/>
  <sheetViews>
    <sheetView topLeftCell="B1" workbookViewId="0">
      <selection activeCell="K4" sqref="K4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3" bestFit="1" customWidth="1"/>
    <col min="4" max="4" width="31" bestFit="1" customWidth="1"/>
    <col min="5" max="5" width="33.140625" bestFit="1" customWidth="1"/>
    <col min="8" max="8" width="32.5703125" bestFit="1" customWidth="1"/>
    <col min="10" max="10" width="31.5703125" bestFit="1" customWidth="1"/>
    <col min="11" max="11" width="14.140625" bestFit="1" customWidth="1"/>
  </cols>
  <sheetData>
    <row r="1" spans="1:14" x14ac:dyDescent="0.25">
      <c r="A1" s="1" t="s">
        <v>0</v>
      </c>
      <c r="B1" s="1" t="s">
        <v>71</v>
      </c>
      <c r="C1" s="1" t="s">
        <v>25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72</v>
      </c>
      <c r="K1" s="1" t="s">
        <v>30</v>
      </c>
      <c r="L1" s="1" t="s">
        <v>73</v>
      </c>
      <c r="M1" s="1" t="s">
        <v>74</v>
      </c>
      <c r="N1" s="1" t="s">
        <v>75</v>
      </c>
    </row>
    <row r="2" spans="1:14" x14ac:dyDescent="0.25">
      <c r="A2" s="1" t="s">
        <v>1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IF(H2="unit_online_variable_type_integer","30D","")</f>
        <v/>
      </c>
      <c r="K2" t="str">
        <f>IF(J2="",J2,"RollingFixDispatch")</f>
        <v/>
      </c>
    </row>
    <row r="3" spans="1:14" x14ac:dyDescent="0.25">
      <c r="A3" s="1" t="s">
        <v>2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6" si="3">IF(H3="unit_online_variable_type_integer","30D","")</f>
        <v/>
      </c>
      <c r="K3" t="str">
        <f t="shared" ref="K3:K16" si="4">IF(J3="",J3,"RollingFixDispatch")</f>
        <v/>
      </c>
    </row>
    <row r="4" spans="1:14" x14ac:dyDescent="0.25">
      <c r="A4" s="1" t="s">
        <v>3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</row>
    <row r="5" spans="1:14" x14ac:dyDescent="0.25">
      <c r="A5" s="1" t="s">
        <v>4</v>
      </c>
      <c r="B5" s="1">
        <v>635</v>
      </c>
      <c r="C5" t="str">
        <f>$C$1&amp;"_gas"</f>
        <v>NOR_gas</v>
      </c>
      <c r="D5" t="str">
        <f t="shared" si="0"/>
        <v>True</v>
      </c>
      <c r="E5" s="2">
        <f t="shared" si="1"/>
        <v>127</v>
      </c>
      <c r="F5">
        <v>5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</row>
    <row r="6" spans="1:14" x14ac:dyDescent="0.25">
      <c r="A6" s="1" t="s">
        <v>5</v>
      </c>
      <c r="B6" s="1">
        <v>0</v>
      </c>
      <c r="C6" t="str">
        <f>$C$1&amp;"_hard-coal"</f>
        <v>NOR_hard-coal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4" x14ac:dyDescent="0.25">
      <c r="A7" s="1" t="s">
        <v>6</v>
      </c>
      <c r="B7" s="1">
        <v>0</v>
      </c>
      <c r="C7" t="str">
        <f>$C$1&amp;"_oil"</f>
        <v>NOR_oil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5"/>
        <v/>
      </c>
      <c r="I7" t="str">
        <f t="shared" si="2"/>
        <v/>
      </c>
    </row>
    <row r="8" spans="1:14" x14ac:dyDescent="0.25">
      <c r="A8" s="1" t="s">
        <v>7</v>
      </c>
      <c r="B8" s="1">
        <v>0</v>
      </c>
      <c r="C8" t="str">
        <f>$C$1&amp;"_oil-shale"</f>
        <v>NOR_oil-shale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</row>
    <row r="9" spans="1:14" x14ac:dyDescent="0.25">
      <c r="A9" s="1" t="s">
        <v>8</v>
      </c>
      <c r="B9" s="1">
        <v>0</v>
      </c>
      <c r="C9" t="str">
        <f>$C$1&amp;"_peat"</f>
        <v>NOR_peat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ref="J9:J10" si="6">IF(H9="unit_online_variable_type_integer","30D","")</f>
        <v/>
      </c>
      <c r="K9" t="str">
        <f t="shared" si="4"/>
        <v/>
      </c>
    </row>
    <row r="10" spans="1:14" x14ac:dyDescent="0.25">
      <c r="A10" s="1" t="s">
        <v>9</v>
      </c>
      <c r="B10" s="1">
        <v>0</v>
      </c>
      <c r="C10" t="str">
        <f>$C$1&amp;"_geothermal"</f>
        <v>NOR_geothermal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6"/>
        <v/>
      </c>
      <c r="K10" t="str">
        <f t="shared" si="4"/>
        <v/>
      </c>
    </row>
    <row r="11" spans="1:14" x14ac:dyDescent="0.25">
      <c r="A11" s="1" t="s">
        <v>10</v>
      </c>
      <c r="B11" s="2">
        <f>hydro_pumped_storage!J5</f>
        <v>1369.5</v>
      </c>
      <c r="C11" t="str">
        <f>$C$1&amp;"_hydro-pumped"</f>
        <v>NOR_hydro-pumped</v>
      </c>
      <c r="D11" t="str">
        <f t="shared" si="0"/>
        <v>True</v>
      </c>
      <c r="E11" s="2"/>
      <c r="H11" s="7" t="str">
        <f t="shared" si="5"/>
        <v>unit_online_variable_type_integer</v>
      </c>
      <c r="I11" t="str">
        <f t="shared" si="2"/>
        <v>IntegerVariables</v>
      </c>
    </row>
    <row r="12" spans="1:14" x14ac:dyDescent="0.25">
      <c r="A12" s="1" t="s">
        <v>11</v>
      </c>
      <c r="B12" s="1">
        <v>5586</v>
      </c>
      <c r="C12" t="str">
        <f>$C$1&amp;"_hydro-ror"</f>
        <v>NOR_hydro-ror</v>
      </c>
      <c r="D12" t="str">
        <f t="shared" si="0"/>
        <v>True</v>
      </c>
      <c r="E12" s="2">
        <f t="shared" si="1"/>
        <v>34.695652173913047</v>
      </c>
      <c r="F12">
        <v>161</v>
      </c>
      <c r="G12" t="s">
        <v>31</v>
      </c>
      <c r="H12" s="7"/>
    </row>
    <row r="13" spans="1:14" x14ac:dyDescent="0.25">
      <c r="A13" s="1" t="s">
        <v>13</v>
      </c>
      <c r="B13" s="1">
        <v>0</v>
      </c>
      <c r="C13" t="str">
        <f>$C$1&amp;"_marine"</f>
        <v>NOR_marine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</row>
    <row r="14" spans="1:14" x14ac:dyDescent="0.25">
      <c r="A14" s="1" t="s">
        <v>14</v>
      </c>
      <c r="B14" s="1">
        <v>0</v>
      </c>
      <c r="C14" t="str">
        <f>$C$1&amp;"_nuclear"</f>
        <v>NOR_nuclear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5"/>
        <v/>
      </c>
      <c r="I14" t="str">
        <f t="shared" si="2"/>
        <v/>
      </c>
      <c r="J14" t="str">
        <f t="shared" ref="J14:J18" si="7">IF(H14="unit_online_variable_type_integer","30D","")</f>
        <v/>
      </c>
    </row>
    <row r="15" spans="1:14" x14ac:dyDescent="0.25">
      <c r="A15" s="1" t="s">
        <v>15</v>
      </c>
      <c r="B15" s="1">
        <v>0</v>
      </c>
      <c r="C15" t="str">
        <f>$C$1&amp;"_other"</f>
        <v>NOR_other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7"/>
        <v/>
      </c>
    </row>
    <row r="16" spans="1:14" x14ac:dyDescent="0.25">
      <c r="A16" s="1" t="s">
        <v>16</v>
      </c>
      <c r="B16" s="1">
        <v>0</v>
      </c>
      <c r="C16" t="str">
        <f>$C$1&amp;"_other-ren"</f>
        <v>NOR_other-ren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5"/>
        <v/>
      </c>
      <c r="I16" t="str">
        <f t="shared" si="2"/>
        <v/>
      </c>
    </row>
    <row r="17" spans="1:12" x14ac:dyDescent="0.25">
      <c r="A17" s="1" t="s">
        <v>17</v>
      </c>
      <c r="B17" s="1">
        <v>0</v>
      </c>
      <c r="C17" t="str">
        <f>$C$1&amp;"_solar"</f>
        <v>NOR_solar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/>
    </row>
    <row r="18" spans="1:12" x14ac:dyDescent="0.25">
      <c r="A18" s="1" t="s">
        <v>18</v>
      </c>
      <c r="B18" s="1">
        <v>0</v>
      </c>
      <c r="C18" t="str">
        <f>$C$1&amp;"_waste"</f>
        <v>NOR_waste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5"/>
        <v/>
      </c>
      <c r="I18" t="str">
        <f t="shared" si="2"/>
        <v/>
      </c>
      <c r="J18" t="str">
        <f t="shared" si="7"/>
        <v/>
      </c>
      <c r="K18" t="str">
        <f t="shared" ref="K18" si="8">IF(J18="",J18,"RollingFixDispatch")</f>
        <v/>
      </c>
    </row>
    <row r="19" spans="1:12" x14ac:dyDescent="0.25">
      <c r="A19" s="1" t="s">
        <v>19</v>
      </c>
      <c r="B19" s="1">
        <v>0</v>
      </c>
      <c r="C19" t="str">
        <f>$C$1&amp;"_wind-off"</f>
        <v>NOR_wind-off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2" x14ac:dyDescent="0.25">
      <c r="A20" s="1" t="s">
        <v>20</v>
      </c>
      <c r="B20" s="1">
        <v>1232</v>
      </c>
      <c r="C20" t="str">
        <f>$C$1&amp;"_wind-on"</f>
        <v>NOR_wind-on</v>
      </c>
      <c r="D20" t="str">
        <f t="shared" si="0"/>
        <v>True</v>
      </c>
      <c r="E20" s="2">
        <f t="shared" si="1"/>
        <v>1232</v>
      </c>
      <c r="F20">
        <v>1</v>
      </c>
      <c r="G20" t="s">
        <v>31</v>
      </c>
      <c r="H20" s="7"/>
    </row>
    <row r="21" spans="1:12" x14ac:dyDescent="0.25">
      <c r="A21" s="1" t="s">
        <v>12</v>
      </c>
      <c r="B21" s="1">
        <v>26313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289.15384615384613</v>
      </c>
      <c r="F21">
        <v>91</v>
      </c>
      <c r="G21" t="s">
        <v>31</v>
      </c>
      <c r="H21" s="7" t="str">
        <f t="shared" si="5"/>
        <v>unit_online_variable_type_integer</v>
      </c>
      <c r="I21" t="str">
        <f t="shared" si="2"/>
        <v>IntegerVariables</v>
      </c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35135.5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O24"/>
  <sheetViews>
    <sheetView workbookViewId="0">
      <selection activeCell="K4" sqref="K4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  <col min="12" max="12" width="29.140625" bestFit="1" customWidth="1"/>
  </cols>
  <sheetData>
    <row r="1" spans="1:15" x14ac:dyDescent="0.25">
      <c r="A1" s="1" t="s">
        <v>0</v>
      </c>
      <c r="B1" s="1" t="s">
        <v>71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72</v>
      </c>
      <c r="K1" s="1" t="s">
        <v>30</v>
      </c>
      <c r="L1" s="1" t="s">
        <v>73</v>
      </c>
      <c r="M1" s="1" t="s">
        <v>74</v>
      </c>
      <c r="N1" s="1" t="s">
        <v>75</v>
      </c>
    </row>
    <row r="2" spans="1:15" x14ac:dyDescent="0.25">
      <c r="A2" s="1" t="s">
        <v>1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IF(H2="unit_online_variable_type_integer","30D","")</f>
        <v/>
      </c>
      <c r="K2" t="str">
        <f>IF(J2="",J2,"RollingFixDispatch")</f>
        <v/>
      </c>
    </row>
    <row r="3" spans="1:15" x14ac:dyDescent="0.25">
      <c r="A3" s="1" t="s">
        <v>2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6" si="3">IF(H3="unit_online_variable_type_integer","30D","")</f>
        <v/>
      </c>
      <c r="K3" t="str">
        <f t="shared" ref="K3:K16" si="4">IF(J3="",J3,"RollingFixDispatch")</f>
        <v/>
      </c>
    </row>
    <row r="4" spans="1:15" x14ac:dyDescent="0.25">
      <c r="A4" s="1" t="s">
        <v>3</v>
      </c>
      <c r="B4" s="1">
        <v>0</v>
      </c>
      <c r="C4" t="str">
        <f>$C$1&amp;"_gas-coal-derived"</f>
        <v>SWE_gas-coal-derived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</row>
    <row r="5" spans="1:15" x14ac:dyDescent="0.25">
      <c r="A5" s="1" t="s">
        <v>4</v>
      </c>
      <c r="B5" s="1">
        <v>0</v>
      </c>
      <c r="C5" t="str">
        <f>$C$1&amp;"_gas"</f>
        <v>SWE_gas</v>
      </c>
      <c r="D5" t="str">
        <f t="shared" si="0"/>
        <v>False</v>
      </c>
      <c r="E5" s="2">
        <f t="shared" si="1"/>
        <v>0</v>
      </c>
      <c r="F5">
        <v>5</v>
      </c>
      <c r="G5" t="s">
        <v>31</v>
      </c>
      <c r="H5" s="7" t="str">
        <f t="shared" si="5"/>
        <v/>
      </c>
      <c r="I5" t="str">
        <f t="shared" si="2"/>
        <v/>
      </c>
    </row>
    <row r="6" spans="1:15" x14ac:dyDescent="0.25">
      <c r="A6" s="1" t="s">
        <v>5</v>
      </c>
      <c r="B6" s="1">
        <v>0</v>
      </c>
      <c r="C6" t="str">
        <f>$C$1&amp;"_hard-coal"</f>
        <v>SWE_hard-coal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5" x14ac:dyDescent="0.25">
      <c r="A7" s="1" t="s">
        <v>6</v>
      </c>
      <c r="B7" s="1">
        <v>0</v>
      </c>
      <c r="C7" t="str">
        <f>$C$1&amp;"_oil"</f>
        <v>SWE_oil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5"/>
        <v/>
      </c>
      <c r="I7" t="str">
        <f t="shared" si="2"/>
        <v/>
      </c>
    </row>
    <row r="8" spans="1:15" x14ac:dyDescent="0.25">
      <c r="A8" s="1" t="s">
        <v>7</v>
      </c>
      <c r="B8" s="1">
        <v>0</v>
      </c>
      <c r="C8" t="str">
        <f>$C$1&amp;"_oil-shale"</f>
        <v>SWE_oil-shale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</row>
    <row r="9" spans="1:15" x14ac:dyDescent="0.25">
      <c r="A9" s="1" t="s">
        <v>8</v>
      </c>
      <c r="B9" s="1">
        <v>0</v>
      </c>
      <c r="C9" t="str">
        <f>$C$1&amp;"_peat"</f>
        <v>SWE_peat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ref="J9:J10" si="6">IF(H9="unit_online_variable_type_integer","30D","")</f>
        <v/>
      </c>
      <c r="K9" t="str">
        <f t="shared" si="4"/>
        <v/>
      </c>
    </row>
    <row r="10" spans="1:15" x14ac:dyDescent="0.25">
      <c r="A10" s="1" t="s">
        <v>9</v>
      </c>
      <c r="B10" s="1">
        <v>8408</v>
      </c>
      <c r="C10" t="str">
        <f>$C$1&amp;"_geothermal"</f>
        <v>SWE_geothermal</v>
      </c>
      <c r="D10" t="str">
        <f t="shared" si="0"/>
        <v>True</v>
      </c>
      <c r="E10" s="2">
        <f t="shared" si="1"/>
        <v>8408</v>
      </c>
      <c r="F10">
        <v>1</v>
      </c>
      <c r="G10" t="s">
        <v>31</v>
      </c>
      <c r="H10" s="7" t="str">
        <f t="shared" si="5"/>
        <v>unit_online_variable_type_integer</v>
      </c>
      <c r="I10" t="str">
        <f t="shared" si="2"/>
        <v>IntegerVariables</v>
      </c>
      <c r="J10" t="str">
        <f t="shared" si="6"/>
        <v>30D</v>
      </c>
      <c r="K10" t="str">
        <f t="shared" si="4"/>
        <v>RollingFixDispatch</v>
      </c>
      <c r="L10" t="s">
        <v>78</v>
      </c>
      <c r="M10" t="s">
        <v>37</v>
      </c>
      <c r="O10" t="s">
        <v>76</v>
      </c>
    </row>
    <row r="11" spans="1:15" x14ac:dyDescent="0.25">
      <c r="A11" s="1" t="s">
        <v>10</v>
      </c>
      <c r="B11" s="1">
        <v>0</v>
      </c>
      <c r="C11" t="str">
        <f>$C$1&amp;"_hydro-pumped"</f>
        <v>SWE_hydro-pumped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</row>
    <row r="12" spans="1:15" x14ac:dyDescent="0.25">
      <c r="A12" s="1" t="s">
        <v>11</v>
      </c>
      <c r="B12" s="1">
        <v>0</v>
      </c>
      <c r="C12" t="str">
        <f>$C$1&amp;"_hydro-ror"</f>
        <v>SWE_hydro-ror</v>
      </c>
      <c r="D12" t="str">
        <f t="shared" si="0"/>
        <v>False</v>
      </c>
      <c r="E12" s="2">
        <f t="shared" si="1"/>
        <v>0</v>
      </c>
      <c r="F12">
        <v>1</v>
      </c>
      <c r="G12" t="s">
        <v>31</v>
      </c>
      <c r="H12" s="7" t="str">
        <f t="shared" si="5"/>
        <v/>
      </c>
      <c r="I12" t="str">
        <f t="shared" si="2"/>
        <v/>
      </c>
    </row>
    <row r="13" spans="1:15" x14ac:dyDescent="0.25">
      <c r="A13" s="1" t="s">
        <v>13</v>
      </c>
      <c r="B13" s="1">
        <v>0</v>
      </c>
      <c r="C13" t="str">
        <f>$C$1&amp;"_marine"</f>
        <v>SWE_marine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</row>
    <row r="14" spans="1:15" x14ac:dyDescent="0.25">
      <c r="A14" s="1" t="s">
        <v>14</v>
      </c>
      <c r="B14" s="1">
        <v>8603</v>
      </c>
      <c r="C14" t="str">
        <f>$C$1&amp;"_nuclear"</f>
        <v>SWE_nuclear</v>
      </c>
      <c r="D14" t="str">
        <f t="shared" si="0"/>
        <v>True</v>
      </c>
      <c r="E14" s="2">
        <f t="shared" si="1"/>
        <v>1433.8333333333333</v>
      </c>
      <c r="F14">
        <v>6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ref="J14:J18" si="7">IF(H14="unit_online_variable_type_integer","30D","")</f>
        <v>30D</v>
      </c>
      <c r="K14" t="str">
        <f t="shared" si="4"/>
        <v>RollingFixDispatch</v>
      </c>
      <c r="L14" t="s">
        <v>79</v>
      </c>
      <c r="M14" t="s">
        <v>37</v>
      </c>
      <c r="O14" t="s">
        <v>76</v>
      </c>
    </row>
    <row r="15" spans="1:15" x14ac:dyDescent="0.25">
      <c r="A15" s="1" t="s">
        <v>15</v>
      </c>
      <c r="B15" s="1">
        <v>0</v>
      </c>
      <c r="C15" t="str">
        <f>$C$1&amp;"_other"</f>
        <v>SWE_other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7"/>
        <v/>
      </c>
      <c r="K15" t="str">
        <f t="shared" si="4"/>
        <v/>
      </c>
    </row>
    <row r="16" spans="1:15" x14ac:dyDescent="0.25">
      <c r="A16" s="1" t="s">
        <v>16</v>
      </c>
      <c r="B16" s="1">
        <v>0</v>
      </c>
      <c r="C16" t="str">
        <f>$C$1&amp;"_other-ren"</f>
        <v>SWE_other-ren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5"/>
        <v/>
      </c>
      <c r="I16" t="str">
        <f t="shared" si="2"/>
        <v/>
      </c>
    </row>
    <row r="17" spans="1:11" x14ac:dyDescent="0.25">
      <c r="A17" s="1" t="s">
        <v>17</v>
      </c>
      <c r="B17" s="1">
        <v>255</v>
      </c>
      <c r="C17" t="str">
        <f>$C$1&amp;"_solar"</f>
        <v>SWE_solar</v>
      </c>
      <c r="D17" t="str">
        <f t="shared" si="0"/>
        <v>True</v>
      </c>
      <c r="E17" s="2">
        <f t="shared" si="1"/>
        <v>255</v>
      </c>
      <c r="F17">
        <v>1</v>
      </c>
      <c r="G17" t="s">
        <v>31</v>
      </c>
      <c r="H17" s="7"/>
    </row>
    <row r="18" spans="1:11" x14ac:dyDescent="0.25">
      <c r="A18" s="1" t="s">
        <v>18</v>
      </c>
      <c r="B18" s="1">
        <v>0</v>
      </c>
      <c r="C18" t="str">
        <f>$C$1&amp;"_waste"</f>
        <v>SWE_waste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5"/>
        <v/>
      </c>
      <c r="I18" t="str">
        <f t="shared" si="2"/>
        <v/>
      </c>
      <c r="J18" t="str">
        <f t="shared" si="7"/>
        <v/>
      </c>
      <c r="K18" t="str">
        <f t="shared" ref="K18" si="8">IF(J18="",J18,"RollingFixDispatch")</f>
        <v/>
      </c>
    </row>
    <row r="19" spans="1:11" x14ac:dyDescent="0.25">
      <c r="A19" s="1" t="s">
        <v>19</v>
      </c>
      <c r="B19" s="1">
        <v>0</v>
      </c>
      <c r="C19" t="str">
        <f>$C$1&amp;"_wind-off"</f>
        <v>SWE_wind-off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1" x14ac:dyDescent="0.25">
      <c r="A20" s="1" t="s">
        <v>20</v>
      </c>
      <c r="B20" s="1">
        <v>6247</v>
      </c>
      <c r="C20" t="str">
        <f>$C$1&amp;"_wind-on"</f>
        <v>SWE_wind-on</v>
      </c>
      <c r="D20" t="str">
        <f t="shared" si="0"/>
        <v>True</v>
      </c>
      <c r="E20" s="2">
        <f t="shared" si="1"/>
        <v>6247</v>
      </c>
      <c r="F20">
        <v>1</v>
      </c>
      <c r="G20" t="s">
        <v>31</v>
      </c>
      <c r="H20" s="7"/>
    </row>
    <row r="21" spans="1:11" x14ac:dyDescent="0.25">
      <c r="A21" s="1" t="s">
        <v>12</v>
      </c>
      <c r="B21">
        <v>15949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455.68571428571431</v>
      </c>
      <c r="F21">
        <v>35</v>
      </c>
      <c r="G21" t="s">
        <v>31</v>
      </c>
      <c r="H21" s="7" t="str">
        <f t="shared" si="5"/>
        <v>unit_online_variable_type_integer</v>
      </c>
      <c r="I21" t="str">
        <f t="shared" si="2"/>
        <v>IntegerVariables</v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39462</v>
      </c>
      <c r="C23" s="1"/>
      <c r="D23" s="1"/>
      <c r="E23" s="1"/>
    </row>
    <row r="24" spans="1:11" x14ac:dyDescent="0.25">
      <c r="A24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O24"/>
  <sheetViews>
    <sheetView topLeftCell="B1" workbookViewId="0">
      <selection activeCell="K4" sqref="K4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  <col min="12" max="12" width="25" bestFit="1" customWidth="1"/>
  </cols>
  <sheetData>
    <row r="1" spans="1:15" x14ac:dyDescent="0.25">
      <c r="A1" s="1" t="s">
        <v>0</v>
      </c>
      <c r="B1" s="1" t="s">
        <v>71</v>
      </c>
      <c r="C1" s="1" t="s">
        <v>23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72</v>
      </c>
      <c r="K1" s="1" t="s">
        <v>30</v>
      </c>
      <c r="L1" s="1" t="s">
        <v>73</v>
      </c>
      <c r="M1" s="1" t="s">
        <v>74</v>
      </c>
      <c r="N1" s="1" t="s">
        <v>75</v>
      </c>
    </row>
    <row r="2" spans="1:15" x14ac:dyDescent="0.25">
      <c r="A2" s="1" t="s">
        <v>1</v>
      </c>
      <c r="B2" s="1">
        <v>1696</v>
      </c>
      <c r="C2" t="str">
        <f>$C$1&amp;"_biomass"</f>
        <v>DEN_biomass</v>
      </c>
      <c r="D2" t="str">
        <f>IF(B2&gt;0,"True","False")</f>
        <v>True</v>
      </c>
      <c r="E2" s="2">
        <f>B2/F2</f>
        <v>424</v>
      </c>
      <c r="F2">
        <v>4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IF(J2="",J2,"RollingFixDispatch")</f>
        <v>RollingFixDispatch</v>
      </c>
      <c r="L2" t="s">
        <v>78</v>
      </c>
      <c r="M2" t="s">
        <v>37</v>
      </c>
      <c r="O2" t="s">
        <v>76</v>
      </c>
    </row>
    <row r="3" spans="1:15" x14ac:dyDescent="0.25">
      <c r="A3" s="1" t="s">
        <v>2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6" si="3">IF(H3="unit_online_variable_type_integer","30D","")</f>
        <v/>
      </c>
      <c r="K3" t="str">
        <f t="shared" ref="K3:K16" si="4">IF(J3="",J3,"RollingFixDispatch")</f>
        <v/>
      </c>
    </row>
    <row r="4" spans="1:15" x14ac:dyDescent="0.25">
      <c r="A4" s="1" t="s">
        <v>3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</row>
    <row r="5" spans="1:15" x14ac:dyDescent="0.25">
      <c r="A5" s="1" t="s">
        <v>4</v>
      </c>
      <c r="B5" s="1">
        <v>1826</v>
      </c>
      <c r="C5" t="str">
        <f>$C$1&amp;"_gas"</f>
        <v>DEN_gas</v>
      </c>
      <c r="D5" t="str">
        <f t="shared" si="0"/>
        <v>True</v>
      </c>
      <c r="E5" s="2">
        <f t="shared" si="1"/>
        <v>140.46153846153845</v>
      </c>
      <c r="F5">
        <v>13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</row>
    <row r="6" spans="1:15" x14ac:dyDescent="0.25">
      <c r="A6" s="1" t="s">
        <v>5</v>
      </c>
      <c r="B6" s="1">
        <v>3656</v>
      </c>
      <c r="C6" t="str">
        <f>$C$1&amp;"_hard-coal"</f>
        <v>DEN_hard-coal</v>
      </c>
      <c r="D6" t="str">
        <f t="shared" si="0"/>
        <v>True</v>
      </c>
      <c r="E6" s="2">
        <f t="shared" si="1"/>
        <v>609.33333333333337</v>
      </c>
      <c r="F6">
        <v>6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30D</v>
      </c>
      <c r="K6" t="str">
        <f t="shared" si="4"/>
        <v>RollingFixDispatch</v>
      </c>
      <c r="L6" t="s">
        <v>78</v>
      </c>
      <c r="M6" t="s">
        <v>37</v>
      </c>
      <c r="O6" t="s">
        <v>76</v>
      </c>
    </row>
    <row r="7" spans="1:15" x14ac:dyDescent="0.25">
      <c r="A7" s="1" t="s">
        <v>6</v>
      </c>
      <c r="B7" s="1">
        <v>1007</v>
      </c>
      <c r="C7" t="str">
        <f>$C$1&amp;"_oil"</f>
        <v>DEN_oil</v>
      </c>
      <c r="D7" t="str">
        <f t="shared" si="0"/>
        <v>True</v>
      </c>
      <c r="E7" s="2">
        <f t="shared" si="1"/>
        <v>335.66666666666669</v>
      </c>
      <c r="F7">
        <v>3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</row>
    <row r="8" spans="1:15" x14ac:dyDescent="0.25">
      <c r="A8" s="1" t="s">
        <v>7</v>
      </c>
      <c r="B8" s="1">
        <v>0</v>
      </c>
      <c r="C8" t="str">
        <f>$C$1&amp;"_oil-shale"</f>
        <v>DEN_oil-shale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</row>
    <row r="9" spans="1:15" x14ac:dyDescent="0.25">
      <c r="A9" s="1" t="s">
        <v>8</v>
      </c>
      <c r="B9" s="1">
        <v>0</v>
      </c>
      <c r="C9" t="str">
        <f>$C$1&amp;"_peat"</f>
        <v>DEN_peat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ref="J9:J10" si="6">IF(H9="unit_online_variable_type_integer","30D","")</f>
        <v/>
      </c>
      <c r="K9" t="str">
        <f t="shared" si="4"/>
        <v/>
      </c>
    </row>
    <row r="10" spans="1:15" x14ac:dyDescent="0.25">
      <c r="A10" s="1" t="s">
        <v>9</v>
      </c>
      <c r="B10" s="1">
        <v>0</v>
      </c>
      <c r="C10" t="str">
        <f>$C$1&amp;"_geothermal"</f>
        <v>DEN_geothermal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6"/>
        <v/>
      </c>
      <c r="K10" t="str">
        <f t="shared" si="4"/>
        <v/>
      </c>
    </row>
    <row r="11" spans="1:15" x14ac:dyDescent="0.25">
      <c r="A11" s="1" t="s">
        <v>10</v>
      </c>
      <c r="B11" s="1">
        <v>0</v>
      </c>
      <c r="C11" t="str">
        <f>$C$1&amp;"_hydro-pumped"</f>
        <v>DEN_hydro-pumped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</row>
    <row r="12" spans="1:15" x14ac:dyDescent="0.25">
      <c r="A12" s="1" t="s">
        <v>11</v>
      </c>
      <c r="B12" s="1">
        <v>6</v>
      </c>
      <c r="C12" t="str">
        <f>$C$1&amp;"_hydro-ror"</f>
        <v>DEN_hydro-ror</v>
      </c>
      <c r="D12" t="str">
        <f t="shared" si="0"/>
        <v>True</v>
      </c>
      <c r="E12" s="2">
        <f t="shared" si="1"/>
        <v>3</v>
      </c>
      <c r="F12">
        <v>2</v>
      </c>
      <c r="G12" t="s">
        <v>31</v>
      </c>
      <c r="H12" s="7"/>
    </row>
    <row r="13" spans="1:15" x14ac:dyDescent="0.25">
      <c r="A13" s="1" t="s">
        <v>13</v>
      </c>
      <c r="B13" s="1">
        <v>0</v>
      </c>
      <c r="C13" t="str">
        <f>$C$1&amp;"_marine"</f>
        <v>DEN_marine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</row>
    <row r="14" spans="1:15" x14ac:dyDescent="0.25">
      <c r="A14" s="1" t="s">
        <v>14</v>
      </c>
      <c r="B14" s="1">
        <v>0</v>
      </c>
      <c r="C14" t="str">
        <f>$C$1&amp;"_nuclear"</f>
        <v>DEN_nuclear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5"/>
        <v/>
      </c>
      <c r="I14" t="str">
        <f t="shared" si="2"/>
        <v/>
      </c>
      <c r="J14" t="str">
        <f t="shared" ref="J14:J18" si="7">IF(H14="unit_online_variable_type_integer","30D","")</f>
        <v/>
      </c>
    </row>
    <row r="15" spans="1:15" x14ac:dyDescent="0.25">
      <c r="A15" s="1" t="s">
        <v>15</v>
      </c>
      <c r="B15" s="1">
        <v>0</v>
      </c>
      <c r="C15" t="str">
        <f>$C$1&amp;"_other"</f>
        <v>DEN_other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7"/>
        <v/>
      </c>
    </row>
    <row r="16" spans="1:15" x14ac:dyDescent="0.25">
      <c r="A16" s="1" t="s">
        <v>16</v>
      </c>
      <c r="B16" s="1">
        <v>146</v>
      </c>
      <c r="C16" t="str">
        <f>$C$1&amp;"_other-ren"</f>
        <v>DEN_other-ren</v>
      </c>
      <c r="D16" t="str">
        <f t="shared" si="0"/>
        <v>True</v>
      </c>
      <c r="E16" s="2">
        <f t="shared" si="1"/>
        <v>146</v>
      </c>
      <c r="F16">
        <v>1</v>
      </c>
      <c r="G16" t="s">
        <v>31</v>
      </c>
      <c r="H16" s="7"/>
    </row>
    <row r="17" spans="1:15" x14ac:dyDescent="0.25">
      <c r="A17" s="1" t="s">
        <v>17</v>
      </c>
      <c r="B17" s="1">
        <v>1002</v>
      </c>
      <c r="C17" t="str">
        <f>$C$1&amp;"_solar"</f>
        <v>DEN_solar</v>
      </c>
      <c r="D17" t="str">
        <f t="shared" si="0"/>
        <v>True</v>
      </c>
      <c r="E17" s="2">
        <f t="shared" si="1"/>
        <v>1002</v>
      </c>
      <c r="F17">
        <v>1</v>
      </c>
      <c r="G17" t="s">
        <v>31</v>
      </c>
      <c r="H17" s="7"/>
    </row>
    <row r="18" spans="1:15" x14ac:dyDescent="0.25">
      <c r="A18" s="1" t="s">
        <v>18</v>
      </c>
      <c r="B18" s="1">
        <v>384</v>
      </c>
      <c r="C18" t="str">
        <f>$C$1&amp;"_waste"</f>
        <v>DEN_waste</v>
      </c>
      <c r="D18" t="str">
        <f t="shared" si="0"/>
        <v>True</v>
      </c>
      <c r="E18" s="2">
        <f t="shared" si="1"/>
        <v>54.857142857142854</v>
      </c>
      <c r="F18">
        <v>7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si="7"/>
        <v>30D</v>
      </c>
      <c r="K18" t="str">
        <f t="shared" ref="K18" si="8">IF(J18="",J18,"RollingFixDispatch")</f>
        <v>RollingFixDispatch</v>
      </c>
      <c r="L18" t="s">
        <v>78</v>
      </c>
      <c r="M18" t="s">
        <v>37</v>
      </c>
      <c r="O18" t="s">
        <v>76</v>
      </c>
    </row>
    <row r="19" spans="1:15" x14ac:dyDescent="0.25">
      <c r="A19" s="1" t="s">
        <v>19</v>
      </c>
      <c r="B19" s="1">
        <v>1700</v>
      </c>
      <c r="C19" t="str">
        <f>$C$1&amp;"_wind-off"</f>
        <v>DEN_wind-off</v>
      </c>
      <c r="D19" t="str">
        <f t="shared" si="0"/>
        <v>True</v>
      </c>
      <c r="E19" s="2">
        <f t="shared" si="1"/>
        <v>1700</v>
      </c>
      <c r="F19">
        <v>1</v>
      </c>
      <c r="G19" t="s">
        <v>31</v>
      </c>
      <c r="H19" s="7"/>
    </row>
    <row r="20" spans="1:15" x14ac:dyDescent="0.25">
      <c r="A20" s="1" t="s">
        <v>20</v>
      </c>
      <c r="B20" s="1">
        <v>4423</v>
      </c>
      <c r="C20" t="str">
        <f>$C$1&amp;"_wind-on"</f>
        <v>DEN_wind-on</v>
      </c>
      <c r="D20" t="str">
        <f t="shared" si="0"/>
        <v>True</v>
      </c>
      <c r="E20" s="2">
        <f t="shared" si="1"/>
        <v>4423</v>
      </c>
      <c r="F20">
        <v>1</v>
      </c>
      <c r="G20" t="s">
        <v>31</v>
      </c>
      <c r="H20" s="7"/>
    </row>
    <row r="21" spans="1:15" x14ac:dyDescent="0.25">
      <c r="A21" s="1" t="s">
        <v>12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ref="H21" si="9">IF(D21,"unit_online_variable_type_integer","")</f>
        <v/>
      </c>
      <c r="I21" t="str">
        <f t="shared" ref="I21" si="10">IF(H21="",H21,"IntegerVariables")</f>
        <v/>
      </c>
    </row>
    <row r="22" spans="1:15" x14ac:dyDescent="0.25">
      <c r="A22" s="1"/>
      <c r="B22" s="1"/>
      <c r="C22" s="1"/>
      <c r="D22" s="1"/>
      <c r="E22" s="1"/>
    </row>
    <row r="23" spans="1:15" x14ac:dyDescent="0.25">
      <c r="A23" s="1" t="s">
        <v>21</v>
      </c>
      <c r="B23" s="1">
        <f>SUM(B2:B21)</f>
        <v>15846</v>
      </c>
      <c r="C23" s="1"/>
      <c r="D23" s="1"/>
      <c r="E23" s="1"/>
    </row>
    <row r="24" spans="1:15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O23"/>
  <sheetViews>
    <sheetView workbookViewId="0">
      <selection activeCell="J4" sqref="J4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  <col min="12" max="12" width="25" bestFit="1" customWidth="1"/>
  </cols>
  <sheetData>
    <row r="1" spans="1:15" x14ac:dyDescent="0.25">
      <c r="A1" t="s">
        <v>0</v>
      </c>
      <c r="B1" s="1" t="s">
        <v>71</v>
      </c>
      <c r="C1" s="1" t="s">
        <v>22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72</v>
      </c>
      <c r="K1" s="1" t="s">
        <v>30</v>
      </c>
      <c r="L1" s="1" t="s">
        <v>73</v>
      </c>
      <c r="M1" s="1" t="s">
        <v>74</v>
      </c>
      <c r="N1" s="1" t="s">
        <v>75</v>
      </c>
    </row>
    <row r="2" spans="1:15" x14ac:dyDescent="0.25">
      <c r="A2" t="s">
        <v>1</v>
      </c>
      <c r="B2">
        <f>Lithuania!B2+Latvia!B2+Estonia!B2</f>
        <v>309</v>
      </c>
      <c r="C2" t="str">
        <f>$C$1&amp;"_biomass"</f>
        <v>BAL_biomass</v>
      </c>
      <c r="D2" t="str">
        <f>IF(B2&gt;0,"True","False")</f>
        <v>True</v>
      </c>
      <c r="E2" s="2">
        <f>B2/F2</f>
        <v>51.5</v>
      </c>
      <c r="F2">
        <v>6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IF(J2="",J2,"RollingFixDispatch")</f>
        <v>RollingFixDispatch</v>
      </c>
      <c r="L2" t="s">
        <v>78</v>
      </c>
      <c r="M2" t="s">
        <v>37</v>
      </c>
      <c r="O2" t="s">
        <v>76</v>
      </c>
    </row>
    <row r="3" spans="1:15" x14ac:dyDescent="0.25">
      <c r="A3" t="s">
        <v>2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6" si="3">IF(H3="unit_online_variable_type_integer","30D","")</f>
        <v/>
      </c>
      <c r="K3" t="str">
        <f t="shared" ref="K3:K16" si="4">IF(J3="",J3,"RollingFixDispatch")</f>
        <v/>
      </c>
    </row>
    <row r="4" spans="1:15" x14ac:dyDescent="0.25">
      <c r="A4" t="s">
        <v>3</v>
      </c>
      <c r="B4">
        <f>Lithuania!B4+Latvia!B4+Estonia!B4</f>
        <v>85</v>
      </c>
      <c r="C4" t="str">
        <f>$C$1&amp;"_gas-coal-derived"</f>
        <v>BAL_gas-coal-derived</v>
      </c>
      <c r="D4" t="str">
        <f t="shared" si="0"/>
        <v>True</v>
      </c>
      <c r="E4" s="2">
        <f t="shared" si="1"/>
        <v>85</v>
      </c>
      <c r="F4">
        <v>1</v>
      </c>
      <c r="G4" t="s">
        <v>31</v>
      </c>
      <c r="H4" s="7" t="str">
        <f t="shared" ref="H4:H8" si="5">IF(D4,"unit_online_variable_type_integer","")</f>
        <v>unit_online_variable_type_integer</v>
      </c>
      <c r="I4" t="str">
        <f t="shared" si="2"/>
        <v>IntegerVariables</v>
      </c>
    </row>
    <row r="5" spans="1:15" x14ac:dyDescent="0.25">
      <c r="A5" t="s">
        <v>4</v>
      </c>
      <c r="B5">
        <f>Lithuania!B5+Latvia!B5+Estonia!B5</f>
        <v>3116</v>
      </c>
      <c r="C5" t="str">
        <f>$C$1&amp;"_gas"</f>
        <v>BAL_gas</v>
      </c>
      <c r="D5" t="str">
        <f t="shared" si="0"/>
        <v>True</v>
      </c>
      <c r="E5" s="2">
        <f t="shared" si="1"/>
        <v>311.60000000000002</v>
      </c>
      <c r="F5">
        <v>10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</row>
    <row r="6" spans="1:15" x14ac:dyDescent="0.25">
      <c r="A6" t="s">
        <v>5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5" x14ac:dyDescent="0.25">
      <c r="A7" t="s">
        <v>6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  <c r="E7" s="2">
        <f t="shared" si="1"/>
        <v>8</v>
      </c>
      <c r="F7">
        <v>1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</row>
    <row r="8" spans="1:15" x14ac:dyDescent="0.25">
      <c r="A8" t="s">
        <v>7</v>
      </c>
      <c r="B8">
        <f>Lithuania!B8+Latvia!B8+Estonia!B8</f>
        <v>1976</v>
      </c>
      <c r="C8" t="str">
        <f>$C$1&amp;"_oil-shale"</f>
        <v>BAL_oil-shale</v>
      </c>
      <c r="D8" t="str">
        <f t="shared" si="0"/>
        <v>True</v>
      </c>
      <c r="E8" s="2">
        <f t="shared" si="1"/>
        <v>658.66666666666663</v>
      </c>
      <c r="F8">
        <v>3</v>
      </c>
      <c r="G8" t="s">
        <v>31</v>
      </c>
      <c r="H8" s="7" t="str">
        <f t="shared" si="5"/>
        <v>unit_online_variable_type_integer</v>
      </c>
      <c r="I8" t="str">
        <f t="shared" si="2"/>
        <v>IntegerVariables</v>
      </c>
    </row>
    <row r="9" spans="1:15" x14ac:dyDescent="0.25">
      <c r="A9" t="s">
        <v>8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ref="H9:H21" si="6">IF(D9,"unit_online_variable_type_integer","")</f>
        <v/>
      </c>
      <c r="I9" t="str">
        <f t="shared" si="2"/>
        <v/>
      </c>
      <c r="J9" t="str">
        <f t="shared" ref="J9:J10" si="7">IF(H9="unit_online_variable_type_integer","30D","")</f>
        <v/>
      </c>
      <c r="K9" t="str">
        <f t="shared" si="4"/>
        <v/>
      </c>
    </row>
    <row r="10" spans="1:15" x14ac:dyDescent="0.25">
      <c r="A10" t="s">
        <v>9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6"/>
        <v/>
      </c>
      <c r="I10" t="str">
        <f t="shared" si="2"/>
        <v/>
      </c>
      <c r="J10" t="str">
        <f t="shared" si="7"/>
        <v/>
      </c>
      <c r="K10" t="str">
        <f t="shared" si="4"/>
        <v/>
      </c>
    </row>
    <row r="11" spans="1:15" x14ac:dyDescent="0.25">
      <c r="A11" t="s">
        <v>10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  <c r="E11" s="2">
        <f t="shared" si="1"/>
        <v>225</v>
      </c>
      <c r="F11">
        <v>4</v>
      </c>
      <c r="G11" t="s">
        <v>31</v>
      </c>
      <c r="H11" s="7" t="str">
        <f t="shared" si="6"/>
        <v>unit_online_variable_type_integer</v>
      </c>
      <c r="I11" t="str">
        <f t="shared" si="2"/>
        <v>IntegerVariables</v>
      </c>
    </row>
    <row r="12" spans="1:15" x14ac:dyDescent="0.25">
      <c r="A12" t="s">
        <v>11</v>
      </c>
      <c r="B12">
        <f>Lithuania!B12+Latvia!B12+Estonia!B12</f>
        <v>1675</v>
      </c>
      <c r="C12" t="str">
        <f>$C$1&amp;"_hydro-ror"</f>
        <v>BAL_hydro-ror</v>
      </c>
      <c r="D12" t="str">
        <f t="shared" si="0"/>
        <v>True</v>
      </c>
      <c r="E12" s="2">
        <f t="shared" si="1"/>
        <v>335</v>
      </c>
      <c r="F12">
        <v>5</v>
      </c>
      <c r="G12" t="s">
        <v>31</v>
      </c>
      <c r="H12" s="7"/>
    </row>
    <row r="13" spans="1:15" x14ac:dyDescent="0.25">
      <c r="A13" t="s">
        <v>13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6"/>
        <v/>
      </c>
      <c r="I13" t="str">
        <f t="shared" si="2"/>
        <v/>
      </c>
    </row>
    <row r="14" spans="1:15" x14ac:dyDescent="0.25">
      <c r="A14" t="s">
        <v>14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6"/>
        <v/>
      </c>
      <c r="I14" t="str">
        <f t="shared" si="2"/>
        <v/>
      </c>
      <c r="J14" t="str">
        <f t="shared" ref="J14:J18" si="8">IF(H14="unit_online_variable_type_integer","30D","")</f>
        <v/>
      </c>
      <c r="K14" t="str">
        <f t="shared" si="4"/>
        <v/>
      </c>
    </row>
    <row r="15" spans="1:15" x14ac:dyDescent="0.25">
      <c r="A15" t="s">
        <v>15</v>
      </c>
      <c r="B15">
        <f>Lithuania!B16+Latvia!B16+Estonia!B16</f>
        <v>37</v>
      </c>
      <c r="C15" t="str">
        <f>$C$1&amp;"_other"</f>
        <v>BAL_other</v>
      </c>
      <c r="D15" t="str">
        <f t="shared" si="0"/>
        <v>True</v>
      </c>
      <c r="E15" s="2">
        <f t="shared" si="1"/>
        <v>18.5</v>
      </c>
      <c r="F15">
        <v>2</v>
      </c>
      <c r="G15" t="s">
        <v>31</v>
      </c>
      <c r="H15" s="7" t="str">
        <f t="shared" si="6"/>
        <v>unit_online_variable_type_integer</v>
      </c>
      <c r="I15" t="str">
        <f t="shared" si="2"/>
        <v>IntegerVariables</v>
      </c>
      <c r="J15" t="str">
        <f t="shared" si="8"/>
        <v>30D</v>
      </c>
      <c r="K15" t="str">
        <f t="shared" si="4"/>
        <v>RollingFixDispatch</v>
      </c>
      <c r="L15" t="s">
        <v>78</v>
      </c>
      <c r="M15" t="s">
        <v>37</v>
      </c>
      <c r="O15" t="s">
        <v>76</v>
      </c>
    </row>
    <row r="16" spans="1:15" x14ac:dyDescent="0.25">
      <c r="A16" t="s">
        <v>16</v>
      </c>
      <c r="B16">
        <f>Lithuania!B17+Latvia!B17+Estonia!B17</f>
        <v>5</v>
      </c>
      <c r="C16" t="str">
        <f>$C$1&amp;"_other-ren"</f>
        <v>BAL_other-ren</v>
      </c>
      <c r="D16" t="str">
        <f t="shared" si="0"/>
        <v>True</v>
      </c>
      <c r="E16" s="2">
        <f t="shared" si="1"/>
        <v>5</v>
      </c>
      <c r="F16">
        <v>1</v>
      </c>
      <c r="G16" t="s">
        <v>31</v>
      </c>
      <c r="H16" s="7"/>
    </row>
    <row r="17" spans="1:15" x14ac:dyDescent="0.25">
      <c r="A17" t="s">
        <v>17</v>
      </c>
      <c r="B17">
        <f>Lithuania!B18+Latvia!B18+Estonia!B18</f>
        <v>83</v>
      </c>
      <c r="C17" t="str">
        <f>$C$1&amp;"_solar"</f>
        <v>BAL_solar</v>
      </c>
      <c r="D17" t="str">
        <f t="shared" si="0"/>
        <v>True</v>
      </c>
      <c r="E17" s="2">
        <f t="shared" si="1"/>
        <v>83</v>
      </c>
      <c r="F17">
        <v>1</v>
      </c>
      <c r="G17" t="s">
        <v>31</v>
      </c>
      <c r="H17" s="7"/>
    </row>
    <row r="18" spans="1:15" x14ac:dyDescent="0.25">
      <c r="A18" t="s">
        <v>18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  <c r="E18" s="2">
        <f t="shared" si="1"/>
        <v>13.666666666666666</v>
      </c>
      <c r="F18">
        <v>3</v>
      </c>
      <c r="G18" t="s">
        <v>31</v>
      </c>
      <c r="H18" s="7" t="str">
        <f t="shared" si="6"/>
        <v>unit_online_variable_type_integer</v>
      </c>
      <c r="I18" t="str">
        <f t="shared" si="2"/>
        <v>IntegerVariables</v>
      </c>
      <c r="J18" t="str">
        <f t="shared" si="8"/>
        <v>30D</v>
      </c>
      <c r="K18" t="str">
        <f t="shared" ref="K18" si="9">IF(J18="",J18,"RollingFixDispatch")</f>
        <v>RollingFixDispatch</v>
      </c>
      <c r="L18" t="s">
        <v>78</v>
      </c>
      <c r="M18" t="s">
        <v>37</v>
      </c>
      <c r="O18" t="s">
        <v>76</v>
      </c>
    </row>
    <row r="19" spans="1:15" x14ac:dyDescent="0.25">
      <c r="A19" t="s">
        <v>19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5" x14ac:dyDescent="0.25">
      <c r="A20" t="s">
        <v>20</v>
      </c>
      <c r="B20">
        <f>Lithuania!B21+Latvia!B21+Estonia!B21</f>
        <v>1049</v>
      </c>
      <c r="C20" t="str">
        <f>$C$1&amp;"_wind-on"</f>
        <v>BAL_wind-on</v>
      </c>
      <c r="D20" t="str">
        <f t="shared" si="0"/>
        <v>True</v>
      </c>
      <c r="E20" s="2">
        <f t="shared" si="1"/>
        <v>1049</v>
      </c>
      <c r="F20">
        <v>1</v>
      </c>
      <c r="G20" t="s">
        <v>31</v>
      </c>
      <c r="H20" s="7"/>
    </row>
    <row r="21" spans="1:15" x14ac:dyDescent="0.25">
      <c r="A21" s="1" t="s">
        <v>12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ref="H21" si="10">IF(D21,"unit_online_variable_type_integer","")</f>
        <v/>
      </c>
      <c r="I21" t="str">
        <f t="shared" ref="I21" si="11">IF(H21="",H21,"IntegerVariables")</f>
        <v/>
      </c>
    </row>
    <row r="22" spans="1:15" x14ac:dyDescent="0.25">
      <c r="A22" s="1"/>
      <c r="B22" s="1"/>
      <c r="C22" s="1"/>
      <c r="D22" s="1"/>
      <c r="E22" s="1"/>
    </row>
    <row r="23" spans="1:15" x14ac:dyDescent="0.25">
      <c r="A23" s="1" t="s">
        <v>21</v>
      </c>
      <c r="B23" s="1">
        <f>SUM(B2:B21)</f>
        <v>9284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B1" sqref="B1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71</v>
      </c>
    </row>
    <row r="2" spans="1:2" x14ac:dyDescent="0.25">
      <c r="A2" s="1" t="s">
        <v>1</v>
      </c>
      <c r="B2" s="1">
        <v>102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1873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900</v>
      </c>
    </row>
    <row r="12" spans="1:2" x14ac:dyDescent="0.25">
      <c r="A12" s="1" t="s">
        <v>11</v>
      </c>
      <c r="B12" s="1">
        <v>128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37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82</v>
      </c>
    </row>
    <row r="19" spans="1:2" x14ac:dyDescent="0.25">
      <c r="A19" s="1" t="s">
        <v>18</v>
      </c>
      <c r="B19" s="1">
        <v>22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509</v>
      </c>
    </row>
    <row r="22" spans="1:2" x14ac:dyDescent="0.25">
      <c r="A22" s="1" t="s">
        <v>21</v>
      </c>
      <c r="B22" s="1">
        <f>SUBTOTAL(109,B2:B21)</f>
        <v>3653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19" sqref="B1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71</v>
      </c>
    </row>
    <row r="2" spans="1:2" x14ac:dyDescent="0.25">
      <c r="A2" s="1" t="s">
        <v>1</v>
      </c>
      <c r="B2" s="1">
        <v>105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1124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0</v>
      </c>
    </row>
    <row r="12" spans="1:2" x14ac:dyDescent="0.25">
      <c r="A12" s="1" t="s">
        <v>11</v>
      </c>
      <c r="B12" s="1">
        <v>1539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0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0</v>
      </c>
    </row>
    <row r="19" spans="1:2" x14ac:dyDescent="0.25">
      <c r="A19" s="1" t="s">
        <v>18</v>
      </c>
      <c r="B19" s="1">
        <v>0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53</v>
      </c>
    </row>
    <row r="22" spans="1:2" x14ac:dyDescent="0.25">
      <c r="A22" s="1" t="s">
        <v>21</v>
      </c>
      <c r="B22" s="1">
        <f>SUBTOTAL(109,B2:B21)</f>
        <v>2821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activeCell="F7" sqref="F7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s="1" t="s">
        <v>0</v>
      </c>
      <c r="B1" s="1" t="s">
        <v>71</v>
      </c>
    </row>
    <row r="2" spans="1:2" x14ac:dyDescent="0.25">
      <c r="A2" s="1" t="s">
        <v>1</v>
      </c>
      <c r="B2">
        <v>102</v>
      </c>
    </row>
    <row r="3" spans="1:2" x14ac:dyDescent="0.25">
      <c r="A3" s="1" t="s">
        <v>2</v>
      </c>
      <c r="B3">
        <v>0</v>
      </c>
    </row>
    <row r="4" spans="1:2" x14ac:dyDescent="0.25">
      <c r="A4" s="1" t="s">
        <v>3</v>
      </c>
      <c r="B4">
        <v>85</v>
      </c>
    </row>
    <row r="5" spans="1:2" x14ac:dyDescent="0.25">
      <c r="A5" s="1" t="s">
        <v>4</v>
      </c>
      <c r="B5">
        <v>119</v>
      </c>
    </row>
    <row r="6" spans="1:2" x14ac:dyDescent="0.25">
      <c r="A6" s="1" t="s">
        <v>5</v>
      </c>
      <c r="B6">
        <v>0</v>
      </c>
    </row>
    <row r="7" spans="1:2" x14ac:dyDescent="0.25">
      <c r="A7" s="1" t="s">
        <v>6</v>
      </c>
      <c r="B7">
        <v>8</v>
      </c>
    </row>
    <row r="8" spans="1:2" x14ac:dyDescent="0.25">
      <c r="A8" s="1" t="s">
        <v>7</v>
      </c>
      <c r="B8">
        <v>1976</v>
      </c>
    </row>
    <row r="9" spans="1:2" x14ac:dyDescent="0.25">
      <c r="A9" s="1" t="s">
        <v>8</v>
      </c>
      <c r="B9">
        <v>0</v>
      </c>
    </row>
    <row r="10" spans="1:2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0</v>
      </c>
    </row>
    <row r="12" spans="1:2" x14ac:dyDescent="0.25">
      <c r="A12" s="1" t="s">
        <v>11</v>
      </c>
      <c r="B12">
        <v>8</v>
      </c>
    </row>
    <row r="13" spans="1:2" x14ac:dyDescent="0.25">
      <c r="A13" s="1" t="s">
        <v>12</v>
      </c>
      <c r="B13">
        <v>0</v>
      </c>
    </row>
    <row r="14" spans="1:2" x14ac:dyDescent="0.25">
      <c r="A14" s="1" t="s">
        <v>13</v>
      </c>
      <c r="B14">
        <v>0</v>
      </c>
    </row>
    <row r="15" spans="1:2" x14ac:dyDescent="0.25">
      <c r="A15" s="1" t="s">
        <v>14</v>
      </c>
      <c r="B15">
        <v>0</v>
      </c>
    </row>
    <row r="16" spans="1:2" x14ac:dyDescent="0.25">
      <c r="A16" s="1" t="s">
        <v>15</v>
      </c>
      <c r="B16">
        <v>0</v>
      </c>
    </row>
    <row r="17" spans="1:2" x14ac:dyDescent="0.25">
      <c r="A17" s="1" t="s">
        <v>16</v>
      </c>
      <c r="B17">
        <v>5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19</v>
      </c>
    </row>
    <row r="20" spans="1:2" x14ac:dyDescent="0.25">
      <c r="A20" s="1" t="s">
        <v>19</v>
      </c>
      <c r="B20">
        <v>0</v>
      </c>
    </row>
    <row r="21" spans="1:2" x14ac:dyDescent="0.25">
      <c r="A21" s="1" t="s">
        <v>20</v>
      </c>
      <c r="B21">
        <v>487</v>
      </c>
    </row>
    <row r="22" spans="1:2" x14ac:dyDescent="0.25">
      <c r="A22" s="1" t="s">
        <v>21</v>
      </c>
      <c r="B22">
        <f>SUBTOTAL(109,B2:B21)</f>
        <v>2810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F12-FD18-40EC-9AFC-58211611AEEE}">
  <dimension ref="A1:Z25"/>
  <sheetViews>
    <sheetView workbookViewId="0">
      <selection activeCell="S25" sqref="S25"/>
    </sheetView>
  </sheetViews>
  <sheetFormatPr defaultRowHeight="15" x14ac:dyDescent="0.25"/>
  <cols>
    <col min="2" max="2" width="31.5703125" bestFit="1" customWidth="1"/>
    <col min="3" max="3" width="38" customWidth="1"/>
    <col min="4" max="4" width="10.7109375" bestFit="1" customWidth="1"/>
    <col min="5" max="5" width="9.42578125" bestFit="1" customWidth="1"/>
    <col min="6" max="6" width="22.5703125" bestFit="1" customWidth="1"/>
    <col min="7" max="7" width="17.42578125" bestFit="1" customWidth="1"/>
    <col min="8" max="8" width="22.5703125" customWidth="1"/>
    <col min="9" max="9" width="8.7109375" bestFit="1" customWidth="1"/>
    <col min="10" max="10" width="24.5703125" bestFit="1" customWidth="1"/>
    <col min="11" max="12" width="24.5703125" customWidth="1"/>
    <col min="13" max="13" width="16.85546875" bestFit="1" customWidth="1"/>
    <col min="14" max="14" width="16.85546875" customWidth="1"/>
    <col min="15" max="15" width="25.28515625" bestFit="1" customWidth="1"/>
    <col min="16" max="16" width="32.5703125" bestFit="1" customWidth="1"/>
    <col min="17" max="17" width="15.85546875" bestFit="1" customWidth="1"/>
    <col min="18" max="19" width="15.85546875" customWidth="1"/>
    <col min="20" max="20" width="9.42578125" bestFit="1" customWidth="1"/>
    <col min="21" max="21" width="38.5703125" bestFit="1" customWidth="1"/>
  </cols>
  <sheetData>
    <row r="1" spans="1:26" x14ac:dyDescent="0.25">
      <c r="A1" t="s">
        <v>33</v>
      </c>
      <c r="B1" t="s">
        <v>34</v>
      </c>
      <c r="C1" t="s">
        <v>33</v>
      </c>
      <c r="D1" t="s">
        <v>30</v>
      </c>
      <c r="E1" t="s">
        <v>35</v>
      </c>
      <c r="F1" t="s">
        <v>47</v>
      </c>
      <c r="G1" t="s">
        <v>68</v>
      </c>
      <c r="H1" t="s">
        <v>29</v>
      </c>
      <c r="I1" t="s">
        <v>27</v>
      </c>
      <c r="J1" t="s">
        <v>39</v>
      </c>
      <c r="K1" t="s">
        <v>41</v>
      </c>
      <c r="L1" t="s">
        <v>38</v>
      </c>
      <c r="M1" t="s">
        <v>40</v>
      </c>
      <c r="N1" t="s">
        <v>42</v>
      </c>
      <c r="O1" t="s">
        <v>38</v>
      </c>
      <c r="P1" t="s">
        <v>32</v>
      </c>
      <c r="Q1" t="s">
        <v>30</v>
      </c>
      <c r="R1" t="s">
        <v>27</v>
      </c>
      <c r="S1" t="s">
        <v>30</v>
      </c>
      <c r="T1" t="s">
        <v>48</v>
      </c>
      <c r="U1" t="s">
        <v>46</v>
      </c>
      <c r="W1" t="s">
        <v>43</v>
      </c>
    </row>
    <row r="2" spans="1:26" x14ac:dyDescent="0.25">
      <c r="A2" t="s">
        <v>22</v>
      </c>
      <c r="B2" t="str">
        <f>BAL!C11</f>
        <v>BAL_hydro-pumped</v>
      </c>
      <c r="C2" t="str">
        <f>B2&amp;"_storage"</f>
        <v>BAL_hydro-pumped_storage</v>
      </c>
      <c r="D2" t="s">
        <v>37</v>
      </c>
      <c r="E2" t="s">
        <v>36</v>
      </c>
      <c r="F2" s="2">
        <f>ROUNDUP(J2*12/K2/10^3,0)*10^3</f>
        <v>15000</v>
      </c>
      <c r="G2">
        <f>F2/5</f>
        <v>3000</v>
      </c>
      <c r="H2">
        <v>1</v>
      </c>
      <c r="I2" t="s">
        <v>36</v>
      </c>
      <c r="J2">
        <f>BAL!B11</f>
        <v>900</v>
      </c>
      <c r="K2">
        <v>0.74</v>
      </c>
      <c r="M2">
        <f>880</f>
        <v>880</v>
      </c>
      <c r="N2">
        <v>1</v>
      </c>
      <c r="R2" s="7"/>
      <c r="W2" s="8" t="s">
        <v>44</v>
      </c>
      <c r="X2" s="8" t="s">
        <v>45</v>
      </c>
      <c r="Y2" s="8" t="s">
        <v>51</v>
      </c>
      <c r="Z2" s="8" t="s">
        <v>52</v>
      </c>
    </row>
    <row r="3" spans="1:26" x14ac:dyDescent="0.25">
      <c r="A3" t="str">
        <f>A2</f>
        <v>BAL</v>
      </c>
      <c r="B3" t="str">
        <f>B2</f>
        <v>BAL_hydro-pumped</v>
      </c>
      <c r="C3" t="str">
        <f>B3&amp;"_storage"</f>
        <v>BAL_hydro-pumped_storage</v>
      </c>
      <c r="D3" t="s">
        <v>31</v>
      </c>
      <c r="H3">
        <f>BAL!F11</f>
        <v>4</v>
      </c>
      <c r="J3">
        <f>J2/H3</f>
        <v>225</v>
      </c>
      <c r="L3" s="3">
        <f>160/J3</f>
        <v>0.71111111111111114</v>
      </c>
      <c r="M3">
        <f>M2/H3</f>
        <v>220</v>
      </c>
      <c r="O3" s="3">
        <v>1</v>
      </c>
      <c r="W3" s="8"/>
      <c r="X3" s="8"/>
      <c r="Y3" s="8"/>
      <c r="Z3" s="8"/>
    </row>
    <row r="4" spans="1:26" x14ac:dyDescent="0.25">
      <c r="A4" t="s">
        <v>22</v>
      </c>
      <c r="B4" t="s">
        <v>53</v>
      </c>
      <c r="C4" t="s">
        <v>77</v>
      </c>
      <c r="D4" t="s">
        <v>49</v>
      </c>
      <c r="F4" s="2">
        <f>F2+8.2*10^3/K4</f>
        <v>25512.820512820512</v>
      </c>
      <c r="G4" s="2">
        <f>F4/5</f>
        <v>5102.5641025641025</v>
      </c>
      <c r="H4">
        <v>1</v>
      </c>
      <c r="I4" s="7" t="s">
        <v>36</v>
      </c>
      <c r="J4">
        <v>225</v>
      </c>
      <c r="K4">
        <v>0.78</v>
      </c>
      <c r="L4" s="3">
        <f>44/J4</f>
        <v>0.19555555555555557</v>
      </c>
      <c r="M4">
        <v>225</v>
      </c>
      <c r="N4">
        <v>1</v>
      </c>
      <c r="O4" s="3">
        <f>110/M4</f>
        <v>0.48888888888888887</v>
      </c>
      <c r="R4" s="7"/>
      <c r="W4" s="8"/>
      <c r="X4" s="8"/>
      <c r="Y4" s="8"/>
      <c r="Z4" s="8"/>
    </row>
    <row r="5" spans="1:26" x14ac:dyDescent="0.25">
      <c r="A5" t="s">
        <v>25</v>
      </c>
      <c r="B5" t="s">
        <v>67</v>
      </c>
      <c r="C5" t="s">
        <v>55</v>
      </c>
      <c r="D5" t="s">
        <v>37</v>
      </c>
      <c r="E5" t="s">
        <v>36</v>
      </c>
      <c r="F5">
        <f>SUM(F6:F15)</f>
        <v>851500</v>
      </c>
      <c r="G5">
        <v>0</v>
      </c>
      <c r="H5">
        <v>1</v>
      </c>
      <c r="I5" t="s">
        <v>36</v>
      </c>
      <c r="J5" s="6">
        <f>SUM(J6:J15)</f>
        <v>1369.5</v>
      </c>
      <c r="K5" s="4">
        <v>0.7</v>
      </c>
      <c r="M5">
        <f>SUM(M6:M15)</f>
        <v>970</v>
      </c>
      <c r="N5">
        <v>1</v>
      </c>
      <c r="R5" s="7" t="s">
        <v>54</v>
      </c>
      <c r="S5" t="s">
        <v>31</v>
      </c>
      <c r="U5" s="3"/>
      <c r="W5" s="8" t="s">
        <v>50</v>
      </c>
      <c r="X5" s="8" t="s">
        <v>66</v>
      </c>
    </row>
    <row r="6" spans="1:26" x14ac:dyDescent="0.25">
      <c r="A6" t="s">
        <v>25</v>
      </c>
      <c r="B6" t="s">
        <v>65</v>
      </c>
      <c r="C6" t="str">
        <f>_xlfn.CONCAT("NOR_hydro-pumped_storage_",_xlfn.TEXTAFTER(B6,"_",2))</f>
        <v>NOR_hydro-pumped_storage_Aurland_III</v>
      </c>
      <c r="D6" t="s">
        <v>31</v>
      </c>
      <c r="E6" t="s">
        <v>36</v>
      </c>
      <c r="F6">
        <v>10000</v>
      </c>
      <c r="G6" s="2">
        <v>0</v>
      </c>
      <c r="H6">
        <v>2</v>
      </c>
      <c r="I6" t="s">
        <v>36</v>
      </c>
      <c r="J6" s="6">
        <v>270</v>
      </c>
      <c r="K6" s="4">
        <v>0.7</v>
      </c>
      <c r="M6">
        <v>258</v>
      </c>
      <c r="N6">
        <v>1</v>
      </c>
      <c r="P6" s="7" t="s">
        <v>69</v>
      </c>
      <c r="Q6" t="s">
        <v>70</v>
      </c>
      <c r="R6" s="7" t="s">
        <v>54</v>
      </c>
      <c r="S6" t="s">
        <v>37</v>
      </c>
      <c r="U6" s="3"/>
      <c r="W6" s="8"/>
      <c r="X6" s="8"/>
    </row>
    <row r="7" spans="1:26" x14ac:dyDescent="0.25">
      <c r="A7" t="s">
        <v>25</v>
      </c>
      <c r="B7" t="s">
        <v>64</v>
      </c>
      <c r="C7" t="str">
        <f t="shared" ref="C7:C15" si="0">_xlfn.CONCAT("NOR_hydro-pumped_storage_",_xlfn.TEXTAFTER(B7,"_",2))</f>
        <v>NOR_hydro-pumped_storage_Brattingfoss</v>
      </c>
      <c r="D7" t="s">
        <v>31</v>
      </c>
      <c r="E7" t="s">
        <v>36</v>
      </c>
      <c r="F7">
        <v>2000</v>
      </c>
      <c r="G7" s="2">
        <v>0</v>
      </c>
      <c r="H7">
        <v>1</v>
      </c>
      <c r="I7" t="s">
        <v>36</v>
      </c>
      <c r="J7" s="6">
        <v>11</v>
      </c>
      <c r="K7" s="4">
        <v>0.7</v>
      </c>
      <c r="M7">
        <v>11</v>
      </c>
      <c r="N7">
        <v>1</v>
      </c>
      <c r="P7" s="7" t="s">
        <v>69</v>
      </c>
      <c r="Q7" t="s">
        <v>70</v>
      </c>
      <c r="R7" s="7" t="s">
        <v>54</v>
      </c>
      <c r="S7" t="s">
        <v>37</v>
      </c>
      <c r="U7" s="3"/>
      <c r="W7" s="8"/>
      <c r="X7" s="8"/>
    </row>
    <row r="8" spans="1:26" x14ac:dyDescent="0.25">
      <c r="A8" t="s">
        <v>25</v>
      </c>
      <c r="B8" t="s">
        <v>63</v>
      </c>
      <c r="C8" t="str">
        <f t="shared" si="0"/>
        <v>NOR_hydro-pumped_storage_Duge</v>
      </c>
      <c r="D8" t="s">
        <v>31</v>
      </c>
      <c r="E8" t="s">
        <v>36</v>
      </c>
      <c r="F8">
        <v>500000</v>
      </c>
      <c r="G8" s="2">
        <v>0</v>
      </c>
      <c r="H8">
        <v>2</v>
      </c>
      <c r="I8" t="s">
        <v>36</v>
      </c>
      <c r="J8" s="6">
        <v>200</v>
      </c>
      <c r="K8" s="4">
        <v>0.7</v>
      </c>
      <c r="M8">
        <v>170</v>
      </c>
      <c r="N8">
        <v>1</v>
      </c>
      <c r="P8" s="7" t="s">
        <v>69</v>
      </c>
      <c r="Q8" t="s">
        <v>70</v>
      </c>
      <c r="R8" s="7" t="s">
        <v>54</v>
      </c>
      <c r="S8" t="s">
        <v>37</v>
      </c>
      <c r="U8" s="3"/>
      <c r="W8" s="8"/>
      <c r="X8" s="8"/>
    </row>
    <row r="9" spans="1:26" x14ac:dyDescent="0.25">
      <c r="A9" t="s">
        <v>25</v>
      </c>
      <c r="B9" t="s">
        <v>62</v>
      </c>
      <c r="C9" t="str">
        <f t="shared" si="0"/>
        <v>NOR_hydro-pumped_storage_Herva</v>
      </c>
      <c r="D9" t="s">
        <v>31</v>
      </c>
      <c r="E9" t="s">
        <v>36</v>
      </c>
      <c r="F9">
        <v>14000</v>
      </c>
      <c r="G9" s="2">
        <v>0</v>
      </c>
      <c r="H9">
        <v>1</v>
      </c>
      <c r="I9" t="s">
        <v>36</v>
      </c>
      <c r="J9" s="6">
        <v>35</v>
      </c>
      <c r="K9" s="4">
        <v>0.7</v>
      </c>
      <c r="M9">
        <v>31</v>
      </c>
      <c r="N9">
        <v>1</v>
      </c>
      <c r="P9" s="7" t="s">
        <v>69</v>
      </c>
      <c r="Q9" t="s">
        <v>70</v>
      </c>
      <c r="R9" s="7" t="s">
        <v>54</v>
      </c>
      <c r="S9" t="s">
        <v>37</v>
      </c>
      <c r="U9" s="3"/>
      <c r="W9" s="8"/>
      <c r="X9" s="8"/>
    </row>
    <row r="10" spans="1:26" x14ac:dyDescent="0.25">
      <c r="A10" t="s">
        <v>25</v>
      </c>
      <c r="B10" t="s">
        <v>61</v>
      </c>
      <c r="C10" t="str">
        <f t="shared" si="0"/>
        <v>NOR_hydro-pumped_storage_Jukla</v>
      </c>
      <c r="D10" t="s">
        <v>31</v>
      </c>
      <c r="E10" t="s">
        <v>36</v>
      </c>
      <c r="F10">
        <v>15000</v>
      </c>
      <c r="G10" s="2">
        <v>0</v>
      </c>
      <c r="H10">
        <v>1</v>
      </c>
      <c r="I10" t="s">
        <v>36</v>
      </c>
      <c r="J10" s="6">
        <v>40</v>
      </c>
      <c r="K10" s="4">
        <v>0.7</v>
      </c>
      <c r="M10">
        <v>41</v>
      </c>
      <c r="N10">
        <v>1</v>
      </c>
      <c r="P10" s="7" t="s">
        <v>69</v>
      </c>
      <c r="Q10" t="s">
        <v>70</v>
      </c>
      <c r="R10" s="7" t="s">
        <v>54</v>
      </c>
      <c r="S10" t="s">
        <v>37</v>
      </c>
      <c r="U10" s="3"/>
      <c r="W10" s="8"/>
      <c r="X10" s="8"/>
    </row>
    <row r="11" spans="1:26" x14ac:dyDescent="0.25">
      <c r="A11" t="s">
        <v>25</v>
      </c>
      <c r="B11" t="s">
        <v>60</v>
      </c>
      <c r="C11" t="str">
        <f t="shared" si="0"/>
        <v>NOR_hydro-pumped_storage_Nygard</v>
      </c>
      <c r="D11" t="s">
        <v>31</v>
      </c>
      <c r="E11" t="s">
        <v>36</v>
      </c>
      <c r="F11">
        <v>47000</v>
      </c>
      <c r="G11" s="2">
        <v>0</v>
      </c>
      <c r="H11">
        <v>1</v>
      </c>
      <c r="I11" t="s">
        <v>36</v>
      </c>
      <c r="J11" s="6">
        <v>57.5</v>
      </c>
      <c r="K11" s="4">
        <v>0.7</v>
      </c>
      <c r="M11">
        <v>52</v>
      </c>
      <c r="N11">
        <v>1</v>
      </c>
      <c r="P11" s="7" t="s">
        <v>69</v>
      </c>
      <c r="Q11" t="s">
        <v>70</v>
      </c>
      <c r="R11" s="7" t="s">
        <v>54</v>
      </c>
      <c r="S11" t="s">
        <v>37</v>
      </c>
      <c r="U11" s="3"/>
      <c r="W11" s="8"/>
      <c r="X11" s="8"/>
    </row>
    <row r="12" spans="1:26" x14ac:dyDescent="0.25">
      <c r="A12" t="s">
        <v>25</v>
      </c>
      <c r="B12" t="s">
        <v>59</v>
      </c>
      <c r="C12" t="str">
        <f t="shared" si="0"/>
        <v>NOR_hydro-pumped_storage_Saurdal</v>
      </c>
      <c r="D12" t="s">
        <v>31</v>
      </c>
      <c r="E12" t="s">
        <v>36</v>
      </c>
      <c r="F12">
        <v>247000</v>
      </c>
      <c r="G12" s="2">
        <v>0</v>
      </c>
      <c r="H12">
        <v>4</v>
      </c>
      <c r="I12" t="s">
        <v>36</v>
      </c>
      <c r="J12" s="6">
        <v>640</v>
      </c>
      <c r="K12" s="4">
        <v>0.7</v>
      </c>
      <c r="M12">
        <v>320</v>
      </c>
      <c r="N12">
        <v>1</v>
      </c>
      <c r="P12" s="7" t="s">
        <v>69</v>
      </c>
      <c r="Q12" t="s">
        <v>70</v>
      </c>
      <c r="R12" s="7" t="s">
        <v>54</v>
      </c>
      <c r="S12" t="s">
        <v>37</v>
      </c>
      <c r="U12" s="3"/>
      <c r="W12" s="8"/>
      <c r="X12" s="8"/>
    </row>
    <row r="13" spans="1:26" x14ac:dyDescent="0.25">
      <c r="A13" t="s">
        <v>25</v>
      </c>
      <c r="B13" t="s">
        <v>58</v>
      </c>
      <c r="C13" t="str">
        <f t="shared" si="0"/>
        <v>NOR_hydro-pumped_storage_Stølsdal</v>
      </c>
      <c r="D13" t="s">
        <v>31</v>
      </c>
      <c r="E13" t="s">
        <v>36</v>
      </c>
      <c r="F13">
        <v>500</v>
      </c>
      <c r="G13" s="2">
        <v>0</v>
      </c>
      <c r="H13">
        <v>1</v>
      </c>
      <c r="I13" t="s">
        <v>36</v>
      </c>
      <c r="J13" s="6">
        <v>17</v>
      </c>
      <c r="K13" s="4">
        <v>0.7</v>
      </c>
      <c r="M13">
        <v>6</v>
      </c>
      <c r="N13">
        <v>1</v>
      </c>
      <c r="P13" s="7" t="s">
        <v>69</v>
      </c>
      <c r="Q13" t="s">
        <v>70</v>
      </c>
      <c r="R13" s="7" t="s">
        <v>54</v>
      </c>
      <c r="S13" t="s">
        <v>37</v>
      </c>
      <c r="U13" s="3"/>
      <c r="W13" s="8"/>
      <c r="X13" s="8"/>
    </row>
    <row r="14" spans="1:26" x14ac:dyDescent="0.25">
      <c r="A14" t="s">
        <v>25</v>
      </c>
      <c r="B14" t="s">
        <v>57</v>
      </c>
      <c r="C14" t="str">
        <f t="shared" si="0"/>
        <v>NOR_hydro-pumped_storage_Tevla</v>
      </c>
      <c r="D14" t="s">
        <v>31</v>
      </c>
      <c r="E14" t="s">
        <v>36</v>
      </c>
      <c r="F14">
        <v>2000</v>
      </c>
      <c r="G14" s="2">
        <v>0</v>
      </c>
      <c r="H14">
        <v>2</v>
      </c>
      <c r="I14" t="s">
        <v>36</v>
      </c>
      <c r="J14" s="6">
        <v>50</v>
      </c>
      <c r="K14" s="4">
        <v>0.7</v>
      </c>
      <c r="M14">
        <v>42</v>
      </c>
      <c r="N14">
        <v>1</v>
      </c>
      <c r="P14" s="7" t="s">
        <v>69</v>
      </c>
      <c r="Q14" t="s">
        <v>70</v>
      </c>
      <c r="R14" s="7" t="s">
        <v>54</v>
      </c>
      <c r="S14" t="s">
        <v>37</v>
      </c>
      <c r="U14" s="3"/>
      <c r="W14" s="8"/>
      <c r="X14" s="8"/>
    </row>
    <row r="15" spans="1:26" x14ac:dyDescent="0.25">
      <c r="A15" t="s">
        <v>25</v>
      </c>
      <c r="B15" t="s">
        <v>56</v>
      </c>
      <c r="C15" t="str">
        <f t="shared" si="0"/>
        <v>NOR_hydro-pumped_storage_Øljusjøen</v>
      </c>
      <c r="D15" t="s">
        <v>31</v>
      </c>
      <c r="E15" t="s">
        <v>36</v>
      </c>
      <c r="F15">
        <v>14000</v>
      </c>
      <c r="G15" s="2">
        <v>0</v>
      </c>
      <c r="H15">
        <v>1</v>
      </c>
      <c r="I15" t="s">
        <v>36</v>
      </c>
      <c r="J15" s="6">
        <v>49</v>
      </c>
      <c r="K15" s="4">
        <v>0.7</v>
      </c>
      <c r="M15">
        <v>39</v>
      </c>
      <c r="N15">
        <v>1</v>
      </c>
      <c r="P15" s="7" t="s">
        <v>69</v>
      </c>
      <c r="Q15" t="s">
        <v>70</v>
      </c>
      <c r="R15" s="7" t="s">
        <v>54</v>
      </c>
      <c r="S15" t="s">
        <v>37</v>
      </c>
      <c r="U15" s="3"/>
      <c r="W15" s="8"/>
      <c r="X15" s="8"/>
    </row>
    <row r="16" spans="1:26" x14ac:dyDescent="0.25">
      <c r="P16" s="7" t="str">
        <f t="shared" ref="P16:P25" si="1">IF(M16,"unit_online_variable_type_integer","")</f>
        <v/>
      </c>
      <c r="Q16" t="str">
        <f t="shared" ref="Q16:Q25" si="2">IF(P16="",P16,"IntegerVariables")</f>
        <v/>
      </c>
    </row>
    <row r="17" spans="16:23" x14ac:dyDescent="0.25">
      <c r="P17" s="7" t="str">
        <f>IF(M17,"unit_online_variable_type_integer","")</f>
        <v/>
      </c>
      <c r="Q17" t="str">
        <f t="shared" si="2"/>
        <v/>
      </c>
    </row>
    <row r="18" spans="16:23" x14ac:dyDescent="0.25">
      <c r="P18" s="7"/>
    </row>
    <row r="19" spans="16:23" x14ac:dyDescent="0.25">
      <c r="P19" s="7" t="str">
        <f t="shared" si="1"/>
        <v/>
      </c>
      <c r="Q19" t="str">
        <f t="shared" si="2"/>
        <v/>
      </c>
    </row>
    <row r="20" spans="16:23" x14ac:dyDescent="0.25">
      <c r="P20" s="7" t="str">
        <f t="shared" si="1"/>
        <v/>
      </c>
      <c r="Q20" t="str">
        <f t="shared" si="2"/>
        <v/>
      </c>
    </row>
    <row r="21" spans="16:23" x14ac:dyDescent="0.25">
      <c r="P21" s="7" t="str">
        <f t="shared" si="1"/>
        <v/>
      </c>
      <c r="Q21" t="str">
        <f t="shared" si="2"/>
        <v/>
      </c>
    </row>
    <row r="22" spans="16:23" x14ac:dyDescent="0.25">
      <c r="P22" s="7" t="str">
        <f t="shared" si="1"/>
        <v/>
      </c>
      <c r="Q22" t="str">
        <f t="shared" si="2"/>
        <v/>
      </c>
    </row>
    <row r="23" spans="16:23" x14ac:dyDescent="0.25">
      <c r="P23" s="7" t="str">
        <f t="shared" si="1"/>
        <v/>
      </c>
      <c r="Q23" t="str">
        <f t="shared" si="2"/>
        <v/>
      </c>
      <c r="W23" s="5"/>
    </row>
    <row r="24" spans="16:23" x14ac:dyDescent="0.25">
      <c r="P24" s="7" t="str">
        <f t="shared" si="1"/>
        <v/>
      </c>
      <c r="Q24" t="str">
        <f t="shared" si="2"/>
        <v/>
      </c>
      <c r="W24" s="5"/>
    </row>
    <row r="25" spans="16:23" x14ac:dyDescent="0.25">
      <c r="P25" s="7" t="str">
        <f t="shared" si="1"/>
        <v/>
      </c>
      <c r="Q25" t="str">
        <f t="shared" si="2"/>
        <v/>
      </c>
    </row>
  </sheetData>
  <mergeCells count="6">
    <mergeCell ref="Z2:Z4"/>
    <mergeCell ref="X5:X15"/>
    <mergeCell ref="W5:W15"/>
    <mergeCell ref="W2:W4"/>
    <mergeCell ref="X2:X4"/>
    <mergeCell ref="Y2:Y4"/>
  </mergeCells>
  <hyperlinks>
    <hyperlink ref="W2" r:id="rId1" xr:uid="{8F1C29EF-9F54-46BF-97BC-D5A1739828A7}"/>
    <hyperlink ref="X2:X4" r:id="rId2" display="source 2" xr:uid="{149F99E7-8475-4B80-85A4-1D29B490FD75}"/>
    <hyperlink ref="Y2:Y4" r:id="rId3" display="source 3" xr:uid="{B9CBB1A7-2B02-48C7-BE48-7CB9152EB97D}"/>
    <hyperlink ref="Z2:Z4" r:id="rId4" display="source 4" xr:uid="{E56390C1-404F-4955-AAD6-80BA68187F71}"/>
    <hyperlink ref="W5" r:id="rId5" display="https://mdpi-res.com/d_attachment/energies/energies-13-04918/article_deploy/energies-13-04918-v2.pdf?version=1601001709" xr:uid="{482CEDF0-F18B-4B5F-A2E0-69030562BD3F}"/>
    <hyperlink ref="X5" r:id="rId6" display="https://www.mdpi.com/2071-1050/14/11/6939" xr:uid="{B0D9F830-F553-4294-A522-01576ECDDF43}"/>
    <hyperlink ref="X5:X15" r:id="rId7" display="Source 2" xr:uid="{FCAA4EE5-2B95-413A-BFE3-F38B0A646A60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  <vt:lpstr>hydro_pumped_storage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2023-04-27T08:22:25Z</dcterms:modified>
</cp:coreProperties>
</file>